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OCCI_OG\Documents\Olivier\C+FOR\Pierre Fabre\Dossier labellisation\"/>
    </mc:Choice>
  </mc:AlternateContent>
  <bookViews>
    <workbookView xWindow="0" yWindow="0" windowWidth="20490" windowHeight="7755" tabRatio="866" firstSheet="1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1" i="1" l="1"/>
  <c r="B101" i="1"/>
  <c r="D100" i="1"/>
  <c r="B100" i="1"/>
  <c r="B99" i="1"/>
  <c r="D98" i="1"/>
  <c r="B98" i="1"/>
  <c r="B97" i="1"/>
  <c r="D96" i="1"/>
  <c r="B96" i="1"/>
  <c r="B95" i="1"/>
  <c r="D94" i="1"/>
  <c r="B94" i="1"/>
  <c r="B93" i="1"/>
  <c r="D92" i="1"/>
  <c r="B92" i="1"/>
  <c r="B91" i="1"/>
  <c r="D90" i="1"/>
  <c r="B90" i="1"/>
  <c r="B89" i="1"/>
  <c r="D75" i="1"/>
  <c r="B75" i="1"/>
  <c r="D74" i="1"/>
  <c r="B74" i="1"/>
  <c r="B73" i="1"/>
  <c r="D72" i="1"/>
  <c r="B72" i="1"/>
  <c r="B71" i="1"/>
  <c r="D70" i="1"/>
  <c r="B70" i="1"/>
  <c r="B69" i="1"/>
  <c r="D68" i="1"/>
  <c r="B68" i="1"/>
  <c r="B67" i="1"/>
  <c r="D66" i="1"/>
  <c r="B66" i="1"/>
  <c r="B65" i="1"/>
  <c r="D64" i="1"/>
  <c r="B64" i="1"/>
  <c r="B63" i="1"/>
  <c r="B55" i="1" l="1"/>
  <c r="D54" i="1"/>
  <c r="B54" i="1"/>
  <c r="D53" i="1"/>
  <c r="B53" i="1"/>
  <c r="D52" i="1"/>
  <c r="B52" i="1"/>
  <c r="D51" i="1"/>
  <c r="B51" i="1"/>
  <c r="D50" i="1"/>
  <c r="B50" i="1"/>
  <c r="D49" i="1"/>
  <c r="B49" i="1"/>
  <c r="D48" i="1"/>
  <c r="B48" i="1"/>
  <c r="B47" i="1"/>
  <c r="B46" i="1"/>
  <c r="B45" i="1"/>
  <c r="B44" i="1"/>
  <c r="B43" i="1"/>
  <c r="B42" i="1"/>
  <c r="B41" i="1"/>
  <c r="D46" i="1"/>
  <c r="D44" i="1"/>
  <c r="D42" i="1"/>
  <c r="D40" i="1"/>
  <c r="B40" i="1"/>
  <c r="B39" i="1"/>
  <c r="D38" i="1"/>
  <c r="B38" i="1"/>
  <c r="B37" i="1"/>
  <c r="B127" i="1"/>
  <c r="D127" i="1" s="1"/>
  <c r="B126" i="1"/>
  <c r="B125" i="1"/>
  <c r="D124" i="1"/>
  <c r="B124" i="1"/>
  <c r="B123" i="1"/>
  <c r="D122" i="1"/>
  <c r="B122" i="1"/>
  <c r="B121" i="1"/>
  <c r="D120" i="1"/>
  <c r="B120" i="1"/>
  <c r="B119" i="1"/>
  <c r="D118" i="1"/>
  <c r="B118" i="1"/>
  <c r="B117" i="1"/>
  <c r="D116" i="1"/>
  <c r="B116" i="1"/>
  <c r="B115" i="1"/>
  <c r="D174" i="1"/>
  <c r="B200" i="1"/>
  <c r="B224" i="1" l="1"/>
  <c r="D223" i="1"/>
  <c r="B223" i="1"/>
  <c r="B222" i="1"/>
  <c r="D221" i="1"/>
  <c r="B221" i="1"/>
  <c r="B220" i="1"/>
  <c r="B219" i="1"/>
  <c r="B218" i="1"/>
  <c r="D211" i="1"/>
  <c r="B211" i="1"/>
  <c r="B210" i="1"/>
  <c r="D209" i="1"/>
  <c r="B209" i="1"/>
  <c r="B208" i="1"/>
  <c r="D207" i="1"/>
  <c r="B207" i="1"/>
  <c r="B206" i="1"/>
  <c r="D205" i="1"/>
  <c r="B205" i="1"/>
  <c r="B204" i="1"/>
  <c r="D203" i="1"/>
  <c r="B203" i="1"/>
  <c r="B202" i="1"/>
  <c r="D201" i="1"/>
  <c r="B201" i="1"/>
  <c r="D199" i="1"/>
  <c r="B199" i="1"/>
  <c r="B198" i="1"/>
  <c r="D197" i="1"/>
  <c r="D195" i="1"/>
  <c r="B197" i="1"/>
  <c r="B196" i="1"/>
  <c r="B195" i="1"/>
  <c r="B194" i="1"/>
  <c r="B193" i="1" l="1"/>
  <c r="B192" i="1"/>
  <c r="B147" i="1"/>
  <c r="D147" i="1" s="1"/>
  <c r="B146" i="1"/>
  <c r="B145" i="1"/>
  <c r="B144" i="1"/>
  <c r="B143" i="1"/>
  <c r="B142" i="1"/>
  <c r="D141" i="1"/>
  <c r="B141" i="1"/>
  <c r="B140" i="1"/>
  <c r="D55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EC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X7" i="2"/>
  <c r="EW7" i="2"/>
  <c r="EV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EX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EW20" i="2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W22" i="2"/>
  <c r="EC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C28" i="2" l="1"/>
  <c r="EV28" i="2"/>
  <c r="EB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B30" i="2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EB35" i="2"/>
  <c r="FQ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A43" i="2" l="1"/>
  <c r="EX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EC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V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FS108" i="2"/>
  <c r="EW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Q112" i="2" l="1"/>
  <c r="EX112" i="2"/>
  <c r="EC112" i="2"/>
  <c r="EB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B113" i="2"/>
  <c r="FS113" i="2"/>
  <c r="EX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EX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V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EX118" i="2"/>
  <c r="EC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R120" i="2" l="1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EC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FS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FS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EC140" i="2"/>
  <c r="FR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EX144" i="2"/>
  <c r="EB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EA145" i="2"/>
  <c r="EB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B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EY154" i="2" l="1"/>
  <c r="ED154" i="2"/>
  <c r="EA155" i="2"/>
  <c r="DI154" i="2"/>
  <c r="EW155" i="2"/>
  <c r="EX155" i="2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ED155" i="2"/>
  <c r="AB156" i="2"/>
  <c r="FS156" i="2"/>
  <c r="EX156" i="2"/>
  <c r="EB156" i="2"/>
  <c r="D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C157" i="2"/>
  <c r="EX157" i="2"/>
  <c r="EA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Y159" i="2" l="1"/>
  <c r="ED159" i="2"/>
  <c r="EC160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ED160" i="2"/>
  <c r="AB161" i="2"/>
  <c r="EX161" i="2"/>
  <c r="EB161" i="2"/>
  <c r="EA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B162" i="2" l="1"/>
  <c r="ED161" i="2"/>
  <c r="EC162" i="2"/>
  <c r="DI161" i="2"/>
  <c r="EY161" i="2"/>
  <c r="EW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Y162" i="2" l="1"/>
  <c r="EB163" i="2"/>
  <c r="ED162" i="2"/>
  <c r="EV163" i="2"/>
  <c r="EA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 l="1"/>
  <c r="ED163" i="2"/>
  <c r="EA164" i="2"/>
  <c r="FR164" i="2"/>
  <c r="FS164" i="2"/>
  <c r="EX164" i="2"/>
  <c r="EV164" i="2"/>
  <c r="DH164" i="2"/>
  <c r="DI163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X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ED165" i="2"/>
  <c r="CN165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C167" i="2"/>
  <c r="EY166" i="2"/>
  <c r="EX167" i="2"/>
  <c r="EA167" i="2"/>
  <c r="EB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C168" i="2" l="1"/>
  <c r="EB168" i="2"/>
  <c r="DI167" i="2"/>
  <c r="EV168" i="2"/>
  <c r="EW168" i="2"/>
  <c r="DG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EB169" i="2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Y171" i="2" l="1"/>
  <c r="ED171" i="2"/>
  <c r="EA172" i="2"/>
  <c r="EB172" i="2"/>
  <c r="EV172" i="2"/>
  <c r="EW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D172" i="2" l="1"/>
  <c r="EB173" i="2"/>
  <c r="EX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EB175" i="2"/>
  <c r="EA175" i="2"/>
  <c r="AA175" i="2"/>
  <c r="FS175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EC177" i="2"/>
  <c r="FS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D177" i="2"/>
  <c r="EW178" i="2"/>
  <c r="EA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EA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ED179" i="2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Y182" i="2"/>
  <c r="EA183" i="2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Y184" i="2" l="1"/>
  <c r="ED184" i="2"/>
  <c r="EW185" i="2"/>
  <c r="EV185" i="2"/>
  <c r="EB185" i="2"/>
  <c r="EA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D185" i="2" l="1"/>
  <c r="EA186" i="2"/>
  <c r="EB186" i="2"/>
  <c r="FR186" i="2"/>
  <c r="FS186" i="2"/>
  <c r="EW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Y188" i="2"/>
  <c r="EV189" i="2"/>
  <c r="EB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Y189" i="2" l="1"/>
  <c r="ED189" i="2"/>
  <c r="EB190" i="2"/>
  <c r="EW190" i="2"/>
  <c r="EV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Y191" i="2" l="1"/>
  <c r="EC192" i="2"/>
  <c r="EW192" i="2"/>
  <c r="EV192" i="2"/>
  <c r="EB192" i="2"/>
  <c r="EA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Y192" i="2" l="1"/>
  <c r="EB193" i="2"/>
  <c r="ED192" i="2"/>
  <c r="EA193" i="2"/>
  <c r="FQ193" i="2"/>
  <c r="EX193" i="2"/>
  <c r="DI192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 l="1"/>
  <c r="EB194" i="2"/>
  <c r="EA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FQ195" i="2" l="1"/>
  <c r="EB195" i="2"/>
  <c r="ED194" i="2"/>
  <c r="EA195" i="2"/>
  <c r="AA195" i="2"/>
  <c r="EY194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Y196" i="2"/>
  <c r="FS197" i="2"/>
  <c r="EW197" i="2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B199" i="2"/>
  <c r="FS199" i="2"/>
  <c r="EV199" i="2"/>
  <c r="EW199" i="2"/>
  <c r="EA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 l="1"/>
  <c r="ED200" i="2"/>
  <c r="DI200" i="2"/>
  <c r="FS201" i="2"/>
  <c r="EB201" i="2"/>
  <c r="EA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EW202" i="2"/>
  <c r="EY201" i="2"/>
  <c r="EX202" i="2"/>
  <c r="ED201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29" i="2" a="1"/>
  <c r="EI29" i="2" s="1"/>
  <c r="DN155" i="2" a="1"/>
  <c r="DN155" i="2" s="1"/>
  <c r="CS66" i="2" a="1"/>
  <c r="CS66" i="2" s="1"/>
  <c r="CS129" i="2" a="1"/>
  <c r="CS129" i="2" s="1"/>
  <c r="CS116" i="2" a="1"/>
  <c r="CS116" i="2" s="1"/>
  <c r="CS137" i="2" a="1"/>
  <c r="CS137" i="2" s="1"/>
  <c r="AH151" i="2" a="1"/>
  <c r="AH151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128" i="2" a="1"/>
  <c r="EI128" i="2" s="1"/>
  <c r="CS185" i="2" a="1"/>
  <c r="CS185" i="2" s="1"/>
  <c r="CS56" i="2" a="1"/>
  <c r="CS56" i="2" s="1"/>
  <c r="DN65" i="2" a="1"/>
  <c r="DN65" i="2" s="1"/>
  <c r="DN6" i="2" a="1"/>
  <c r="DN6" i="2" s="1"/>
  <c r="DO6" i="2" s="1"/>
  <c r="CS24" i="2" a="1"/>
  <c r="CS24" i="2" s="1"/>
  <c r="CS134" i="2" a="1"/>
  <c r="CS134" i="2" s="1"/>
  <c r="CS72" i="2" a="1"/>
  <c r="CS72" i="2" s="1"/>
  <c r="FD82" i="2" a="1"/>
  <c r="FD82" i="2" s="1"/>
  <c r="HJ202" i="2"/>
  <c r="AX200" i="2"/>
  <c r="DN162" i="2" l="1" a="1"/>
  <c r="DN162" i="2" s="1"/>
  <c r="DN168" i="2" a="1"/>
  <c r="DN168" i="2" s="1"/>
  <c r="DN133" i="2" a="1"/>
  <c r="DN133" i="2" s="1"/>
  <c r="DN49" i="2" a="1"/>
  <c r="DN49" i="2" s="1"/>
  <c r="DN66" i="2" a="1"/>
  <c r="DN66" i="2" s="1"/>
  <c r="DN188" i="2" a="1"/>
  <c r="DN188" i="2" s="1"/>
  <c r="DN50" i="2" a="1"/>
  <c r="DN50" i="2" s="1"/>
  <c r="DN114" i="2" a="1"/>
  <c r="DN114" i="2" s="1"/>
  <c r="DN113" i="2" a="1"/>
  <c r="DN113" i="2" s="1"/>
  <c r="DN103" i="2" a="1"/>
  <c r="DN103" i="2" s="1"/>
  <c r="DN70" i="2" a="1"/>
  <c r="DN70" i="2" s="1"/>
  <c r="DN30" i="2" a="1"/>
  <c r="DN30" i="2" s="1"/>
  <c r="DN29" i="2" a="1"/>
  <c r="DN29" i="2" s="1"/>
  <c r="DN38" i="2" a="1"/>
  <c r="DN38" i="2" s="1"/>
  <c r="DN115" i="2" a="1"/>
  <c r="DN115" i="2" s="1"/>
  <c r="DN41" i="2" a="1"/>
  <c r="DN41" i="2" s="1"/>
  <c r="DN25" i="2" a="1"/>
  <c r="DN25" i="2" s="1"/>
  <c r="DN135" i="2" a="1"/>
  <c r="DN135" i="2" s="1"/>
  <c r="DN187" i="2" a="1"/>
  <c r="DN187" i="2" s="1"/>
  <c r="DN123" i="2" a="1"/>
  <c r="DN123" i="2" s="1"/>
  <c r="DN31" i="2" a="1"/>
  <c r="DN31" i="2" s="1"/>
  <c r="DN153" i="2" a="1"/>
  <c r="DN153" i="2" s="1"/>
  <c r="DN43" i="2" a="1"/>
  <c r="DN43" i="2" s="1"/>
  <c r="DN132" i="2" a="1"/>
  <c r="DN132" i="2" s="1"/>
  <c r="DN164" i="2" a="1"/>
  <c r="DN164" i="2" s="1"/>
  <c r="DN55" i="2" a="1"/>
  <c r="DN55" i="2" s="1"/>
  <c r="DN46" i="2" a="1"/>
  <c r="DN46" i="2" s="1"/>
  <c r="DN176" i="2" a="1"/>
  <c r="DN176" i="2" s="1"/>
  <c r="DN167" i="2" a="1"/>
  <c r="DN167" i="2" s="1"/>
  <c r="DN80" i="2" a="1"/>
  <c r="DN80" i="2" s="1"/>
  <c r="DN150" i="2" a="1"/>
  <c r="DN150" i="2" s="1"/>
  <c r="DN170" i="2" a="1"/>
  <c r="DN170" i="2" s="1"/>
  <c r="DN137" i="2" a="1"/>
  <c r="DN137" i="2" s="1"/>
  <c r="DN86" i="2" a="1"/>
  <c r="DN86" i="2" s="1"/>
  <c r="DN177" i="2" a="1"/>
  <c r="DN177" i="2" s="1"/>
  <c r="DN110" i="2" a="1"/>
  <c r="DN110" i="2" s="1"/>
  <c r="DN45" i="2" a="1"/>
  <c r="DN45" i="2" s="1"/>
  <c r="DN190" i="2" a="1"/>
  <c r="DN190" i="2" s="1"/>
  <c r="DN16" i="2" a="1"/>
  <c r="DN16" i="2" s="1"/>
  <c r="DN192" i="2" a="1"/>
  <c r="DN192" i="2" s="1"/>
  <c r="DN129" i="2" a="1"/>
  <c r="DN129" i="2" s="1"/>
  <c r="FD188" i="2" a="1"/>
  <c r="FD188" i="2" s="1"/>
  <c r="EI20" i="2" a="1"/>
  <c r="EI20" i="2" s="1"/>
  <c r="EI153" i="2" a="1"/>
  <c r="EI153" i="2" s="1"/>
  <c r="EI37" i="2" a="1"/>
  <c r="EI37" i="2" s="1"/>
  <c r="EI16" i="2" a="1"/>
  <c r="EI16" i="2" s="1"/>
  <c r="EI67" i="2" a="1"/>
  <c r="EI67" i="2" s="1"/>
  <c r="EI170" i="2" a="1"/>
  <c r="EI170" i="2" s="1"/>
  <c r="EY202" i="2"/>
  <c r="EI57" i="2" a="1"/>
  <c r="EI57" i="2" s="1"/>
  <c r="EI36" i="2" a="1"/>
  <c r="EI36" i="2" s="1"/>
  <c r="EI87" i="2" a="1"/>
  <c r="EI87" i="2" s="1"/>
  <c r="EI109" i="2" a="1"/>
  <c r="EI109" i="2" s="1"/>
  <c r="EI38" i="2" a="1"/>
  <c r="EI38" i="2" s="1"/>
  <c r="EI195" i="2" a="1"/>
  <c r="EI195" i="2" s="1"/>
  <c r="EI113" i="2" a="1"/>
  <c r="EI113" i="2" s="1"/>
  <c r="EI166" i="2" a="1"/>
  <c r="EI166" i="2" s="1"/>
  <c r="EI198" i="2" a="1"/>
  <c r="EI198" i="2" s="1"/>
  <c r="EI35" i="2" a="1"/>
  <c r="EI35" i="2" s="1"/>
  <c r="EI34" i="2" a="1"/>
  <c r="EI34" i="2" s="1"/>
  <c r="EI139" i="2" a="1"/>
  <c r="EI139" i="2" s="1"/>
  <c r="EI165" i="2" a="1"/>
  <c r="EI165" i="2" s="1"/>
  <c r="EI71" i="2" a="1"/>
  <c r="EI71" i="2" s="1"/>
  <c r="EI178" i="2" a="1"/>
  <c r="EI178" i="2" s="1"/>
  <c r="EI162" i="2" a="1"/>
  <c r="EI162" i="2" s="1"/>
  <c r="EI150" i="2" a="1"/>
  <c r="EI150" i="2" s="1"/>
  <c r="EI142" i="2" a="1"/>
  <c r="EI142" i="2" s="1"/>
  <c r="EI106" i="2" a="1"/>
  <c r="EI106" i="2" s="1"/>
  <c r="EI145" i="2" a="1"/>
  <c r="EI145" i="2" s="1"/>
  <c r="DN56" i="2" a="1"/>
  <c r="DN56" i="2" s="1"/>
  <c r="DN184" i="2" a="1"/>
  <c r="DN184" i="2" s="1"/>
  <c r="DN124" i="2" a="1"/>
  <c r="DN124" i="2" s="1"/>
  <c r="DN152" i="2" a="1"/>
  <c r="DN152" i="2" s="1"/>
  <c r="DN186" i="2" a="1"/>
  <c r="DN186" i="2" s="1"/>
  <c r="CS52" i="2" a="1"/>
  <c r="CS52" i="2" s="1"/>
  <c r="CS120" i="2" a="1"/>
  <c r="CS120" i="2" s="1"/>
  <c r="CS77" i="2" a="1"/>
  <c r="CS77" i="2" s="1"/>
  <c r="CS114" i="2" a="1"/>
  <c r="CS114" i="2" s="1"/>
  <c r="CS105" i="2" a="1"/>
  <c r="CS105" i="2" s="1"/>
  <c r="CS38" i="2" a="1"/>
  <c r="CS38" i="2" s="1"/>
  <c r="CS161" i="2" a="1"/>
  <c r="CS161" i="2" s="1"/>
  <c r="BX107" i="2" a="1"/>
  <c r="BX107" i="2" s="1"/>
  <c r="AH90" i="2" a="1"/>
  <c r="AH90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Y203" i="2" l="1"/>
  <c r="ED203" i="2"/>
  <c r="DI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J69" i="2" l="1"/>
  <c r="FJ156" i="2"/>
  <c r="FJ9" i="2"/>
  <c r="FJ157" i="2"/>
  <c r="FJ202" i="2"/>
  <c r="FJ179" i="2"/>
  <c r="FJ203" i="2"/>
  <c r="FJ14" i="2"/>
  <c r="FJ159" i="2"/>
  <c r="FJ191" i="2"/>
  <c r="FJ171" i="2"/>
  <c r="FJ123" i="2"/>
  <c r="FJ125" i="2"/>
  <c r="FJ37" i="2"/>
  <c r="FJ60" i="2"/>
  <c r="FJ70" i="2"/>
  <c r="FJ169" i="2"/>
  <c r="FJ180" i="2"/>
  <c r="FJ30" i="2"/>
  <c r="FJ113" i="2"/>
  <c r="FJ86" i="2"/>
  <c r="FJ164" i="2"/>
  <c r="FJ38" i="2"/>
  <c r="FJ41" i="2"/>
  <c r="FJ74" i="2"/>
  <c r="FJ161" i="2"/>
  <c r="FJ111" i="2"/>
  <c r="FJ13" i="2"/>
  <c r="FJ155" i="2"/>
  <c r="FJ167" i="2"/>
  <c r="FJ68" i="2"/>
  <c r="FJ112" i="2"/>
  <c r="FJ55" i="2"/>
  <c r="FJ110" i="2"/>
  <c r="FJ165" i="2"/>
  <c r="FJ196" i="2"/>
  <c r="FJ65" i="2"/>
  <c r="FJ18" i="2"/>
  <c r="FJ26" i="2"/>
  <c r="FJ32" i="2"/>
  <c r="FJ134" i="2"/>
  <c r="FJ193" i="2"/>
  <c r="FJ34" i="2"/>
  <c r="FJ133" i="2"/>
  <c r="FJ96" i="2"/>
  <c r="FJ177" i="2"/>
  <c r="FJ7" i="2"/>
  <c r="FJ185" i="2"/>
  <c r="FJ129" i="2"/>
  <c r="FJ109" i="2"/>
  <c r="FJ172" i="2"/>
  <c r="FJ184" i="2"/>
  <c r="FJ91" i="2"/>
  <c r="FJ127" i="2"/>
  <c r="FJ120" i="2"/>
  <c r="FJ118" i="2"/>
  <c r="FJ21" i="2"/>
  <c r="FJ147" i="2"/>
  <c r="FJ132" i="2"/>
  <c r="FJ151" i="2"/>
  <c r="FJ163" i="2"/>
  <c r="FJ145" i="2"/>
  <c r="FJ117" i="2"/>
  <c r="FJ39" i="2"/>
  <c r="FJ146" i="2"/>
  <c r="FJ6" i="2"/>
  <c r="FJ200" i="2"/>
  <c r="FJ100" i="2"/>
  <c r="FJ198" i="2"/>
  <c r="FJ84" i="2"/>
  <c r="FJ22" i="2"/>
  <c r="FJ27" i="2"/>
  <c r="FJ45" i="2"/>
  <c r="FJ187" i="2"/>
  <c r="FJ81" i="2"/>
  <c r="FJ158" i="2"/>
  <c r="FJ57" i="2"/>
  <c r="FJ35" i="2"/>
  <c r="FJ8" i="2"/>
  <c r="FJ62" i="2"/>
  <c r="FJ103" i="2"/>
  <c r="FJ19" i="2"/>
  <c r="FJ144" i="2"/>
  <c r="FJ106" i="2"/>
  <c r="FJ102" i="2"/>
  <c r="FJ5" i="2"/>
  <c r="FJ197" i="2"/>
  <c r="FJ121" i="2"/>
  <c r="FJ115" i="2"/>
  <c r="FJ12" i="2"/>
  <c r="FJ54" i="2"/>
  <c r="FJ66" i="2"/>
  <c r="FJ176" i="2"/>
  <c r="FJ11" i="2"/>
  <c r="FJ139" i="2"/>
  <c r="FJ63" i="2"/>
  <c r="FJ135" i="2"/>
  <c r="FJ189" i="2"/>
  <c r="FJ82" i="2"/>
  <c r="FJ128" i="2"/>
  <c r="FJ101" i="2"/>
  <c r="FJ137" i="2"/>
  <c r="FJ194" i="2"/>
  <c r="FJ23" i="2"/>
  <c r="FJ73" i="2"/>
  <c r="FJ51" i="2"/>
  <c r="FJ166" i="2"/>
  <c r="FJ58" i="2"/>
  <c r="FJ87" i="2"/>
  <c r="FJ188" i="2"/>
  <c r="FJ182" i="2"/>
  <c r="FJ33" i="2"/>
  <c r="FJ42" i="2"/>
  <c r="FJ148" i="2"/>
  <c r="FJ186" i="2"/>
  <c r="FJ152" i="2"/>
  <c r="FJ40" i="2"/>
  <c r="FJ149" i="2"/>
  <c r="FJ99" i="2"/>
  <c r="FJ105" i="2"/>
  <c r="FJ49" i="2"/>
  <c r="FJ29" i="2"/>
  <c r="FJ108" i="2"/>
  <c r="FJ48" i="2"/>
  <c r="FJ130" i="2"/>
  <c r="FJ168" i="2"/>
  <c r="FJ3" i="2"/>
  <c r="C13" i="4" s="1"/>
  <c r="E13" i="4" s="1"/>
  <c r="F13" i="4" s="1"/>
  <c r="G13" i="4" s="1"/>
  <c r="L13" i="4" s="1"/>
  <c r="FJ124" i="2"/>
  <c r="FJ17" i="2"/>
  <c r="FJ47" i="2"/>
  <c r="FJ199" i="2"/>
  <c r="FJ183" i="2"/>
  <c r="FJ192" i="2"/>
  <c r="FJ136" i="2"/>
  <c r="FJ46" i="2"/>
  <c r="FJ107" i="2"/>
  <c r="FJ160" i="2"/>
  <c r="FJ140" i="2"/>
  <c r="FJ25" i="2"/>
  <c r="FJ162" i="2"/>
  <c r="FJ28" i="2"/>
  <c r="FJ20" i="2"/>
  <c r="FJ10" i="2"/>
  <c r="FJ61" i="2"/>
  <c r="FJ56" i="2"/>
  <c r="FJ97" i="2"/>
  <c r="FJ170" i="2"/>
  <c r="FJ83" i="2"/>
  <c r="FJ122" i="2"/>
  <c r="FJ150" i="2"/>
  <c r="FJ104" i="2"/>
  <c r="FJ36" i="2"/>
  <c r="FJ95" i="2"/>
  <c r="FJ201" i="2"/>
  <c r="FJ181" i="2"/>
  <c r="FJ153" i="2"/>
  <c r="FJ76" i="2"/>
  <c r="FJ89" i="2"/>
  <c r="FJ90" i="2"/>
  <c r="FJ53" i="2"/>
  <c r="FJ75" i="2"/>
  <c r="FJ79" i="2"/>
  <c r="FJ178" i="2"/>
  <c r="FJ64" i="2"/>
  <c r="FJ52" i="2"/>
  <c r="FJ78" i="2"/>
  <c r="FJ44" i="2"/>
  <c r="FJ24" i="2"/>
  <c r="FJ94" i="2"/>
  <c r="FJ77" i="2"/>
  <c r="FJ93" i="2"/>
  <c r="FJ4" i="2"/>
  <c r="FJ59" i="2"/>
  <c r="FJ16" i="2"/>
  <c r="FJ98" i="2"/>
  <c r="FJ154" i="2"/>
  <c r="FJ88" i="2"/>
  <c r="FJ143" i="2"/>
  <c r="FJ80" i="2"/>
  <c r="FJ85" i="2"/>
  <c r="FJ67" i="2"/>
  <c r="FJ126" i="2"/>
  <c r="FJ131" i="2"/>
  <c r="FJ71" i="2"/>
  <c r="FJ141" i="2"/>
  <c r="FJ174" i="2"/>
  <c r="FJ138" i="2"/>
  <c r="FJ142" i="2"/>
  <c r="FJ72" i="2"/>
  <c r="FJ119" i="2"/>
  <c r="FJ50" i="2"/>
  <c r="FJ15" i="2"/>
  <c r="FJ31" i="2"/>
  <c r="FJ173" i="2"/>
  <c r="FJ114" i="2"/>
  <c r="FJ43" i="2"/>
  <c r="FJ92" i="2"/>
  <c r="FJ195" i="2"/>
  <c r="FJ190" i="2"/>
  <c r="FJ116" i="2"/>
  <c r="FJ175" i="2"/>
  <c r="FE115" i="2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131" i="2"/>
  <c r="BI76" i="2"/>
  <c r="BI200" i="2"/>
  <c r="BI149" i="2"/>
  <c r="BI97" i="2"/>
  <c r="BI162" i="2"/>
  <c r="BI45" i="2"/>
  <c r="BI23" i="2"/>
  <c r="BI184" i="2"/>
  <c r="BI66" i="2"/>
  <c r="BI57" i="2"/>
  <c r="BI53" i="2"/>
  <c r="BI60" i="2"/>
  <c r="BI48" i="2"/>
  <c r="BI125" i="2"/>
  <c r="BI166" i="2"/>
  <c r="BI15" i="2"/>
  <c r="BI4" i="2"/>
  <c r="BI106" i="2"/>
  <c r="BI136" i="2"/>
  <c r="BI157" i="2"/>
  <c r="BI9" i="2"/>
  <c r="BI164" i="2"/>
  <c r="BI59" i="2"/>
  <c r="BI189" i="2"/>
  <c r="BI111" i="2"/>
  <c r="BI81" i="2"/>
  <c r="BI203" i="2"/>
  <c r="BI71" i="2"/>
  <c r="BI86" i="2"/>
  <c r="BI38" i="2"/>
  <c r="BI27" i="2"/>
  <c r="BI55" i="2"/>
  <c r="BI7" i="2"/>
  <c r="BI198" i="2"/>
  <c r="BI169" i="2"/>
  <c r="BI104" i="2"/>
  <c r="BI134" i="2"/>
  <c r="BI120" i="2"/>
  <c r="BI109" i="2"/>
  <c r="BI119" i="2"/>
  <c r="BI175" i="2"/>
  <c r="BI108" i="2"/>
  <c r="BI114" i="2"/>
  <c r="BI14" i="2"/>
  <c r="BI202" i="2"/>
  <c r="BI121" i="2"/>
  <c r="BI91" i="2"/>
  <c r="BI24" i="2"/>
  <c r="BI65" i="2"/>
  <c r="BI77" i="2"/>
  <c r="BI172" i="2"/>
  <c r="BI29" i="2"/>
  <c r="BI183" i="2"/>
  <c r="BI144" i="2"/>
  <c r="BI25" i="2"/>
  <c r="BI103" i="2"/>
  <c r="BI16" i="2"/>
  <c r="BI155" i="2"/>
  <c r="BI20" i="2"/>
  <c r="BI88" i="2"/>
  <c r="BI28" i="2"/>
  <c r="BI94" i="2"/>
  <c r="BI126" i="2"/>
  <c r="BI139" i="2"/>
  <c r="BI186" i="2"/>
  <c r="BI8" i="2"/>
  <c r="BI98" i="2"/>
  <c r="BI180" i="2"/>
  <c r="BI54" i="2"/>
  <c r="BI70" i="2"/>
  <c r="BI39" i="2"/>
  <c r="BI3" i="2"/>
  <c r="C8" i="4" s="1"/>
  <c r="E8" i="4" s="1"/>
  <c r="F8" i="4" s="1"/>
  <c r="G8" i="4" s="1"/>
  <c r="L8" i="4" s="1"/>
  <c r="BI167" i="2"/>
  <c r="BI130" i="2"/>
  <c r="BI99" i="2"/>
  <c r="BI12" i="2"/>
  <c r="BI74" i="2"/>
  <c r="BI150" i="2"/>
  <c r="BI63" i="2"/>
  <c r="BI153" i="2"/>
  <c r="BI193" i="2"/>
  <c r="BI159" i="2"/>
  <c r="BI187" i="2"/>
  <c r="BI6" i="2"/>
  <c r="BI170" i="2"/>
  <c r="BI100" i="2"/>
  <c r="BI160" i="2"/>
  <c r="BI123" i="2"/>
  <c r="BI105" i="2"/>
  <c r="BI78" i="2"/>
  <c r="BI147" i="2"/>
  <c r="BI37" i="2"/>
  <c r="BI188" i="2"/>
  <c r="BI191" i="2"/>
  <c r="BI133" i="2"/>
  <c r="BI178" i="2"/>
  <c r="BI113" i="2"/>
  <c r="BI5" i="2"/>
  <c r="BI138" i="2"/>
  <c r="BI82" i="2"/>
  <c r="BI122" i="2"/>
  <c r="BI84" i="2"/>
  <c r="BI79" i="2"/>
  <c r="BI13" i="2"/>
  <c r="BI89" i="2"/>
  <c r="BI80" i="2"/>
  <c r="BI101" i="2"/>
  <c r="BI135" i="2"/>
  <c r="BI102" i="2"/>
  <c r="BI72" i="2"/>
  <c r="BI56" i="2"/>
  <c r="BI10" i="2"/>
  <c r="BI42" i="2"/>
  <c r="BI197" i="2"/>
  <c r="BI83" i="2"/>
  <c r="BI90" i="2"/>
  <c r="BI165" i="2"/>
  <c r="BI145" i="2"/>
  <c r="BI161" i="2"/>
  <c r="BI61" i="2"/>
  <c r="BI11" i="2"/>
  <c r="BI181" i="2"/>
  <c r="BI75" i="2"/>
  <c r="BI173" i="2"/>
  <c r="BI85" i="2"/>
  <c r="BI112" i="2"/>
  <c r="BI62" i="2"/>
  <c r="BI190" i="2"/>
  <c r="BI141" i="2"/>
  <c r="BI185" i="2"/>
  <c r="BI49" i="2"/>
  <c r="BI151" i="2"/>
  <c r="BI68" i="2"/>
  <c r="BI43" i="2"/>
  <c r="BI179" i="2"/>
  <c r="BI152" i="2"/>
  <c r="BI137" i="2"/>
  <c r="BI132" i="2"/>
  <c r="BI35" i="2"/>
  <c r="BI115" i="2"/>
  <c r="BI196" i="2"/>
  <c r="BI192" i="2"/>
  <c r="BI127" i="2"/>
  <c r="BI30" i="2"/>
  <c r="BI143" i="2"/>
  <c r="BI46" i="2"/>
  <c r="BI19" i="2"/>
  <c r="BI146" i="2"/>
  <c r="BI174" i="2"/>
  <c r="BI22" i="2"/>
  <c r="BI110" i="2"/>
  <c r="BI40" i="2"/>
  <c r="BI140" i="2"/>
  <c r="BI129" i="2"/>
  <c r="BI158" i="2"/>
  <c r="BI32" i="2"/>
  <c r="BI107" i="2"/>
  <c r="BI87" i="2"/>
  <c r="BI67" i="2"/>
  <c r="BI21" i="2"/>
  <c r="BI50" i="2"/>
  <c r="BI41" i="2"/>
  <c r="BI26" i="2"/>
  <c r="BI117" i="2"/>
  <c r="BI31" i="2"/>
  <c r="BI128" i="2"/>
  <c r="BI51" i="2"/>
  <c r="BI201" i="2"/>
  <c r="BI33" i="2"/>
  <c r="BI36" i="2"/>
  <c r="BI18" i="2"/>
  <c r="BI52" i="2"/>
  <c r="BI142" i="2"/>
  <c r="BI93" i="2"/>
  <c r="BI34" i="2"/>
  <c r="BI69" i="2"/>
  <c r="BI194" i="2"/>
  <c r="BI118" i="2"/>
  <c r="BI195" i="2"/>
  <c r="BI156" i="2"/>
  <c r="BI154" i="2"/>
  <c r="BI182" i="2"/>
  <c r="BI116" i="2"/>
  <c r="BI171" i="2"/>
  <c r="BI168" i="2"/>
  <c r="BI124" i="2"/>
  <c r="BI44" i="2"/>
  <c r="BI148" i="2"/>
  <c r="BI64" i="2"/>
  <c r="BI17" i="2"/>
  <c r="BI92" i="2"/>
  <c r="BI177" i="2"/>
  <c r="BI73" i="2"/>
  <c r="BI199" i="2"/>
  <c r="BI96" i="2"/>
  <c r="BI163" i="2"/>
  <c r="BI58" i="2"/>
  <c r="BI95" i="2"/>
  <c r="BI176" i="2"/>
  <c r="BS152" i="2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<sst xmlns="http://schemas.openxmlformats.org/spreadsheetml/2006/main" count="1177" uniqueCount="324">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</sst>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173.72181380960993</c:v>
                </c:pt>
                <c:pt idx="27">
                  <c:v>189.09987078266829</c:v>
                </c:pt>
                <c:pt idx="28">
                  <c:v>204.4487812295192</c:v>
                </c:pt>
                <c:pt idx="29">
                  <c:v>219.7710421086791</c:v>
                </c:pt>
                <c:pt idx="30">
                  <c:v>235.06877345752704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277.35142797945286</c:v>
                </c:pt>
                <c:pt idx="37">
                  <c:v>295.61299167711019</c:v>
                </c:pt>
                <c:pt idx="38">
                  <c:v>313.84940040812506</c:v>
                </c:pt>
                <c:pt idx="39">
                  <c:v>332.06232108561716</c:v>
                </c:pt>
                <c:pt idx="40">
                  <c:v>350.25322285655176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367.991017900744</c:v>
                </c:pt>
                <c:pt idx="47">
                  <c:v>385.71015840744536</c:v>
                </c:pt>
                <c:pt idx="48">
                  <c:v>403.4116216390002</c:v>
                </c:pt>
                <c:pt idx="49">
                  <c:v>421.09629212416644</c:v>
                </c:pt>
                <c:pt idx="50">
                  <c:v>438.76497406308476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450.82258294436616</c:v>
                </c:pt>
                <c:pt idx="57">
                  <c:v>467.17548976530185</c:v>
                </c:pt>
                <c:pt idx="58">
                  <c:v>483.51620053314986</c:v>
                </c:pt>
                <c:pt idx="59">
                  <c:v>499.8451852797545</c:v>
                </c:pt>
                <c:pt idx="60">
                  <c:v>516.16288083607753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517.87989315697871</c:v>
                </c:pt>
                <c:pt idx="67">
                  <c:v>532.46969417446041</c:v>
                </c:pt>
                <c:pt idx="68">
                  <c:v>547.05108794372802</c:v>
                </c:pt>
                <c:pt idx="69">
                  <c:v>561.62433003260401</c:v>
                </c:pt>
                <c:pt idx="70">
                  <c:v>576.189661669972</c:v>
                </c:pt>
                <c:pt idx="71">
                  <c:v>499.41562163511867</c:v>
                </c:pt>
                <c:pt idx="72">
                  <c:v>512.72849407235992</c:v>
                </c:pt>
                <c:pt idx="73">
                  <c:v>526.034069299154</c:v>
                </c:pt>
                <c:pt idx="74">
                  <c:v>539.3325578512198</c:v>
                </c:pt>
                <c:pt idx="75">
                  <c:v>552.62415903802309</c:v>
                </c:pt>
                <c:pt idx="76">
                  <c:v>565.48061924570618</c:v>
                </c:pt>
                <c:pt idx="77">
                  <c:v>578.33096894357777</c:v>
                </c:pt>
                <c:pt idx="78">
                  <c:v>591.17536299398307</c:v>
                </c:pt>
                <c:pt idx="79">
                  <c:v>604.01394898353044</c:v>
                </c:pt>
                <c:pt idx="80">
                  <c:v>616.84686771553959</c:v>
                </c:pt>
                <c:pt idx="81">
                  <c:v>538.90368289481694</c:v>
                </c:pt>
                <c:pt idx="82">
                  <c:v>550.9094940154298</c:v>
                </c:pt>
                <c:pt idx="83">
                  <c:v>562.90982113451889</c:v>
                </c:pt>
                <c:pt idx="84">
                  <c:v>574.90479761309098</c:v>
                </c:pt>
                <c:pt idx="85">
                  <c:v>586.89455079472907</c:v>
                </c:pt>
                <c:pt idx="86">
                  <c:v>598.87920239707967</c:v>
                </c:pt>
                <c:pt idx="87">
                  <c:v>610.85886887038032</c:v>
                </c:pt>
                <c:pt idx="88">
                  <c:v>622.83366172641229</c:v>
                </c:pt>
                <c:pt idx="89">
                  <c:v>634.8036878408484</c:v>
                </c:pt>
                <c:pt idx="90">
                  <c:v>646.76904973162061</c:v>
                </c:pt>
                <c:pt idx="91">
                  <c:v>567.40855737534105</c:v>
                </c:pt>
                <c:pt idx="92">
                  <c:v>577.90272074471397</c:v>
                </c:pt>
                <c:pt idx="93">
                  <c:v>588.39290880026408</c:v>
                </c:pt>
                <c:pt idx="94">
                  <c:v>598.87920239707967</c:v>
                </c:pt>
                <c:pt idx="95">
                  <c:v>609.36167932827175</c:v>
                </c:pt>
                <c:pt idx="96">
                  <c:v>619.84041449272581</c:v>
                </c:pt>
                <c:pt idx="97">
                  <c:v>630.31548005092702</c:v>
                </c:pt>
                <c:pt idx="98">
                  <c:v>640.78694556988739</c:v>
                </c:pt>
                <c:pt idx="99">
                  <c:v>651.25487815811346</c:v>
                </c:pt>
                <c:pt idx="100">
                  <c:v>661.71934259144484</c:v>
                </c:pt>
                <c:pt idx="101">
                  <c:v>581.3285213801496</c:v>
                </c:pt>
                <c:pt idx="102">
                  <c:v>590.74731089993509</c:v>
                </c:pt>
                <c:pt idx="103">
                  <c:v>600.16297452894128</c:v>
                </c:pt>
                <c:pt idx="104">
                  <c:v>609.57556821855712</c:v>
                </c:pt>
                <c:pt idx="105">
                  <c:v>618.98514605149137</c:v>
                </c:pt>
                <c:pt idx="106">
                  <c:v>628.39176033224737</c:v>
                </c:pt>
                <c:pt idx="107">
                  <c:v>637.79546167190244</c:v>
                </c:pt>
                <c:pt idx="108">
                  <c:v>647.19629906762464</c:v>
                </c:pt>
                <c:pt idx="109">
                  <c:v>656.59431997733509</c:v>
                </c:pt>
                <c:pt idx="110">
                  <c:v>665.98957038987078</c:v>
                </c:pt>
                <c:pt idx="111">
                  <c:v>590.53328243145177</c:v>
                </c:pt>
                <c:pt idx="112">
                  <c:v>598.45126564391705</c:v>
                </c:pt>
                <c:pt idx="113">
                  <c:v>606.36707095513827</c:v>
                </c:pt>
                <c:pt idx="114">
                  <c:v>614.28073080742126</c:v>
                </c:pt>
                <c:pt idx="115">
                  <c:v>622.19227673896842</c:v>
                </c:pt>
                <c:pt idx="116">
                  <c:v>630.10173942049676</c:v>
                </c:pt>
                <c:pt idx="117">
                  <c:v>638.00914868992402</c:v>
                </c:pt>
                <c:pt idx="118">
                  <c:v>645.91453358524438</c:v>
                </c:pt>
                <c:pt idx="119">
                  <c:v>653.81792237571324</c:v>
                </c:pt>
                <c:pt idx="120">
                  <c:v>661.71934259144427</c:v>
                </c:pt>
                <c:pt idx="121">
                  <c:v>593.74354023634271</c:v>
                </c:pt>
                <c:pt idx="122">
                  <c:v>600.59088588094244</c:v>
                </c:pt>
                <c:pt idx="123">
                  <c:v>607.43660911597419</c:v>
                </c:pt>
                <c:pt idx="124">
                  <c:v>614.28073080742081</c:v>
                </c:pt>
                <c:pt idx="125">
                  <c:v>621.12327131831046</c:v>
                </c:pt>
                <c:pt idx="126">
                  <c:v>627.96425052636573</c:v>
                </c:pt>
                <c:pt idx="127">
                  <c:v>634.80368784084692</c:v>
                </c:pt>
                <c:pt idx="128">
                  <c:v>641.64160221862994</c:v>
                </c:pt>
                <c:pt idx="129">
                  <c:v>648.47801217956373</c:v>
                </c:pt>
                <c:pt idx="130">
                  <c:v>655.31293582114483</c:v>
                </c:pt>
                <c:pt idx="131">
                  <c:v>594.81354579947072</c:v>
                </c:pt>
                <c:pt idx="132">
                  <c:v>600.59088588094198</c:v>
                </c:pt>
                <c:pt idx="133">
                  <c:v>606.36707095513759</c:v>
                </c:pt>
                <c:pt idx="134">
                  <c:v>612.14211357944589</c:v>
                </c:pt>
                <c:pt idx="135">
                  <c:v>617.91602605493142</c:v>
                </c:pt>
                <c:pt idx="136">
                  <c:v>623.68882043396547</c:v>
                </c:pt>
                <c:pt idx="137">
                  <c:v>629.4605085275598</c:v>
                </c:pt>
                <c:pt idx="138">
                  <c:v>635.23110191241733</c:v>
                </c:pt>
                <c:pt idx="139">
                  <c:v>641.0006119377133</c:v>
                </c:pt>
                <c:pt idx="140">
                  <c:v>646.76904973161891</c:v>
                </c:pt>
                <c:pt idx="141">
                  <c:v>594.17154727265245</c:v>
                </c:pt>
                <c:pt idx="142">
                  <c:v>599.30713279218094</c:v>
                </c:pt>
                <c:pt idx="143">
                  <c:v>604.44180348405064</c:v>
                </c:pt>
                <c:pt idx="144">
                  <c:v>609.57556821855599</c:v>
                </c:pt>
                <c:pt idx="145">
                  <c:v>614.7084357043459</c:v>
                </c:pt>
                <c:pt idx="146">
                  <c:v>619.84041449272411</c:v>
                </c:pt>
                <c:pt idx="147">
                  <c:v>624.97151298179995</c:v>
                </c:pt>
                <c:pt idx="148">
                  <c:v>630.10173942049585</c:v>
                </c:pt>
                <c:pt idx="149">
                  <c:v>635.23110191241688</c:v>
                </c:pt>
                <c:pt idx="150">
                  <c:v>640.3596084195899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237376"/>
        <c:axId val="1046234112"/>
      </c:scatterChart>
      <c:valAx>
        <c:axId val="10462373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34112"/>
        <c:crosses val="autoZero"/>
        <c:crossBetween val="midCat"/>
      </c:valAx>
      <c:valAx>
        <c:axId val="1046234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373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4853584"/>
        <c:axId val="644856304"/>
      </c:scatterChart>
      <c:valAx>
        <c:axId val="64485358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4856304"/>
        <c:crosses val="autoZero"/>
        <c:crossBetween val="midCat"/>
      </c:valAx>
      <c:valAx>
        <c:axId val="644856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485358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3.2703410613260862</c:v>
                </c:pt>
                <c:pt idx="2">
                  <c:v>3.9161437254808931</c:v>
                </c:pt>
                <c:pt idx="3">
                  <c:v>4.6899445270810372</c:v>
                </c:pt>
                <c:pt idx="4">
                  <c:v>5.617200485549847</c:v>
                </c:pt>
                <c:pt idx="5">
                  <c:v>6.7284480012868242</c:v>
                </c:pt>
                <c:pt idx="6">
                  <c:v>8.0603193640911446</c:v>
                </c:pt>
                <c:pt idx="7">
                  <c:v>9.6567632502780452</c:v>
                </c:pt>
                <c:pt idx="8">
                  <c:v>11.570510247422023</c:v>
                </c:pt>
                <c:pt idx="9">
                  <c:v>13.864832720969302</c:v>
                </c:pt>
                <c:pt idx="10">
                  <c:v>16.61565828443106</c:v>
                </c:pt>
                <c:pt idx="11">
                  <c:v>19.914108093024186</c:v>
                </c:pt>
                <c:pt idx="12">
                  <c:v>23.869545556641487</c:v>
                </c:pt>
                <c:pt idx="13">
                  <c:v>28.613238351676909</c:v>
                </c:pt>
                <c:pt idx="14">
                  <c:v>34.302757391640604</c:v>
                </c:pt>
                <c:pt idx="15">
                  <c:v>41.127261402376554</c:v>
                </c:pt>
                <c:pt idx="16">
                  <c:v>49.313845791603399</c:v>
                </c:pt>
                <c:pt idx="17">
                  <c:v>59.135170630109862</c:v>
                </c:pt>
                <c:pt idx="18">
                  <c:v>70.918626007223153</c:v>
                </c:pt>
                <c:pt idx="19">
                  <c:v>85.057345270772814</c:v>
                </c:pt>
                <c:pt idx="20">
                  <c:v>102.02343949799173</c:v>
                </c:pt>
                <c:pt idx="21">
                  <c:v>115.24488471715169</c:v>
                </c:pt>
                <c:pt idx="22">
                  <c:v>128.42920528646451</c:v>
                </c:pt>
                <c:pt idx="23">
                  <c:v>141.58075430337479</c:v>
                </c:pt>
                <c:pt idx="24">
                  <c:v>154.70300795717847</c:v>
                </c:pt>
                <c:pt idx="25">
                  <c:v>167.79880331835713</c:v>
                </c:pt>
                <c:pt idx="26">
                  <c:v>184.1348953873202</c:v>
                </c:pt>
                <c:pt idx="27">
                  <c:v>200.43711831314488</c:v>
                </c:pt>
                <c:pt idx="28">
                  <c:v>216.70861540949173</c:v>
                </c:pt>
                <c:pt idx="29">
                  <c:v>232.95201893246733</c:v>
                </c:pt>
                <c:pt idx="30">
                  <c:v>249.16956379358496</c:v>
                </c:pt>
                <c:pt idx="31">
                  <c:v>200.43711831314488</c:v>
                </c:pt>
                <c:pt idx="32">
                  <c:v>219.03076565248196</c:v>
                </c:pt>
                <c:pt idx="33">
                  <c:v>237.58815254200749</c:v>
                </c:pt>
                <c:pt idx="34">
                  <c:v>256.1125096163592</c:v>
                </c:pt>
                <c:pt idx="35">
                  <c:v>274.60656174697812</c:v>
                </c:pt>
                <c:pt idx="36">
                  <c:v>293.99524327269938</c:v>
                </c:pt>
                <c:pt idx="37">
                  <c:v>313.35539693038533</c:v>
                </c:pt>
                <c:pt idx="38">
                  <c:v>332.68903260064207</c:v>
                </c:pt>
                <c:pt idx="39">
                  <c:v>351.99790751820501</c:v>
                </c:pt>
                <c:pt idx="40">
                  <c:v>371.28357043570503</c:v>
                </c:pt>
                <c:pt idx="41">
                  <c:v>293.99524327269938</c:v>
                </c:pt>
                <c:pt idx="42">
                  <c:v>313.35539693038538</c:v>
                </c:pt>
                <c:pt idx="43">
                  <c:v>332.68903260064207</c:v>
                </c:pt>
                <c:pt idx="44">
                  <c:v>351.99790751820518</c:v>
                </c:pt>
                <c:pt idx="45">
                  <c:v>371.28357043570503</c:v>
                </c:pt>
                <c:pt idx="46">
                  <c:v>390.08897772661572</c:v>
                </c:pt>
                <c:pt idx="47">
                  <c:v>408.87471968472323</c:v>
                </c:pt>
                <c:pt idx="48">
                  <c:v>427.6418265252899</c:v>
                </c:pt>
                <c:pt idx="49">
                  <c:v>446.39123070522641</c:v>
                </c:pt>
                <c:pt idx="50">
                  <c:v>465.12378000022358</c:v>
                </c:pt>
                <c:pt idx="51">
                  <c:v>387.33822121677048</c:v>
                </c:pt>
                <c:pt idx="52">
                  <c:v>405.66874423568089</c:v>
                </c:pt>
                <c:pt idx="53">
                  <c:v>423.98137001578152</c:v>
                </c:pt>
                <c:pt idx="54">
                  <c:v>442.27697999035109</c:v>
                </c:pt>
                <c:pt idx="55">
                  <c:v>460.55637675309475</c:v>
                </c:pt>
                <c:pt idx="56">
                  <c:v>477.9074551778013</c:v>
                </c:pt>
                <c:pt idx="57">
                  <c:v>495.24514214260324</c:v>
                </c:pt>
                <c:pt idx="58">
                  <c:v>512.56997221170479</c:v>
                </c:pt>
                <c:pt idx="59">
                  <c:v>529.88244088560566</c:v>
                </c:pt>
                <c:pt idx="60">
                  <c:v>547.18300866493462</c:v>
                </c:pt>
                <c:pt idx="61">
                  <c:v>467.86376222658549</c:v>
                </c:pt>
                <c:pt idx="62">
                  <c:v>484.29655280391279</c:v>
                </c:pt>
                <c:pt idx="63">
                  <c:v>500.71750586625211</c:v>
                </c:pt>
                <c:pt idx="64">
                  <c:v>517.12706410485578</c:v>
                </c:pt>
                <c:pt idx="65">
                  <c:v>533.52563983842992</c:v>
                </c:pt>
                <c:pt idx="66">
                  <c:v>549.00344654997514</c:v>
                </c:pt>
                <c:pt idx="67">
                  <c:v>564.47210457381163</c:v>
                </c:pt>
                <c:pt idx="68">
                  <c:v>579.93189980305101</c:v>
                </c:pt>
                <c:pt idx="69">
                  <c:v>595.38310165344672</c:v>
                </c:pt>
                <c:pt idx="70">
                  <c:v>610.82596442485954</c:v>
                </c:pt>
                <c:pt idx="71">
                  <c:v>529.42700402201569</c:v>
                </c:pt>
                <c:pt idx="72">
                  <c:v>543.54175115137775</c:v>
                </c:pt>
                <c:pt idx="73">
                  <c:v>557.64880567125817</c:v>
                </c:pt>
                <c:pt idx="74">
                  <c:v>571.74838952524453</c:v>
                </c:pt>
                <c:pt idx="75">
                  <c:v>585.84071282237744</c:v>
                </c:pt>
                <c:pt idx="76">
                  <c:v>599.47171971380669</c:v>
                </c:pt>
                <c:pt idx="77">
                  <c:v>613.09628499771316</c:v>
                </c:pt>
                <c:pt idx="78">
                  <c:v>626.71457192765104</c:v>
                </c:pt>
                <c:pt idx="79">
                  <c:v>640.3267360872029</c:v>
                </c:pt>
                <c:pt idx="80">
                  <c:v>653.93292590911028</c:v>
                </c:pt>
                <c:pt idx="81">
                  <c:v>571.29367866642974</c:v>
                </c:pt>
                <c:pt idx="82">
                  <c:v>584.02274942390272</c:v>
                </c:pt>
                <c:pt idx="83">
                  <c:v>596.74603902946512</c:v>
                </c:pt>
                <c:pt idx="84">
                  <c:v>609.46368807028375</c:v>
                </c:pt>
                <c:pt idx="85">
                  <c:v>622.17583079004874</c:v>
                </c:pt>
                <c:pt idx="86">
                  <c:v>634.88259550167152</c:v>
                </c:pt>
                <c:pt idx="87">
                  <c:v>647.58410496524095</c:v>
                </c:pt>
                <c:pt idx="88">
                  <c:v>660.28047673479932</c:v>
                </c:pt>
                <c:pt idx="89">
                  <c:v>672.97182347707314</c:v>
                </c:pt>
                <c:pt idx="90">
                  <c:v>685.6582532649245</c:v>
                </c:pt>
                <c:pt idx="91">
                  <c:v>601.51581107912773</c:v>
                </c:pt>
                <c:pt idx="92">
                  <c:v>612.64223485726768</c:v>
                </c:pt>
                <c:pt idx="93">
                  <c:v>623.76446791937644</c:v>
                </c:pt>
                <c:pt idx="94">
                  <c:v>634.88259550167152</c:v>
                </c:pt>
                <c:pt idx="95">
                  <c:v>645.9966996124798</c:v>
                </c:pt>
                <c:pt idx="96">
                  <c:v>657.10685920908043</c:v>
                </c:pt>
                <c:pt idx="97">
                  <c:v>668.21315036197109</c:v>
                </c:pt>
                <c:pt idx="98">
                  <c:v>679.31564640764952</c:v>
                </c:pt>
                <c:pt idx="99">
                  <c:v>690.41441809089304</c:v>
                </c:pt>
                <c:pt idx="100">
                  <c:v>701.50953369741819</c:v>
                </c:pt>
                <c:pt idx="101">
                  <c:v>616.27444100355058</c:v>
                </c:pt>
                <c:pt idx="102">
                  <c:v>626.26072851795254</c:v>
                </c:pt>
                <c:pt idx="103">
                  <c:v>636.24372076531768</c:v>
                </c:pt>
                <c:pt idx="104">
                  <c:v>646.22347672875867</c:v>
                </c:pt>
                <c:pt idx="105">
                  <c:v>656.20005342145294</c:v>
                </c:pt>
                <c:pt idx="106">
                  <c:v>666.17350598202211</c:v>
                </c:pt>
                <c:pt idx="107">
                  <c:v>676.14388776390103</c:v>
                </c:pt>
                <c:pt idx="108">
                  <c:v>686.11125041916887</c:v>
                </c:pt>
                <c:pt idx="109">
                  <c:v>696.07564397725127</c:v>
                </c:pt>
                <c:pt idx="110">
                  <c:v>706.03711691888873</c:v>
                </c:pt>
                <c:pt idx="111">
                  <c:v>626.03380426043748</c:v>
                </c:pt>
                <c:pt idx="112">
                  <c:v>634.42887368259915</c:v>
                </c:pt>
                <c:pt idx="113">
                  <c:v>642.82164719403158</c:v>
                </c:pt>
                <c:pt idx="114">
                  <c:v>651.21215899492529</c:v>
                </c:pt>
                <c:pt idx="115">
                  <c:v>659.6004423323792</c:v>
                </c:pt>
                <c:pt idx="116">
                  <c:v>667.98652953900148</c:v>
                </c:pt>
                <c:pt idx="117">
                  <c:v>676.37045206947607</c:v>
                </c:pt>
                <c:pt idx="118">
                  <c:v>684.75224053521981</c:v>
                </c:pt>
                <c:pt idx="119">
                  <c:v>693.13192473725633</c:v>
                </c:pt>
                <c:pt idx="120">
                  <c:v>701.50953369741762</c:v>
                </c:pt>
                <c:pt idx="121">
                  <c:v>629.43748973150025</c:v>
                </c:pt>
                <c:pt idx="122">
                  <c:v>636.6974158068673</c:v>
                </c:pt>
                <c:pt idx="123">
                  <c:v>643.95563156247397</c:v>
                </c:pt>
                <c:pt idx="124">
                  <c:v>651.21215899492529</c:v>
                </c:pt>
                <c:pt idx="125">
                  <c:v>658.46701957061839</c:v>
                </c:pt>
                <c:pt idx="126">
                  <c:v>665.72023424435065</c:v>
                </c:pt>
                <c:pt idx="127">
                  <c:v>672.97182347707178</c:v>
                </c:pt>
                <c:pt idx="128">
                  <c:v>680.22180725283522</c:v>
                </c:pt>
                <c:pt idx="129">
                  <c:v>687.47020509498645</c:v>
                </c:pt>
                <c:pt idx="130">
                  <c:v>694.71703608163534</c:v>
                </c:pt>
                <c:pt idx="131">
                  <c:v>630.57196682840777</c:v>
                </c:pt>
                <c:pt idx="132">
                  <c:v>636.69741580686696</c:v>
                </c:pt>
                <c:pt idx="133">
                  <c:v>642.8216471940309</c:v>
                </c:pt>
                <c:pt idx="134">
                  <c:v>648.94467422770936</c:v>
                </c:pt>
                <c:pt idx="135">
                  <c:v>655.06650987549995</c:v>
                </c:pt>
                <c:pt idx="136">
                  <c:v>661.18716684283038</c:v>
                </c:pt>
                <c:pt idx="137">
                  <c:v>667.30665758069279</c:v>
                </c:pt>
                <c:pt idx="138">
                  <c:v>673.42499429307202</c:v>
                </c:pt>
                <c:pt idx="139">
                  <c:v>679.54218894409837</c:v>
                </c:pt>
                <c:pt idx="140">
                  <c:v>685.65825326492302</c:v>
                </c:pt>
                <c:pt idx="141">
                  <c:v>629.89128564200882</c:v>
                </c:pt>
                <c:pt idx="142">
                  <c:v>635.33631061817096</c:v>
                </c:pt>
                <c:pt idx="143">
                  <c:v>640.78037119677663</c:v>
                </c:pt>
                <c:pt idx="144">
                  <c:v>646.2234767287573</c:v>
                </c:pt>
                <c:pt idx="145">
                  <c:v>651.66563639463936</c:v>
                </c:pt>
                <c:pt idx="146">
                  <c:v>657.10685920907861</c:v>
                </c:pt>
                <c:pt idx="147">
                  <c:v>662.54715402523584</c:v>
                </c:pt>
                <c:pt idx="148">
                  <c:v>667.98652953900034</c:v>
                </c:pt>
                <c:pt idx="149">
                  <c:v>673.42499429307145</c:v>
                </c:pt>
                <c:pt idx="150">
                  <c:v>678.86255668089746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243904"/>
        <c:axId val="1046236288"/>
      </c:scatterChart>
      <c:valAx>
        <c:axId val="1046243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36288"/>
        <c:crosses val="autoZero"/>
        <c:crossBetween val="midCat"/>
      </c:valAx>
      <c:valAx>
        <c:axId val="1046236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43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2.9499424774398109</c:v>
                </c:pt>
                <c:pt idx="2">
                  <c:v>3.5322712998141292</c:v>
                </c:pt>
                <c:pt idx="3">
                  <c:v>4.2299796423063247</c:v>
                </c:pt>
                <c:pt idx="4">
                  <c:v>5.0660077681280073</c:v>
                </c:pt>
                <c:pt idx="5">
                  <c:v>6.0678718432979295</c:v>
                </c:pt>
                <c:pt idx="6">
                  <c:v>7.2685794435074236</c:v>
                </c:pt>
                <c:pt idx="7">
                  <c:v>8.707728736258824</c:v>
                </c:pt>
                <c:pt idx="8">
                  <c:v>10.432828282263435</c:v>
                </c:pt>
                <c:pt idx="9">
                  <c:v>12.500881848154869</c:v>
                </c:pt>
                <c:pt idx="10">
                  <c:v>14.98029157537014</c:v>
                </c:pt>
                <c:pt idx="11">
                  <c:v>17.953143612152349</c:v>
                </c:pt>
                <c:pt idx="12">
                  <c:v>21.517953253369303</c:v>
                </c:pt>
                <c:pt idx="13">
                  <c:v>25.792962186854144</c:v>
                </c:pt>
                <c:pt idx="14">
                  <c:v>30.920099145277529</c:v>
                </c:pt>
                <c:pt idx="15">
                  <c:v>37.069737746726702</c:v>
                </c:pt>
                <c:pt idx="16">
                  <c:v>44.446412342171662</c:v>
                </c:pt>
                <c:pt idx="17">
                  <c:v>53.29568519652458</c:v>
                </c:pt>
                <c:pt idx="18">
                  <c:v>63.912397422094891</c:v>
                </c:pt>
                <c:pt idx="19">
                  <c:v>76.650583094416518</c:v>
                </c:pt>
                <c:pt idx="20">
                  <c:v>91.935382517505545</c:v>
                </c:pt>
                <c:pt idx="21">
                  <c:v>103.84617756844348</c:v>
                </c:pt>
                <c:pt idx="22">
                  <c:v>115.72319627792427</c:v>
                </c:pt>
                <c:pt idx="23">
                  <c:v>127.57039913328697</c:v>
                </c:pt>
                <c:pt idx="24">
                  <c:v>139.39094880292336</c:v>
                </c:pt>
                <c:pt idx="25">
                  <c:v>151.18742647916039</c:v>
                </c:pt>
                <c:pt idx="26">
                  <c:v>165.90240656060988</c:v>
                </c:pt>
                <c:pt idx="27">
                  <c:v>180.58657218998462</c:v>
                </c:pt>
                <c:pt idx="28">
                  <c:v>195.24278318241954</c:v>
                </c:pt>
                <c:pt idx="29">
                  <c:v>209.87343438827483</c:v>
                </c:pt>
                <c:pt idx="30">
                  <c:v>224.48055915021379</c:v>
                </c:pt>
                <c:pt idx="31">
                  <c:v>180.58657218998462</c:v>
                </c:pt>
                <c:pt idx="32">
                  <c:v>197.3343901571734</c:v>
                </c:pt>
                <c:pt idx="33">
                  <c:v>214.04921803989632</c:v>
                </c:pt>
                <c:pt idx="34">
                  <c:v>230.73399509870114</c:v>
                </c:pt>
                <c:pt idx="35">
                  <c:v>247.39120044621509</c:v>
                </c:pt>
                <c:pt idx="36">
                  <c:v>264.85390518195555</c:v>
                </c:pt>
                <c:pt idx="37">
                  <c:v>282.29065500591173</c:v>
                </c:pt>
                <c:pt idx="38">
                  <c:v>299.70327852559689</c:v>
                </c:pt>
                <c:pt idx="39">
                  <c:v>317.09337448903148</c:v>
                </c:pt>
                <c:pt idx="40">
                  <c:v>334.46235196533502</c:v>
                </c:pt>
                <c:pt idx="41">
                  <c:v>264.85390518195561</c:v>
                </c:pt>
                <c:pt idx="42">
                  <c:v>282.29065500591184</c:v>
                </c:pt>
                <c:pt idx="43">
                  <c:v>299.70327852559694</c:v>
                </c:pt>
                <c:pt idx="44">
                  <c:v>317.09337448903153</c:v>
                </c:pt>
                <c:pt idx="45">
                  <c:v>334.46235196533513</c:v>
                </c:pt>
                <c:pt idx="46">
                  <c:v>351.39860979301596</c:v>
                </c:pt>
                <c:pt idx="47">
                  <c:v>368.3169759234454</c:v>
                </c:pt>
                <c:pt idx="48">
                  <c:v>385.21838765576626</c:v>
                </c:pt>
                <c:pt idx="49">
                  <c:v>402.10369334769052</c:v>
                </c:pt>
                <c:pt idx="50">
                  <c:v>418.97366431319239</c:v>
                </c:pt>
                <c:pt idx="51">
                  <c:v>348.92127422322784</c:v>
                </c:pt>
                <c:pt idx="52">
                  <c:v>365.42969930916388</c:v>
                </c:pt>
                <c:pt idx="53">
                  <c:v>381.9218413257197</c:v>
                </c:pt>
                <c:pt idx="54">
                  <c:v>398.39850220884642</c:v>
                </c:pt>
                <c:pt idx="55">
                  <c:v>414.86041216554025</c:v>
                </c:pt>
                <c:pt idx="56">
                  <c:v>430.48617222970438</c:v>
                </c:pt>
                <c:pt idx="57">
                  <c:v>446.0997486227979</c:v>
                </c:pt>
                <c:pt idx="58">
                  <c:v>461.70162769615786</c:v>
                </c:pt>
                <c:pt idx="59">
                  <c:v>477.29226026061059</c:v>
                </c:pt>
                <c:pt idx="60">
                  <c:v>492.87206528378402</c:v>
                </c:pt>
                <c:pt idx="61">
                  <c:v>421.44119734263637</c:v>
                </c:pt>
                <c:pt idx="62">
                  <c:v>436.23993334518991</c:v>
                </c:pt>
                <c:pt idx="63">
                  <c:v>451.02789946978169</c:v>
                </c:pt>
                <c:pt idx="64">
                  <c:v>465.80549848090754</c:v>
                </c:pt>
                <c:pt idx="65">
                  <c:v>480.57310550984766</c:v>
                </c:pt>
                <c:pt idx="66">
                  <c:v>494.51143108208981</c:v>
                </c:pt>
                <c:pt idx="67">
                  <c:v>508.44143309569387</c:v>
                </c:pt>
                <c:pt idx="68">
                  <c:v>522.36337165879229</c:v>
                </c:pt>
                <c:pt idx="69">
                  <c:v>536.27749188826908</c:v>
                </c:pt>
                <c:pt idx="70">
                  <c:v>550.1840251484324</c:v>
                </c:pt>
                <c:pt idx="71">
                  <c:v>476.88212094653812</c:v>
                </c:pt>
                <c:pt idx="72">
                  <c:v>489.59298637351299</c:v>
                </c:pt>
                <c:pt idx="73">
                  <c:v>502.29685299496032</c:v>
                </c:pt>
                <c:pt idx="74">
                  <c:v>514.99392273715932</c:v>
                </c:pt>
                <c:pt idx="75">
                  <c:v>527.68438675921141</c:v>
                </c:pt>
                <c:pt idx="76">
                  <c:v>539.95936220671649</c:v>
                </c:pt>
                <c:pt idx="77">
                  <c:v>552.22847702156594</c:v>
                </c:pt>
                <c:pt idx="78">
                  <c:v>564.49187973331675</c:v>
                </c:pt>
                <c:pt idx="79">
                  <c:v>576.74971189331643</c:v>
                </c:pt>
                <c:pt idx="80">
                  <c:v>589.00210854701243</c:v>
                </c:pt>
                <c:pt idx="81">
                  <c:v>514.58444394878302</c:v>
                </c:pt>
                <c:pt idx="82">
                  <c:v>526.04727227111368</c:v>
                </c:pt>
                <c:pt idx="83">
                  <c:v>537.50484084926495</c:v>
                </c:pt>
                <c:pt idx="84">
                  <c:v>548.95727759070985</c:v>
                </c:pt>
                <c:pt idx="85">
                  <c:v>560.40470463156907</c:v>
                </c:pt>
                <c:pt idx="86">
                  <c:v>571.84723871208746</c:v>
                </c:pt>
                <c:pt idx="87">
                  <c:v>583.28499152050188</c:v>
                </c:pt>
                <c:pt idx="88">
                  <c:v>594.71807000854017</c:v>
                </c:pt>
                <c:pt idx="89">
                  <c:v>606.14657668140785</c:v>
                </c:pt>
                <c:pt idx="90">
                  <c:v>617.57060986476938</c:v>
                </c:pt>
                <c:pt idx="91">
                  <c:v>541.80009933248743</c:v>
                </c:pt>
                <c:pt idx="92">
                  <c:v>551.81959936072451</c:v>
                </c:pt>
                <c:pt idx="93">
                  <c:v>561.835286637698</c:v>
                </c:pt>
                <c:pt idx="94">
                  <c:v>571.84723871208746</c:v>
                </c:pt>
                <c:pt idx="95">
                  <c:v>581.85553019580914</c:v>
                </c:pt>
                <c:pt idx="96">
                  <c:v>591.86023292490802</c:v>
                </c:pt>
                <c:pt idx="97">
                  <c:v>601.86141610900938</c:v>
                </c:pt>
                <c:pt idx="98">
                  <c:v>611.85914647032064</c:v>
                </c:pt>
                <c:pt idx="99">
                  <c:v>621.85348837307845</c:v>
                </c:pt>
                <c:pt idx="100">
                  <c:v>631.84450394424437</c:v>
                </c:pt>
                <c:pt idx="101">
                  <c:v>555.09044325536718</c:v>
                </c:pt>
                <c:pt idx="102">
                  <c:v>564.08319015797451</c:v>
                </c:pt>
                <c:pt idx="103">
                  <c:v>573.07293899689409</c:v>
                </c:pt>
                <c:pt idx="104">
                  <c:v>582.05974343549417</c:v>
                </c:pt>
                <c:pt idx="105">
                  <c:v>591.04365534487806</c:v>
                </c:pt>
                <c:pt idx="106">
                  <c:v>600.0247248906611</c:v>
                </c:pt>
                <c:pt idx="107">
                  <c:v>609.00300061428027</c:v>
                </c:pt>
                <c:pt idx="108">
                  <c:v>617.97852950926267</c:v>
                </c:pt>
                <c:pt idx="109">
                  <c:v>626.95135709283159</c:v>
                </c:pt>
                <c:pt idx="110">
                  <c:v>635.92152747320199</c:v>
                </c:pt>
                <c:pt idx="111">
                  <c:v>563.87884304786473</c:v>
                </c:pt>
                <c:pt idx="112">
                  <c:v>571.43865976099426</c:v>
                </c:pt>
                <c:pt idx="113">
                  <c:v>578.99638763382268</c:v>
                </c:pt>
                <c:pt idx="114">
                  <c:v>586.55205778199286</c:v>
                </c:pt>
                <c:pt idx="115">
                  <c:v>594.10570045401494</c:v>
                </c:pt>
                <c:pt idx="116">
                  <c:v>601.65734506638762</c:v>
                </c:pt>
                <c:pt idx="117">
                  <c:v>609.20702023686624</c:v>
                </c:pt>
                <c:pt idx="118">
                  <c:v>616.75475381599438</c:v>
                </c:pt>
                <c:pt idx="119">
                  <c:v>624.300572917012</c:v>
                </c:pt>
                <c:pt idx="120">
                  <c:v>631.84450394424357</c:v>
                </c:pt>
                <c:pt idx="121">
                  <c:v>566.94388739716328</c:v>
                </c:pt>
                <c:pt idx="122">
                  <c:v>573.48149358555565</c:v>
                </c:pt>
                <c:pt idx="123">
                  <c:v>580.01754370959543</c:v>
                </c:pt>
                <c:pt idx="124">
                  <c:v>586.55205778199274</c:v>
                </c:pt>
                <c:pt idx="125">
                  <c:v>593.08505533306914</c:v>
                </c:pt>
                <c:pt idx="126">
                  <c:v>599.61655542768813</c:v>
                </c:pt>
                <c:pt idx="127">
                  <c:v>606.1465766814066</c:v>
                </c:pt>
                <c:pt idx="128">
                  <c:v>612.67513727589676</c:v>
                </c:pt>
                <c:pt idx="129">
                  <c:v>619.20225497367471</c:v>
                </c:pt>
                <c:pt idx="130">
                  <c:v>625.72794713217661</c:v>
                </c:pt>
                <c:pt idx="131">
                  <c:v>567.96549176174028</c:v>
                </c:pt>
                <c:pt idx="132">
                  <c:v>573.48149358555554</c:v>
                </c:pt>
                <c:pt idx="133">
                  <c:v>578.99638763382234</c:v>
                </c:pt>
                <c:pt idx="134">
                  <c:v>584.51018595041944</c:v>
                </c:pt>
                <c:pt idx="135">
                  <c:v>590.0229003333842</c:v>
                </c:pt>
                <c:pt idx="136">
                  <c:v>595.53454234222977</c:v>
                </c:pt>
                <c:pt idx="137">
                  <c:v>601.04512330498039</c:v>
                </c:pt>
                <c:pt idx="138">
                  <c:v>606.55465432493247</c:v>
                </c:pt>
                <c:pt idx="139">
                  <c:v>612.06314628715938</c:v>
                </c:pt>
                <c:pt idx="140">
                  <c:v>617.57060986476779</c:v>
                </c:pt>
                <c:pt idx="141">
                  <c:v>567.35253375731406</c:v>
                </c:pt>
                <c:pt idx="142">
                  <c:v>572.25581156511964</c:v>
                </c:pt>
                <c:pt idx="143">
                  <c:v>577.15821195532533</c:v>
                </c:pt>
                <c:pt idx="144">
                  <c:v>582.05974343549315</c:v>
                </c:pt>
                <c:pt idx="145">
                  <c:v>586.96041435814834</c:v>
                </c:pt>
                <c:pt idx="146">
                  <c:v>591.86023292490643</c:v>
                </c:pt>
                <c:pt idx="147">
                  <c:v>596.75920719045291</c:v>
                </c:pt>
                <c:pt idx="148">
                  <c:v>601.65734506638671</c:v>
                </c:pt>
                <c:pt idx="149">
                  <c:v>606.55465432493213</c:v>
                </c:pt>
                <c:pt idx="150">
                  <c:v>611.45114260252456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237920"/>
        <c:axId val="1046239008"/>
      </c:scatterChart>
      <c:valAx>
        <c:axId val="10462379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39008"/>
        <c:crosses val="autoZero"/>
        <c:crossBetween val="midCat"/>
      </c:valAx>
      <c:valAx>
        <c:axId val="10462390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379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2.5704227026509772</c:v>
                </c:pt>
                <c:pt idx="2">
                  <c:v>2.9579343879147815</c:v>
                </c:pt>
                <c:pt idx="3">
                  <c:v>3.4040766440330459</c:v>
                </c:pt>
                <c:pt idx="4">
                  <c:v>3.9177503334914885</c:v>
                </c:pt>
                <c:pt idx="5">
                  <c:v>4.5092118646449473</c:v>
                </c:pt>
                <c:pt idx="6">
                  <c:v>5.1902802411202194</c:v>
                </c:pt>
                <c:pt idx="7">
                  <c:v>5.9745758225648977</c:v>
                </c:pt>
                <c:pt idx="8">
                  <c:v>6.8777956657557882</c:v>
                </c:pt>
                <c:pt idx="9">
                  <c:v>7.9180310643884466</c:v>
                </c:pt>
                <c:pt idx="10">
                  <c:v>9.1161337707309666</c:v>
                </c:pt>
                <c:pt idx="11">
                  <c:v>10.496138380594116</c:v>
                </c:pt>
                <c:pt idx="12">
                  <c:v>12.085749515363085</c:v>
                </c:pt>
                <c:pt idx="13">
                  <c:v>13.916903764961774</c:v>
                </c:pt>
                <c:pt idx="14">
                  <c:v>16.02641789107356</c:v>
                </c:pt>
                <c:pt idx="15">
                  <c:v>18.456736562475083</c:v>
                </c:pt>
                <c:pt idx="16">
                  <c:v>37.452161865923721</c:v>
                </c:pt>
                <c:pt idx="17">
                  <c:v>56.173773491034659</c:v>
                </c:pt>
                <c:pt idx="18">
                  <c:v>74.729353102787385</c:v>
                </c:pt>
                <c:pt idx="19">
                  <c:v>93.166585132882361</c:v>
                </c:pt>
                <c:pt idx="20">
                  <c:v>111.5123681968909</c:v>
                </c:pt>
                <c:pt idx="21">
                  <c:v>130.85220039305761</c:v>
                </c:pt>
                <c:pt idx="22">
                  <c:v>150.12286837220327</c:v>
                </c:pt>
                <c:pt idx="23">
                  <c:v>169.33451376604069</c:v>
                </c:pt>
                <c:pt idx="24">
                  <c:v>188.4947810995192</c:v>
                </c:pt>
                <c:pt idx="25">
                  <c:v>207.60963017711296</c:v>
                </c:pt>
                <c:pt idx="26">
                  <c:v>146.31939442264749</c:v>
                </c:pt>
                <c:pt idx="27">
                  <c:v>164.63153458751853</c:v>
                </c:pt>
                <c:pt idx="28">
                  <c:v>182.89553125377611</c:v>
                </c:pt>
                <c:pt idx="29">
                  <c:v>201.11687109032559</c:v>
                </c:pt>
                <c:pt idx="30">
                  <c:v>219.29996373360507</c:v>
                </c:pt>
                <c:pt idx="31">
                  <c:v>235.71782415445148</c:v>
                </c:pt>
                <c:pt idx="32">
                  <c:v>252.10960785498642</c:v>
                </c:pt>
                <c:pt idx="33">
                  <c:v>268.47724902262462</c:v>
                </c:pt>
                <c:pt idx="34">
                  <c:v>284.82242666249249</c:v>
                </c:pt>
                <c:pt idx="35">
                  <c:v>301.14661128805159</c:v>
                </c:pt>
                <c:pt idx="36">
                  <c:v>236.5831616738536</c:v>
                </c:pt>
                <c:pt idx="37">
                  <c:v>250.83224068764514</c:v>
                </c:pt>
                <c:pt idx="38">
                  <c:v>265.06297448504552</c:v>
                </c:pt>
                <c:pt idx="39">
                  <c:v>279.27648688696752</c:v>
                </c:pt>
                <c:pt idx="40">
                  <c:v>293.47377793906509</c:v>
                </c:pt>
                <c:pt idx="41">
                  <c:v>305.67340388154349</c:v>
                </c:pt>
                <c:pt idx="42">
                  <c:v>317.86220838723989</c:v>
                </c:pt>
                <c:pt idx="43">
                  <c:v>330.04066501602989</c:v>
                </c:pt>
                <c:pt idx="44">
                  <c:v>342.20920951477842</c:v>
                </c:pt>
                <c:pt idx="45">
                  <c:v>354.36824410252319</c:v>
                </c:pt>
                <c:pt idx="46">
                  <c:v>291.37701063987066</c:v>
                </c:pt>
                <c:pt idx="47">
                  <c:v>301.82011380772144</c:v>
                </c:pt>
                <c:pt idx="48">
                  <c:v>312.25517570652994</c:v>
                </c:pt>
                <c:pt idx="49">
                  <c:v>322.68250309154058</c:v>
                </c:pt>
                <c:pt idx="50">
                  <c:v>333.10238126343216</c:v>
                </c:pt>
                <c:pt idx="51">
                  <c:v>341.98533566284544</c:v>
                </c:pt>
                <c:pt idx="52">
                  <c:v>350.86321820202534</c:v>
                </c:pt>
                <c:pt idx="53">
                  <c:v>359.7361753956925</c:v>
                </c:pt>
                <c:pt idx="54">
                  <c:v>368.60434593649614</c:v>
                </c:pt>
                <c:pt idx="55">
                  <c:v>377.4678612948606</c:v>
                </c:pt>
                <c:pt idx="56">
                  <c:v>340.67934054681456</c:v>
                </c:pt>
                <c:pt idx="57">
                  <c:v>348.25259396614143</c:v>
                </c:pt>
                <c:pt idx="58">
                  <c:v>355.82223354747094</c:v>
                </c:pt>
                <c:pt idx="59">
                  <c:v>363.38834707859746</c:v>
                </c:pt>
                <c:pt idx="60">
                  <c:v>370.95101839037198</c:v>
                </c:pt>
                <c:pt idx="61">
                  <c:v>377.35616475980373</c:v>
                </c:pt>
                <c:pt idx="62">
                  <c:v>383.75894432537103</c:v>
                </c:pt>
                <c:pt idx="63">
                  <c:v>390.15940218276842</c:v>
                </c:pt>
                <c:pt idx="64">
                  <c:v>396.55758182608514</c:v>
                </c:pt>
                <c:pt idx="65">
                  <c:v>402.95352523018482</c:v>
                </c:pt>
                <c:pt idx="66">
                  <c:v>375.45721330712422</c:v>
                </c:pt>
                <c:pt idx="67">
                  <c:v>380.89287339336153</c:v>
                </c:pt>
                <c:pt idx="68">
                  <c:v>386.32684625952356</c:v>
                </c:pt>
                <c:pt idx="69">
                  <c:v>391.75915901117088</c:v>
                </c:pt>
                <c:pt idx="70">
                  <c:v>397.18983794003816</c:v>
                </c:pt>
                <c:pt idx="71">
                  <c:v>401.98683842639497</c:v>
                </c:pt>
                <c:pt idx="72">
                  <c:v>406.78260046002401</c:v>
                </c:pt>
                <c:pt idx="73">
                  <c:v>411.57714071757073</c:v>
                </c:pt>
                <c:pt idx="74">
                  <c:v>416.37047545503287</c:v>
                </c:pt>
                <c:pt idx="75">
                  <c:v>421.16262052320036</c:v>
                </c:pt>
                <c:pt idx="76">
                  <c:v>425.39656158745873</c:v>
                </c:pt>
                <c:pt idx="77">
                  <c:v>429.62959606837711</c:v>
                </c:pt>
                <c:pt idx="78">
                  <c:v>433.86173416826705</c:v>
                </c:pt>
                <c:pt idx="79">
                  <c:v>438.09298587395421</c:v>
                </c:pt>
                <c:pt idx="80">
                  <c:v>442.32336096341459</c:v>
                </c:pt>
                <c:pt idx="81">
                  <c:v>3.9806453659427267E-12</c:v>
                </c:pt>
                <c:pt idx="82">
                  <c:v>3.9806453659427267E-12</c:v>
                </c:pt>
                <c:pt idx="83">
                  <c:v>3.9806453659427267E-12</c:v>
                </c:pt>
                <c:pt idx="84">
                  <c:v>3.9806453659427267E-12</c:v>
                </c:pt>
                <c:pt idx="85">
                  <c:v>3.9806453659427267E-12</c:v>
                </c:pt>
                <c:pt idx="86">
                  <c:v>3.9806453659427267E-12</c:v>
                </c:pt>
                <c:pt idx="87">
                  <c:v>3.9806453659427267E-12</c:v>
                </c:pt>
                <c:pt idx="88">
                  <c:v>3.9806453659427267E-12</c:v>
                </c:pt>
                <c:pt idx="89">
                  <c:v>3.9806453659427267E-12</c:v>
                </c:pt>
                <c:pt idx="90">
                  <c:v>3.9806453659427267E-12</c:v>
                </c:pt>
                <c:pt idx="91">
                  <c:v>3.9806453659427267E-12</c:v>
                </c:pt>
                <c:pt idx="92">
                  <c:v>3.9806453659427267E-12</c:v>
                </c:pt>
                <c:pt idx="93">
                  <c:v>3.9806453659427267E-12</c:v>
                </c:pt>
                <c:pt idx="94">
                  <c:v>3.9806453659427267E-12</c:v>
                </c:pt>
                <c:pt idx="95">
                  <c:v>3.9806453659427267E-12</c:v>
                </c:pt>
                <c:pt idx="96">
                  <c:v>3.9806453659427267E-12</c:v>
                </c:pt>
                <c:pt idx="97">
                  <c:v>3.9806453659427267E-12</c:v>
                </c:pt>
                <c:pt idx="98">
                  <c:v>3.9806453659427267E-12</c:v>
                </c:pt>
                <c:pt idx="99">
                  <c:v>3.9806453659427267E-12</c:v>
                </c:pt>
                <c:pt idx="100">
                  <c:v>3.9806453659427267E-12</c:v>
                </c:pt>
                <c:pt idx="101">
                  <c:v>3.9806453659427267E-12</c:v>
                </c:pt>
                <c:pt idx="102">
                  <c:v>3.9806453659427267E-12</c:v>
                </c:pt>
                <c:pt idx="103">
                  <c:v>3.9806453659427267E-12</c:v>
                </c:pt>
                <c:pt idx="104">
                  <c:v>3.9806453659427267E-12</c:v>
                </c:pt>
                <c:pt idx="105">
                  <c:v>3.9806453659427267E-12</c:v>
                </c:pt>
                <c:pt idx="106">
                  <c:v>3.9806453659427267E-12</c:v>
                </c:pt>
                <c:pt idx="107">
                  <c:v>3.9806453659427267E-12</c:v>
                </c:pt>
                <c:pt idx="108">
                  <c:v>3.9806453659427267E-12</c:v>
                </c:pt>
                <c:pt idx="109">
                  <c:v>3.9806453659427267E-12</c:v>
                </c:pt>
                <c:pt idx="110">
                  <c:v>3.9806453659427267E-12</c:v>
                </c:pt>
                <c:pt idx="111">
                  <c:v>3.9806453659427267E-12</c:v>
                </c:pt>
                <c:pt idx="112">
                  <c:v>3.9806453659427267E-12</c:v>
                </c:pt>
                <c:pt idx="113">
                  <c:v>3.9806453659427267E-12</c:v>
                </c:pt>
                <c:pt idx="114">
                  <c:v>3.9806453659427267E-12</c:v>
                </c:pt>
                <c:pt idx="115">
                  <c:v>3.9806453659427267E-12</c:v>
                </c:pt>
                <c:pt idx="116">
                  <c:v>3.9806453659427267E-12</c:v>
                </c:pt>
                <c:pt idx="117">
                  <c:v>3.9806453659427267E-12</c:v>
                </c:pt>
                <c:pt idx="118">
                  <c:v>3.9806453659427267E-12</c:v>
                </c:pt>
                <c:pt idx="119">
                  <c:v>3.9806453659427267E-12</c:v>
                </c:pt>
                <c:pt idx="120">
                  <c:v>3.9806453659427267E-12</c:v>
                </c:pt>
                <c:pt idx="121">
                  <c:v>3.9806453659427267E-12</c:v>
                </c:pt>
                <c:pt idx="122">
                  <c:v>3.9806453659427267E-12</c:v>
                </c:pt>
                <c:pt idx="123">
                  <c:v>3.9806453659427267E-12</c:v>
                </c:pt>
                <c:pt idx="124">
                  <c:v>3.9806453659427267E-12</c:v>
                </c:pt>
                <c:pt idx="125">
                  <c:v>3.9806453659427267E-12</c:v>
                </c:pt>
                <c:pt idx="126">
                  <c:v>3.9806453659427267E-12</c:v>
                </c:pt>
                <c:pt idx="127">
                  <c:v>3.9806453659427267E-12</c:v>
                </c:pt>
                <c:pt idx="128">
                  <c:v>3.9806453659427267E-12</c:v>
                </c:pt>
                <c:pt idx="129">
                  <c:v>3.9806453659427267E-12</c:v>
                </c:pt>
                <c:pt idx="130">
                  <c:v>3.9806453659427267E-12</c:v>
                </c:pt>
                <c:pt idx="131">
                  <c:v>3.9806453659427267E-12</c:v>
                </c:pt>
                <c:pt idx="132">
                  <c:v>3.9806453659427267E-12</c:v>
                </c:pt>
                <c:pt idx="133">
                  <c:v>3.9806453659427267E-12</c:v>
                </c:pt>
                <c:pt idx="134">
                  <c:v>3.9806453659427267E-12</c:v>
                </c:pt>
                <c:pt idx="135">
                  <c:v>3.9806453659427267E-12</c:v>
                </c:pt>
                <c:pt idx="136">
                  <c:v>3.9806453659427267E-12</c:v>
                </c:pt>
                <c:pt idx="137">
                  <c:v>3.9806453659427267E-12</c:v>
                </c:pt>
                <c:pt idx="138">
                  <c:v>3.9806453659427267E-12</c:v>
                </c:pt>
                <c:pt idx="139">
                  <c:v>3.9806453659427267E-12</c:v>
                </c:pt>
                <c:pt idx="140">
                  <c:v>3.9806453659427267E-12</c:v>
                </c:pt>
                <c:pt idx="141">
                  <c:v>3.9806453659427267E-12</c:v>
                </c:pt>
                <c:pt idx="142">
                  <c:v>3.9806453659427267E-12</c:v>
                </c:pt>
                <c:pt idx="143">
                  <c:v>3.9806453659427267E-12</c:v>
                </c:pt>
                <c:pt idx="144">
                  <c:v>3.9806453659427267E-12</c:v>
                </c:pt>
                <c:pt idx="145">
                  <c:v>3.9806453659427267E-12</c:v>
                </c:pt>
                <c:pt idx="146">
                  <c:v>3.9806453659427267E-12</c:v>
                </c:pt>
                <c:pt idx="147">
                  <c:v>3.9806453659427267E-12</c:v>
                </c:pt>
                <c:pt idx="148">
                  <c:v>3.9806453659427267E-12</c:v>
                </c:pt>
                <c:pt idx="149">
                  <c:v>3.9806453659427267E-12</c:v>
                </c:pt>
                <c:pt idx="150">
                  <c:v>3.9806453659427267E-12</c:v>
                </c:pt>
                <c:pt idx="151">
                  <c:v>3.9806453659427267E-12</c:v>
                </c:pt>
                <c:pt idx="152">
                  <c:v>3.9806453659427267E-12</c:v>
                </c:pt>
                <c:pt idx="153">
                  <c:v>3.9806453659427267E-12</c:v>
                </c:pt>
                <c:pt idx="154">
                  <c:v>3.9806453659427267E-12</c:v>
                </c:pt>
                <c:pt idx="155">
                  <c:v>3.9806453659427267E-12</c:v>
                </c:pt>
                <c:pt idx="156">
                  <c:v>3.9806453659427267E-12</c:v>
                </c:pt>
                <c:pt idx="157">
                  <c:v>3.9806453659427267E-12</c:v>
                </c:pt>
                <c:pt idx="158">
                  <c:v>3.9806453659427267E-12</c:v>
                </c:pt>
                <c:pt idx="159">
                  <c:v>3.9806453659427267E-12</c:v>
                </c:pt>
                <c:pt idx="160">
                  <c:v>3.9806453659427267E-12</c:v>
                </c:pt>
                <c:pt idx="161">
                  <c:v>3.9806453659427267E-12</c:v>
                </c:pt>
                <c:pt idx="162">
                  <c:v>3.9806453659427267E-12</c:v>
                </c:pt>
                <c:pt idx="163">
                  <c:v>3.9806453659427267E-12</c:v>
                </c:pt>
                <c:pt idx="164">
                  <c:v>3.9806453659427267E-12</c:v>
                </c:pt>
                <c:pt idx="165">
                  <c:v>3.9806453659427267E-12</c:v>
                </c:pt>
                <c:pt idx="166">
                  <c:v>3.9806453659427267E-12</c:v>
                </c:pt>
                <c:pt idx="167">
                  <c:v>3.9806453659427267E-12</c:v>
                </c:pt>
                <c:pt idx="168">
                  <c:v>3.9806453659427267E-12</c:v>
                </c:pt>
                <c:pt idx="169">
                  <c:v>3.9806453659427267E-12</c:v>
                </c:pt>
                <c:pt idx="170">
                  <c:v>3.9806453659427267E-12</c:v>
                </c:pt>
                <c:pt idx="171">
                  <c:v>3.9806453659427267E-12</c:v>
                </c:pt>
                <c:pt idx="172">
                  <c:v>3.9806453659427267E-12</c:v>
                </c:pt>
                <c:pt idx="173">
                  <c:v>3.9806453659427267E-12</c:v>
                </c:pt>
                <c:pt idx="174">
                  <c:v>3.9806453659427267E-12</c:v>
                </c:pt>
                <c:pt idx="175">
                  <c:v>3.9806453659427267E-12</c:v>
                </c:pt>
                <c:pt idx="176">
                  <c:v>3.9806453659427267E-12</c:v>
                </c:pt>
                <c:pt idx="177">
                  <c:v>3.9806453659427267E-12</c:v>
                </c:pt>
                <c:pt idx="178">
                  <c:v>3.9806453659427267E-12</c:v>
                </c:pt>
                <c:pt idx="179">
                  <c:v>3.9806453659427267E-12</c:v>
                </c:pt>
                <c:pt idx="180">
                  <c:v>3.9806453659427267E-12</c:v>
                </c:pt>
                <c:pt idx="181">
                  <c:v>3.9806453659427267E-12</c:v>
                </c:pt>
                <c:pt idx="182">
                  <c:v>3.9806453659427267E-12</c:v>
                </c:pt>
                <c:pt idx="183">
                  <c:v>3.9806453659427267E-12</c:v>
                </c:pt>
                <c:pt idx="184">
                  <c:v>3.9806453659427267E-12</c:v>
                </c:pt>
                <c:pt idx="185">
                  <c:v>3.9806453659427267E-12</c:v>
                </c:pt>
                <c:pt idx="186">
                  <c:v>3.9806453659427267E-12</c:v>
                </c:pt>
                <c:pt idx="187">
                  <c:v>3.9806453659427267E-12</c:v>
                </c:pt>
                <c:pt idx="188">
                  <c:v>3.9806453659427267E-12</c:v>
                </c:pt>
                <c:pt idx="189">
                  <c:v>3.9806453659427267E-12</c:v>
                </c:pt>
                <c:pt idx="190">
                  <c:v>3.9806453659427267E-12</c:v>
                </c:pt>
                <c:pt idx="191">
                  <c:v>3.9806453659427267E-12</c:v>
                </c:pt>
                <c:pt idx="192">
                  <c:v>3.9806453659427267E-12</c:v>
                </c:pt>
                <c:pt idx="193">
                  <c:v>3.9806453659427267E-12</c:v>
                </c:pt>
                <c:pt idx="194">
                  <c:v>3.9806453659427267E-12</c:v>
                </c:pt>
                <c:pt idx="195">
                  <c:v>3.9806453659427267E-12</c:v>
                </c:pt>
                <c:pt idx="196">
                  <c:v>3.9806453659427267E-12</c:v>
                </c:pt>
                <c:pt idx="197">
                  <c:v>3.9806453659427267E-12</c:v>
                </c:pt>
                <c:pt idx="198">
                  <c:v>3.9806453659427267E-12</c:v>
                </c:pt>
                <c:pt idx="199">
                  <c:v>3.9806453659427267E-12</c:v>
                </c:pt>
                <c:pt idx="200">
                  <c:v>3.9806453659427267E-12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244992"/>
        <c:axId val="1046240096"/>
      </c:scatterChart>
      <c:valAx>
        <c:axId val="10462449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40096"/>
        <c:crosses val="autoZero"/>
        <c:crossBetween val="midCat"/>
      </c:valAx>
      <c:valAx>
        <c:axId val="104624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449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1.8384859337570063</c:v>
                </c:pt>
                <c:pt idx="2">
                  <c:v>2.179328435244706</c:v>
                </c:pt>
                <c:pt idx="3">
                  <c:v>2.5835983685839596</c:v>
                </c:pt>
                <c:pt idx="4">
                  <c:v>3.0631408068451407</c:v>
                </c:pt>
                <c:pt idx="5">
                  <c:v>3.6320202351102231</c:v>
                </c:pt>
                <c:pt idx="6">
                  <c:v>4.3069376861440878</c:v>
                </c:pt>
                <c:pt idx="7">
                  <c:v>5.1077265000259793</c:v>
                </c:pt>
                <c:pt idx="8">
                  <c:v>6.0579415660975471</c:v>
                </c:pt>
                <c:pt idx="9">
                  <c:v>7.1855597202545356</c:v>
                </c:pt>
                <c:pt idx="10">
                  <c:v>8.5238123196371749</c:v>
                </c:pt>
                <c:pt idx="11">
                  <c:v>10.112175001806468</c:v>
                </c:pt>
                <c:pt idx="12">
                  <c:v>11.997544377547372</c:v>
                </c:pt>
                <c:pt idx="13">
                  <c:v>14.235637049599092</c:v>
                </c:pt>
                <c:pt idx="14">
                  <c:v>16.892653065433223</c:v>
                </c:pt>
                <c:pt idx="15">
                  <c:v>20.047253904954317</c:v>
                </c:pt>
                <c:pt idx="16">
                  <c:v>23.79291461692257</c:v>
                </c:pt>
                <c:pt idx="17">
                  <c:v>28.240721040642256</c:v>
                </c:pt>
                <c:pt idx="18">
                  <c:v>33.522696526948565</c:v>
                </c:pt>
                <c:pt idx="19">
                  <c:v>39.79575861552572</c:v>
                </c:pt>
                <c:pt idx="20">
                  <c:v>47.246425223300974</c:v>
                </c:pt>
                <c:pt idx="21">
                  <c:v>56.096412633700432</c:v>
                </c:pt>
                <c:pt idx="22">
                  <c:v>66.60929464284159</c:v>
                </c:pt>
                <c:pt idx="23">
                  <c:v>79.098424442762266</c:v>
                </c:pt>
                <c:pt idx="24">
                  <c:v>93.936359187985758</c:v>
                </c:pt>
                <c:pt idx="25">
                  <c:v>111.56607287269634</c:v>
                </c:pt>
                <c:pt idx="26">
                  <c:v>132.51429753832994</c:v>
                </c:pt>
                <c:pt idx="27">
                  <c:v>157.40739759934175</c:v>
                </c:pt>
                <c:pt idx="28">
                  <c:v>169.96173413491485</c:v>
                </c:pt>
                <c:pt idx="29">
                  <c:v>182.49423137209934</c:v>
                </c:pt>
                <c:pt idx="30">
                  <c:v>195.00660139274046</c:v>
                </c:pt>
                <c:pt idx="31">
                  <c:v>171.69161142115624</c:v>
                </c:pt>
                <c:pt idx="32">
                  <c:v>184.65292865116098</c:v>
                </c:pt>
                <c:pt idx="33">
                  <c:v>197.5929938437981</c:v>
                </c:pt>
                <c:pt idx="34">
                  <c:v>210.51339559418258</c:v>
                </c:pt>
                <c:pt idx="35">
                  <c:v>223.41551137926174</c:v>
                </c:pt>
                <c:pt idx="36">
                  <c:v>209.7386999787991</c:v>
                </c:pt>
                <c:pt idx="37">
                  <c:v>225.7360456637642</c:v>
                </c:pt>
                <c:pt idx="38">
                  <c:v>241.70742778160744</c:v>
                </c:pt>
                <c:pt idx="39">
                  <c:v>257.6548036297558</c:v>
                </c:pt>
                <c:pt idx="40">
                  <c:v>273.57986831240419</c:v>
                </c:pt>
                <c:pt idx="41">
                  <c:v>248.01198278213079</c:v>
                </c:pt>
                <c:pt idx="42">
                  <c:v>266.13372633265288</c:v>
                </c:pt>
                <c:pt idx="43">
                  <c:v>284.22766637577377</c:v>
                </c:pt>
                <c:pt idx="44">
                  <c:v>302.29582160730934</c:v>
                </c:pt>
                <c:pt idx="45">
                  <c:v>320.33994968118049</c:v>
                </c:pt>
                <c:pt idx="46">
                  <c:v>338.36159407720407</c:v>
                </c:pt>
                <c:pt idx="47">
                  <c:v>356.36212045462412</c:v>
                </c:pt>
                <c:pt idx="48">
                  <c:v>374.34274527279507</c:v>
                </c:pt>
                <c:pt idx="49">
                  <c:v>392.30455862375675</c:v>
                </c:pt>
                <c:pt idx="50">
                  <c:v>410.24854266397256</c:v>
                </c:pt>
                <c:pt idx="51">
                  <c:v>329.54521097109392</c:v>
                </c:pt>
                <c:pt idx="52">
                  <c:v>349.59836202746766</c:v>
                </c:pt>
                <c:pt idx="53">
                  <c:v>369.6262881295645</c:v>
                </c:pt>
                <c:pt idx="54">
                  <c:v>389.63054763275704</c:v>
                </c:pt>
                <c:pt idx="55">
                  <c:v>409.61252588018669</c:v>
                </c:pt>
                <c:pt idx="56">
                  <c:v>429.57346208757514</c:v>
                </c:pt>
                <c:pt idx="57">
                  <c:v>449.51447097001227</c:v>
                </c:pt>
                <c:pt idx="58">
                  <c:v>469.43656033129997</c:v>
                </c:pt>
                <c:pt idx="59">
                  <c:v>489.34064551231751</c:v>
                </c:pt>
                <c:pt idx="60">
                  <c:v>509.22756136675412</c:v>
                </c:pt>
                <c:pt idx="61">
                  <c:v>415.71741193017186</c:v>
                </c:pt>
                <c:pt idx="62">
                  <c:v>433.89355138573887</c:v>
                </c:pt>
                <c:pt idx="63">
                  <c:v>452.05334833358802</c:v>
                </c:pt>
                <c:pt idx="64">
                  <c:v>470.19755134133334</c:v>
                </c:pt>
                <c:pt idx="65">
                  <c:v>488.32684652200686</c:v>
                </c:pt>
                <c:pt idx="66">
                  <c:v>506.44186491750776</c:v>
                </c:pt>
                <c:pt idx="67">
                  <c:v>524.54318877098581</c:v>
                </c:pt>
                <c:pt idx="68">
                  <c:v>542.63135688868078</c:v>
                </c:pt>
                <c:pt idx="69">
                  <c:v>560.70686924994277</c:v>
                </c:pt>
                <c:pt idx="70">
                  <c:v>578.77019099216204</c:v>
                </c:pt>
                <c:pt idx="71">
                  <c:v>491.49482053067413</c:v>
                </c:pt>
                <c:pt idx="72">
                  <c:v>502.89596414017234</c:v>
                </c:pt>
                <c:pt idx="73">
                  <c:v>514.29164038230522</c:v>
                </c:pt>
                <c:pt idx="74">
                  <c:v>525.68198747118436</c:v>
                </c:pt>
                <c:pt idx="75">
                  <c:v>537.06713714333159</c:v>
                </c:pt>
                <c:pt idx="76">
                  <c:v>548.447215095052</c:v>
                </c:pt>
                <c:pt idx="77">
                  <c:v>559.82234138161891</c:v>
                </c:pt>
                <c:pt idx="78">
                  <c:v>571.19263078233746</c:v>
                </c:pt>
                <c:pt idx="79">
                  <c:v>582.55819313503196</c:v>
                </c:pt>
                <c:pt idx="80">
                  <c:v>593.91913364308118</c:v>
                </c:pt>
                <c:pt idx="81">
                  <c:v>1.978932943548152E-12</c:v>
                </c:pt>
                <c:pt idx="82">
                  <c:v>1.978932943548152E-12</c:v>
                </c:pt>
                <c:pt idx="83">
                  <c:v>1.978932943548152E-12</c:v>
                </c:pt>
                <c:pt idx="84">
                  <c:v>1.978932943548152E-12</c:v>
                </c:pt>
                <c:pt idx="85">
                  <c:v>1.978932943548152E-12</c:v>
                </c:pt>
                <c:pt idx="86">
                  <c:v>1.978932943548152E-12</c:v>
                </c:pt>
                <c:pt idx="87">
                  <c:v>1.978932943548152E-12</c:v>
                </c:pt>
                <c:pt idx="88">
                  <c:v>1.978932943548152E-12</c:v>
                </c:pt>
                <c:pt idx="89">
                  <c:v>1.978932943548152E-12</c:v>
                </c:pt>
                <c:pt idx="90">
                  <c:v>1.978932943548152E-12</c:v>
                </c:pt>
                <c:pt idx="91">
                  <c:v>1.978932943548152E-12</c:v>
                </c:pt>
                <c:pt idx="92">
                  <c:v>1.978932943548152E-12</c:v>
                </c:pt>
                <c:pt idx="93">
                  <c:v>1.978932943548152E-12</c:v>
                </c:pt>
                <c:pt idx="94">
                  <c:v>1.978932943548152E-12</c:v>
                </c:pt>
                <c:pt idx="95">
                  <c:v>1.978932943548152E-12</c:v>
                </c:pt>
                <c:pt idx="96">
                  <c:v>1.978932943548152E-12</c:v>
                </c:pt>
                <c:pt idx="97">
                  <c:v>1.978932943548152E-12</c:v>
                </c:pt>
                <c:pt idx="98">
                  <c:v>1.978932943548152E-12</c:v>
                </c:pt>
                <c:pt idx="99">
                  <c:v>1.978932943548152E-12</c:v>
                </c:pt>
                <c:pt idx="100">
                  <c:v>1.978932943548152E-12</c:v>
                </c:pt>
                <c:pt idx="101">
                  <c:v>1.978932943548152E-12</c:v>
                </c:pt>
                <c:pt idx="102">
                  <c:v>1.978932943548152E-12</c:v>
                </c:pt>
                <c:pt idx="103">
                  <c:v>1.978932943548152E-12</c:v>
                </c:pt>
                <c:pt idx="104">
                  <c:v>1.978932943548152E-12</c:v>
                </c:pt>
                <c:pt idx="105">
                  <c:v>1.978932943548152E-12</c:v>
                </c:pt>
                <c:pt idx="106">
                  <c:v>1.978932943548152E-12</c:v>
                </c:pt>
                <c:pt idx="107">
                  <c:v>1.978932943548152E-12</c:v>
                </c:pt>
                <c:pt idx="108">
                  <c:v>1.978932943548152E-12</c:v>
                </c:pt>
                <c:pt idx="109">
                  <c:v>1.978932943548152E-12</c:v>
                </c:pt>
                <c:pt idx="110">
                  <c:v>1.978932943548152E-12</c:v>
                </c:pt>
                <c:pt idx="111">
                  <c:v>1.978932943548152E-12</c:v>
                </c:pt>
                <c:pt idx="112">
                  <c:v>1.978932943548152E-12</c:v>
                </c:pt>
                <c:pt idx="113">
                  <c:v>1.978932943548152E-12</c:v>
                </c:pt>
                <c:pt idx="114">
                  <c:v>1.978932943548152E-12</c:v>
                </c:pt>
                <c:pt idx="115">
                  <c:v>1.978932943548152E-12</c:v>
                </c:pt>
                <c:pt idx="116">
                  <c:v>1.978932943548152E-12</c:v>
                </c:pt>
                <c:pt idx="117">
                  <c:v>1.978932943548152E-12</c:v>
                </c:pt>
                <c:pt idx="118">
                  <c:v>1.978932943548152E-12</c:v>
                </c:pt>
                <c:pt idx="119">
                  <c:v>1.978932943548152E-12</c:v>
                </c:pt>
                <c:pt idx="120">
                  <c:v>1.978932943548152E-12</c:v>
                </c:pt>
                <c:pt idx="121">
                  <c:v>1.978932943548152E-12</c:v>
                </c:pt>
                <c:pt idx="122">
                  <c:v>1.978932943548152E-12</c:v>
                </c:pt>
                <c:pt idx="123">
                  <c:v>1.978932943548152E-12</c:v>
                </c:pt>
                <c:pt idx="124">
                  <c:v>1.978932943548152E-12</c:v>
                </c:pt>
                <c:pt idx="125">
                  <c:v>1.978932943548152E-12</c:v>
                </c:pt>
                <c:pt idx="126">
                  <c:v>1.978932943548152E-12</c:v>
                </c:pt>
                <c:pt idx="127">
                  <c:v>1.978932943548152E-12</c:v>
                </c:pt>
                <c:pt idx="128">
                  <c:v>1.978932943548152E-12</c:v>
                </c:pt>
                <c:pt idx="129">
                  <c:v>1.978932943548152E-12</c:v>
                </c:pt>
                <c:pt idx="130">
                  <c:v>1.978932943548152E-12</c:v>
                </c:pt>
                <c:pt idx="131">
                  <c:v>1.978932943548152E-12</c:v>
                </c:pt>
                <c:pt idx="132">
                  <c:v>1.978932943548152E-12</c:v>
                </c:pt>
                <c:pt idx="133">
                  <c:v>1.978932943548152E-12</c:v>
                </c:pt>
                <c:pt idx="134">
                  <c:v>1.978932943548152E-12</c:v>
                </c:pt>
                <c:pt idx="135">
                  <c:v>1.978932943548152E-12</c:v>
                </c:pt>
                <c:pt idx="136">
                  <c:v>1.978932943548152E-12</c:v>
                </c:pt>
                <c:pt idx="137">
                  <c:v>1.978932943548152E-12</c:v>
                </c:pt>
                <c:pt idx="138">
                  <c:v>1.978932943548152E-12</c:v>
                </c:pt>
                <c:pt idx="139">
                  <c:v>1.978932943548152E-12</c:v>
                </c:pt>
                <c:pt idx="140">
                  <c:v>1.978932943548152E-12</c:v>
                </c:pt>
                <c:pt idx="141">
                  <c:v>1.978932943548152E-12</c:v>
                </c:pt>
                <c:pt idx="142">
                  <c:v>1.978932943548152E-12</c:v>
                </c:pt>
                <c:pt idx="143">
                  <c:v>1.978932943548152E-12</c:v>
                </c:pt>
                <c:pt idx="144">
                  <c:v>1.978932943548152E-12</c:v>
                </c:pt>
                <c:pt idx="145">
                  <c:v>1.978932943548152E-12</c:v>
                </c:pt>
                <c:pt idx="146">
                  <c:v>1.978932943548152E-12</c:v>
                </c:pt>
                <c:pt idx="147">
                  <c:v>1.978932943548152E-12</c:v>
                </c:pt>
                <c:pt idx="148">
                  <c:v>1.978932943548152E-12</c:v>
                </c:pt>
                <c:pt idx="149">
                  <c:v>1.978932943548152E-12</c:v>
                </c:pt>
                <c:pt idx="150">
                  <c:v>1.978932943548152E-12</c:v>
                </c:pt>
                <c:pt idx="151">
                  <c:v>1.978932943548152E-12</c:v>
                </c:pt>
                <c:pt idx="152">
                  <c:v>1.978932943548152E-12</c:v>
                </c:pt>
                <c:pt idx="153">
                  <c:v>1.978932943548152E-12</c:v>
                </c:pt>
                <c:pt idx="154">
                  <c:v>1.978932943548152E-12</c:v>
                </c:pt>
                <c:pt idx="155">
                  <c:v>1.978932943548152E-12</c:v>
                </c:pt>
                <c:pt idx="156">
                  <c:v>1.978932943548152E-12</c:v>
                </c:pt>
                <c:pt idx="157">
                  <c:v>1.978932943548152E-12</c:v>
                </c:pt>
                <c:pt idx="158">
                  <c:v>1.978932943548152E-12</c:v>
                </c:pt>
                <c:pt idx="159">
                  <c:v>1.978932943548152E-12</c:v>
                </c:pt>
                <c:pt idx="160">
                  <c:v>1.978932943548152E-12</c:v>
                </c:pt>
                <c:pt idx="161">
                  <c:v>1.978932943548152E-12</c:v>
                </c:pt>
                <c:pt idx="162">
                  <c:v>1.978932943548152E-12</c:v>
                </c:pt>
                <c:pt idx="163">
                  <c:v>1.978932943548152E-12</c:v>
                </c:pt>
                <c:pt idx="164">
                  <c:v>1.978932943548152E-12</c:v>
                </c:pt>
                <c:pt idx="165">
                  <c:v>1.978932943548152E-12</c:v>
                </c:pt>
                <c:pt idx="166">
                  <c:v>1.978932943548152E-12</c:v>
                </c:pt>
                <c:pt idx="167">
                  <c:v>1.978932943548152E-12</c:v>
                </c:pt>
                <c:pt idx="168">
                  <c:v>1.978932943548152E-12</c:v>
                </c:pt>
                <c:pt idx="169">
                  <c:v>1.978932943548152E-12</c:v>
                </c:pt>
                <c:pt idx="170">
                  <c:v>1.978932943548152E-12</c:v>
                </c:pt>
                <c:pt idx="171">
                  <c:v>1.978932943548152E-12</c:v>
                </c:pt>
                <c:pt idx="172">
                  <c:v>1.978932943548152E-12</c:v>
                </c:pt>
                <c:pt idx="173">
                  <c:v>1.978932943548152E-12</c:v>
                </c:pt>
                <c:pt idx="174">
                  <c:v>1.978932943548152E-12</c:v>
                </c:pt>
                <c:pt idx="175">
                  <c:v>1.978932943548152E-12</c:v>
                </c:pt>
                <c:pt idx="176">
                  <c:v>1.978932943548152E-12</c:v>
                </c:pt>
                <c:pt idx="177">
                  <c:v>1.978932943548152E-12</c:v>
                </c:pt>
                <c:pt idx="178">
                  <c:v>1.978932943548152E-12</c:v>
                </c:pt>
                <c:pt idx="179">
                  <c:v>1.978932943548152E-12</c:v>
                </c:pt>
                <c:pt idx="180">
                  <c:v>1.978932943548152E-12</c:v>
                </c:pt>
                <c:pt idx="181">
                  <c:v>1.978932943548152E-12</c:v>
                </c:pt>
                <c:pt idx="182">
                  <c:v>1.978932943548152E-12</c:v>
                </c:pt>
                <c:pt idx="183">
                  <c:v>1.978932943548152E-12</c:v>
                </c:pt>
                <c:pt idx="184">
                  <c:v>1.978932943548152E-12</c:v>
                </c:pt>
                <c:pt idx="185">
                  <c:v>1.978932943548152E-12</c:v>
                </c:pt>
                <c:pt idx="186">
                  <c:v>1.978932943548152E-12</c:v>
                </c:pt>
                <c:pt idx="187">
                  <c:v>1.978932943548152E-12</c:v>
                </c:pt>
                <c:pt idx="188">
                  <c:v>1.978932943548152E-12</c:v>
                </c:pt>
                <c:pt idx="189">
                  <c:v>1.978932943548152E-12</c:v>
                </c:pt>
                <c:pt idx="190">
                  <c:v>1.978932943548152E-12</c:v>
                </c:pt>
                <c:pt idx="191">
                  <c:v>1.978932943548152E-12</c:v>
                </c:pt>
                <c:pt idx="192">
                  <c:v>1.978932943548152E-12</c:v>
                </c:pt>
                <c:pt idx="193">
                  <c:v>1.978932943548152E-12</c:v>
                </c:pt>
                <c:pt idx="194">
                  <c:v>1.978932943548152E-12</c:v>
                </c:pt>
                <c:pt idx="195">
                  <c:v>1.978932943548152E-12</c:v>
                </c:pt>
                <c:pt idx="196">
                  <c:v>1.978932943548152E-12</c:v>
                </c:pt>
                <c:pt idx="197">
                  <c:v>1.978932943548152E-12</c:v>
                </c:pt>
                <c:pt idx="198">
                  <c:v>1.978932943548152E-12</c:v>
                </c:pt>
                <c:pt idx="199">
                  <c:v>1.978932943548152E-12</c:v>
                </c:pt>
                <c:pt idx="200">
                  <c:v>1.978932943548152E-12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241728"/>
        <c:axId val="1046242816"/>
      </c:scatterChart>
      <c:valAx>
        <c:axId val="10462417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42816"/>
        <c:crosses val="autoZero"/>
        <c:crossBetween val="midCat"/>
      </c:valAx>
      <c:valAx>
        <c:axId val="1046242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417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1.4382972706916652</c:v>
                </c:pt>
                <c:pt idx="2">
                  <c:v>1.6882648262872328</c:v>
                </c:pt>
                <c:pt idx="3">
                  <c:v>1.9818391033704412</c:v>
                </c:pt>
                <c:pt idx="4">
                  <c:v>2.3266543809231437</c:v>
                </c:pt>
                <c:pt idx="5">
                  <c:v>2.7316859479479461</c:v>
                </c:pt>
                <c:pt idx="6">
                  <c:v>3.2074863943065974</c:v>
                </c:pt>
                <c:pt idx="7">
                  <c:v>3.7664636569880714</c:v>
                </c:pt>
                <c:pt idx="8">
                  <c:v>4.42320822009526</c:v>
                </c:pt>
                <c:pt idx="9">
                  <c:v>5.1948781808686864</c:v>
                </c:pt>
                <c:pt idx="10">
                  <c:v>6.1016524420011136</c:v>
                </c:pt>
                <c:pt idx="11">
                  <c:v>7.1672641140587361</c:v>
                </c:pt>
                <c:pt idx="12">
                  <c:v>8.4196283601886481</c:v>
                </c:pt>
                <c:pt idx="13">
                  <c:v>9.891581446423201</c:v>
                </c:pt>
                <c:pt idx="14">
                  <c:v>11.621750743117751</c:v>
                </c:pt>
                <c:pt idx="15">
                  <c:v>13.655578936924925</c:v>
                </c:pt>
                <c:pt idx="16">
                  <c:v>16.04652985316924</c:v>
                </c:pt>
                <c:pt idx="17">
                  <c:v>18.857508167480809</c:v>
                </c:pt>
                <c:pt idx="18">
                  <c:v>22.162531035047731</c:v>
                </c:pt>
                <c:pt idx="19">
                  <c:v>26.048696441446314</c:v>
                </c:pt>
                <c:pt idx="20">
                  <c:v>30.618501064154817</c:v>
                </c:pt>
                <c:pt idx="21">
                  <c:v>40.447266088954116</c:v>
                </c:pt>
                <c:pt idx="22">
                  <c:v>50.211004169569357</c:v>
                </c:pt>
                <c:pt idx="23">
                  <c:v>59.924254475172233</c:v>
                </c:pt>
                <c:pt idx="24">
                  <c:v>69.596399363316863</c:v>
                </c:pt>
                <c:pt idx="25">
                  <c:v>79.233978464328899</c:v>
                </c:pt>
                <c:pt idx="26">
                  <c:v>88.841800844341421</c:v>
                </c:pt>
                <c:pt idx="27">
                  <c:v>98.42354555529333</c:v>
                </c:pt>
                <c:pt idx="28">
                  <c:v>107.98211410040659</c:v>
                </c:pt>
                <c:pt idx="29">
                  <c:v>117.51985072559563</c:v>
                </c:pt>
                <c:pt idx="30">
                  <c:v>127.03868706017147</c:v>
                </c:pt>
                <c:pt idx="31">
                  <c:v>141.94790883673241</c:v>
                </c:pt>
                <c:pt idx="32">
                  <c:v>156.8195813749679</c:v>
                </c:pt>
                <c:pt idx="33">
                  <c:v>171.65776994616806</c:v>
                </c:pt>
                <c:pt idx="34">
                  <c:v>186.46577828407843</c:v>
                </c:pt>
                <c:pt idx="35">
                  <c:v>201.24634176616681</c:v>
                </c:pt>
                <c:pt idx="36">
                  <c:v>216.00176068460644</c:v>
                </c:pt>
                <c:pt idx="37">
                  <c:v>230.73399509870103</c:v>
                </c:pt>
                <c:pt idx="38">
                  <c:v>245.44473414197418</c:v>
                </c:pt>
                <c:pt idx="39">
                  <c:v>260.13544781463958</c:v>
                </c:pt>
                <c:pt idx="40">
                  <c:v>274.80742644732908</c:v>
                </c:pt>
                <c:pt idx="41">
                  <c:v>203.67356103899616</c:v>
                </c:pt>
                <c:pt idx="42">
                  <c:v>224.27876954008505</c:v>
                </c:pt>
                <c:pt idx="43">
                  <c:v>244.8405871951642</c:v>
                </c:pt>
                <c:pt idx="44">
                  <c:v>265.36317005758775</c:v>
                </c:pt>
                <c:pt idx="45">
                  <c:v>285.84997848413349</c:v>
                </c:pt>
                <c:pt idx="46">
                  <c:v>306.30393618022629</c:v>
                </c:pt>
                <c:pt idx="47">
                  <c:v>326.72754446781386</c:v>
                </c:pt>
                <c:pt idx="48">
                  <c:v>347.12296645126258</c:v>
                </c:pt>
                <c:pt idx="49">
                  <c:v>367.49209034996011</c:v>
                </c:pt>
                <c:pt idx="50">
                  <c:v>387.83657804664404</c:v>
                </c:pt>
                <c:pt idx="51">
                  <c:v>319.62262964231468</c:v>
                </c:pt>
                <c:pt idx="52">
                  <c:v>342.32647548509999</c:v>
                </c:pt>
                <c:pt idx="53">
                  <c:v>364.99723028009589</c:v>
                </c:pt>
                <c:pt idx="54">
                  <c:v>387.63723698464543</c:v>
                </c:pt>
                <c:pt idx="55">
                  <c:v>410.24854266397205</c:v>
                </c:pt>
                <c:pt idx="56">
                  <c:v>432.83295044318953</c:v>
                </c:pt>
                <c:pt idx="57">
                  <c:v>455.39206004826383</c:v>
                </c:pt>
                <c:pt idx="58">
                  <c:v>477.92729989457803</c:v>
                </c:pt>
                <c:pt idx="59">
                  <c:v>500.43995280861185</c:v>
                </c:pt>
                <c:pt idx="60">
                  <c:v>522.93117688121481</c:v>
                </c:pt>
                <c:pt idx="61">
                  <c:v>434.32440460746255</c:v>
                </c:pt>
                <c:pt idx="62">
                  <c:v>456.88189456064629</c:v>
                </c:pt>
                <c:pt idx="63">
                  <c:v>479.41560376398479</c:v>
                </c:pt>
                <c:pt idx="64">
                  <c:v>501.92680620451353</c:v>
                </c:pt>
                <c:pt idx="65">
                  <c:v>524.41665236850577</c:v>
                </c:pt>
                <c:pt idx="66">
                  <c:v>546.88618610350966</c:v>
                </c:pt>
                <c:pt idx="67">
                  <c:v>569.33635856622493</c:v>
                </c:pt>
                <c:pt idx="68">
                  <c:v>591.76803985714275</c:v>
                </c:pt>
                <c:pt idx="69">
                  <c:v>614.18202880042918</c:v>
                </c:pt>
                <c:pt idx="70">
                  <c:v>636.57906122293889</c:v>
                </c:pt>
                <c:pt idx="71">
                  <c:v>549.85425994262152</c:v>
                </c:pt>
                <c:pt idx="72">
                  <c:v>570.81918970877302</c:v>
                </c:pt>
                <c:pt idx="73">
                  <c:v>591.76803985714309</c:v>
                </c:pt>
                <c:pt idx="74">
                  <c:v>612.70145918441006</c:v>
                </c:pt>
                <c:pt idx="75">
                  <c:v>633.62004858200532</c:v>
                </c:pt>
                <c:pt idx="76">
                  <c:v>654.52436606992637</c:v>
                </c:pt>
                <c:pt idx="77">
                  <c:v>675.41493115455148</c:v>
                </c:pt>
                <c:pt idx="78">
                  <c:v>696.29222861974176</c:v>
                </c:pt>
                <c:pt idx="79">
                  <c:v>717.15671184004043</c:v>
                </c:pt>
                <c:pt idx="80">
                  <c:v>738.00880568863431</c:v>
                </c:pt>
                <c:pt idx="81">
                  <c:v>647.22916416008775</c:v>
                </c:pt>
                <c:pt idx="82">
                  <c:v>664.77425537759143</c:v>
                </c:pt>
                <c:pt idx="83">
                  <c:v>682.30982274817052</c:v>
                </c:pt>
                <c:pt idx="84">
                  <c:v>699.83614529753402</c:v>
                </c:pt>
                <c:pt idx="85">
                  <c:v>717.35348694890661</c:v>
                </c:pt>
                <c:pt idx="86">
                  <c:v>734.8620976968009</c:v>
                </c:pt>
                <c:pt idx="87">
                  <c:v>752.36221466320842</c:v>
                </c:pt>
                <c:pt idx="88">
                  <c:v>769.85406305050913</c:v>
                </c:pt>
                <c:pt idx="89">
                  <c:v>787.33785700335545</c:v>
                </c:pt>
                <c:pt idx="90">
                  <c:v>804.81380039010207</c:v>
                </c:pt>
                <c:pt idx="91">
                  <c:v>724.23992387996202</c:v>
                </c:pt>
                <c:pt idx="92">
                  <c:v>738.9920958575475</c:v>
                </c:pt>
                <c:pt idx="93">
                  <c:v>753.73827475643691</c:v>
                </c:pt>
                <c:pt idx="94">
                  <c:v>768.47859425243985</c:v>
                </c:pt>
                <c:pt idx="95">
                  <c:v>783.21318247934221</c:v>
                </c:pt>
                <c:pt idx="96">
                  <c:v>797.94216236075465</c:v>
                </c:pt>
                <c:pt idx="97">
                  <c:v>812.66565191620805</c:v>
                </c:pt>
                <c:pt idx="98">
                  <c:v>827.38376454393153</c:v>
                </c:pt>
                <c:pt idx="99">
                  <c:v>842.09660928248638</c:v>
                </c:pt>
                <c:pt idx="100">
                  <c:v>856.80429105317944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6243360"/>
        <c:axId val="1046244448"/>
      </c:scatterChart>
      <c:valAx>
        <c:axId val="10462433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44448"/>
        <c:crosses val="autoZero"/>
        <c:crossBetween val="midCat"/>
      </c:valAx>
      <c:valAx>
        <c:axId val="104624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2433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2.1611607361398169</c:v>
                </c:pt>
                <c:pt idx="2">
                  <c:v>2.6965658428188011</c:v>
                </c:pt>
                <c:pt idx="3">
                  <c:v>3.365130579383619</c:v>
                </c:pt>
                <c:pt idx="4">
                  <c:v>4.2000945958983191</c:v>
                </c:pt>
                <c:pt idx="5">
                  <c:v>5.2430233872219976</c:v>
                </c:pt>
                <c:pt idx="6">
                  <c:v>6.5459003809291518</c:v>
                </c:pt>
                <c:pt idx="7">
                  <c:v>8.1737462585240923</c:v>
                </c:pt>
                <c:pt idx="8">
                  <c:v>10.207898736323521</c:v>
                </c:pt>
                <c:pt idx="9">
                  <c:v>12.750119779643619</c:v>
                </c:pt>
                <c:pt idx="10">
                  <c:v>15.927739538585294</c:v>
                </c:pt>
                <c:pt idx="11">
                  <c:v>19.900099355115746</c:v>
                </c:pt>
                <c:pt idx="12">
                  <c:v>24.86662273402224</c:v>
                </c:pt>
                <c:pt idx="13">
                  <c:v>31.076926626524898</c:v>
                </c:pt>
                <c:pt idx="14">
                  <c:v>38.84349005186197</c:v>
                </c:pt>
                <c:pt idx="15">
                  <c:v>48.557528384612056</c:v>
                </c:pt>
                <c:pt idx="16">
                  <c:v>57.970166254533687</c:v>
                </c:pt>
                <c:pt idx="17">
                  <c:v>67.342775086397836</c:v>
                </c:pt>
                <c:pt idx="18">
                  <c:v>76.681733118375817</c:v>
                </c:pt>
                <c:pt idx="19">
                  <c:v>85.991728436661276</c:v>
                </c:pt>
                <c:pt idx="20">
                  <c:v>95.276346213363084</c:v>
                </c:pt>
                <c:pt idx="21">
                  <c:v>105.48234788991751</c:v>
                </c:pt>
                <c:pt idx="22">
                  <c:v>115.66397937972845</c:v>
                </c:pt>
                <c:pt idx="23">
                  <c:v>125.82369159890273</c:v>
                </c:pt>
                <c:pt idx="24">
                  <c:v>135.96350634079604</c:v>
                </c:pt>
                <c:pt idx="25">
                  <c:v>146.08511855061292</c:v>
                </c:pt>
                <c:pt idx="26">
                  <c:v>156.189968666601</c:v>
                </c:pt>
                <c:pt idx="27">
                  <c:v>166.27929520108725</c:v>
                </c:pt>
                <c:pt idx="28">
                  <c:v>176.35417385644334</c:v>
                </c:pt>
                <c:pt idx="29">
                  <c:v>186.41554721296782</c:v>
                </c:pt>
                <c:pt idx="30">
                  <c:v>196.46424765821189</c:v>
                </c:pt>
                <c:pt idx="31">
                  <c:v>142.52579115025176</c:v>
                </c:pt>
                <c:pt idx="32">
                  <c:v>152.07511787565889</c:v>
                </c:pt>
                <c:pt idx="33">
                  <c:v>161.61016857785208</c:v>
                </c:pt>
                <c:pt idx="34">
                  <c:v>171.13190528405346</c:v>
                </c:pt>
                <c:pt idx="35">
                  <c:v>180.64117406036948</c:v>
                </c:pt>
                <c:pt idx="36">
                  <c:v>189.76648383090085</c:v>
                </c:pt>
                <c:pt idx="37">
                  <c:v>198.88157087854583</c:v>
                </c:pt>
                <c:pt idx="38">
                  <c:v>207.98697030718017</c:v>
                </c:pt>
                <c:pt idx="39">
                  <c:v>217.0831664837111</c:v>
                </c:pt>
                <c:pt idx="40">
                  <c:v>226.17059982008118</c:v>
                </c:pt>
                <c:pt idx="41">
                  <c:v>193.67416901758955</c:v>
                </c:pt>
                <c:pt idx="42">
                  <c:v>202.04165884934014</c:v>
                </c:pt>
                <c:pt idx="43">
                  <c:v>210.40112494961298</c:v>
                </c:pt>
                <c:pt idx="44">
                  <c:v>218.7529314533075</c:v>
                </c:pt>
                <c:pt idx="45">
                  <c:v>227.09741238431647</c:v>
                </c:pt>
                <c:pt idx="46">
                  <c:v>235.06446630097085</c:v>
                </c:pt>
                <c:pt idx="47">
                  <c:v>243.02536029283638</c:v>
                </c:pt>
                <c:pt idx="48">
                  <c:v>250.98032483930464</c:v>
                </c:pt>
                <c:pt idx="49">
                  <c:v>258.92957459921269</c:v>
                </c:pt>
                <c:pt idx="50">
                  <c:v>266.8733099599167</c:v>
                </c:pt>
                <c:pt idx="51">
                  <c:v>233.58269729624999</c:v>
                </c:pt>
                <c:pt idx="52">
                  <c:v>240.9894258267957</c:v>
                </c:pt>
                <c:pt idx="53">
                  <c:v>248.39097391329733</c:v>
                </c:pt>
                <c:pt idx="54">
                  <c:v>255.78751789170568</c:v>
                </c:pt>
                <c:pt idx="55">
                  <c:v>263.17922305442261</c:v>
                </c:pt>
                <c:pt idx="56">
                  <c:v>270.19700250524335</c:v>
                </c:pt>
                <c:pt idx="57">
                  <c:v>277.2106805023675</c:v>
                </c:pt>
                <c:pt idx="58">
                  <c:v>284.22037558191232</c:v>
                </c:pt>
                <c:pt idx="59">
                  <c:v>291.22619994880864</c:v>
                </c:pt>
                <c:pt idx="60">
                  <c:v>298.22825996252732</c:v>
                </c:pt>
                <c:pt idx="61">
                  <c:v>266.8733099599167</c:v>
                </c:pt>
                <c:pt idx="62">
                  <c:v>273.33520033559711</c:v>
                </c:pt>
                <c:pt idx="63">
                  <c:v>279.79365704229633</c:v>
                </c:pt>
                <c:pt idx="64">
                  <c:v>286.24877062592168</c:v>
                </c:pt>
                <c:pt idx="65">
                  <c:v>292.7006272100171</c:v>
                </c:pt>
                <c:pt idx="66">
                  <c:v>298.96510410049149</c:v>
                </c:pt>
                <c:pt idx="67">
                  <c:v>305.22665657476233</c:v>
                </c:pt>
                <c:pt idx="68">
                  <c:v>311.48535316475295</c:v>
                </c:pt>
                <c:pt idx="69">
                  <c:v>317.74125942022334</c:v>
                </c:pt>
                <c:pt idx="70">
                  <c:v>323.99443809601638</c:v>
                </c:pt>
                <c:pt idx="71">
                  <c:v>293.80633875741159</c:v>
                </c:pt>
                <c:pt idx="72">
                  <c:v>299.51771063750385</c:v>
                </c:pt>
                <c:pt idx="73">
                  <c:v>305.22665657476233</c:v>
                </c:pt>
                <c:pt idx="74">
                  <c:v>310.93322840775471</c:v>
                </c:pt>
                <c:pt idx="75">
                  <c:v>316.63747591445014</c:v>
                </c:pt>
                <c:pt idx="76">
                  <c:v>321.97164562540985</c:v>
                </c:pt>
                <c:pt idx="77">
                  <c:v>327.3038608348798</c:v>
                </c:pt>
                <c:pt idx="78">
                  <c:v>332.63415791953412</c:v>
                </c:pt>
                <c:pt idx="79">
                  <c:v>337.96257199356324</c:v>
                </c:pt>
                <c:pt idx="80">
                  <c:v>343.28913697215467</c:v>
                </c:pt>
                <c:pt idx="81">
                  <c:v>316.2695291462025</c:v>
                </c:pt>
                <c:pt idx="82">
                  <c:v>321.41992623463295</c:v>
                </c:pt>
                <c:pt idx="83">
                  <c:v>326.56849772007638</c:v>
                </c:pt>
                <c:pt idx="84">
                  <c:v>331.71527648504934</c:v>
                </c:pt>
                <c:pt idx="85">
                  <c:v>336.86029430705406</c:v>
                </c:pt>
                <c:pt idx="86">
                  <c:v>341.63626096666297</c:v>
                </c:pt>
                <c:pt idx="87">
                  <c:v>346.41075959292522</c:v>
                </c:pt>
                <c:pt idx="88">
                  <c:v>351.18381330179233</c:v>
                </c:pt>
                <c:pt idx="89">
                  <c:v>355.95544452876607</c:v>
                </c:pt>
                <c:pt idx="90">
                  <c:v>360.72567505798867</c:v>
                </c:pt>
                <c:pt idx="91">
                  <c:v>335.02298813768743</c:v>
                </c:pt>
                <c:pt idx="92">
                  <c:v>339.61584021127914</c:v>
                </c:pt>
                <c:pt idx="93">
                  <c:v>344.20732577147578</c:v>
                </c:pt>
                <c:pt idx="94">
                  <c:v>348.79746564421538</c:v>
                </c:pt>
                <c:pt idx="95">
                  <c:v>353.38628006183154</c:v>
                </c:pt>
                <c:pt idx="96">
                  <c:v>357.79031317226077</c:v>
                </c:pt>
                <c:pt idx="97">
                  <c:v>362.19315979149877</c:v>
                </c:pt>
                <c:pt idx="98">
                  <c:v>366.59483639724243</c:v>
                </c:pt>
                <c:pt idx="99">
                  <c:v>370.99535903869236</c:v>
                </c:pt>
                <c:pt idx="100">
                  <c:v>375.39474335276117</c:v>
                </c:pt>
                <c:pt idx="101">
                  <c:v>353.93684966092309</c:v>
                </c:pt>
                <c:pt idx="102">
                  <c:v>358.15726214440502</c:v>
                </c:pt>
                <c:pt idx="103">
                  <c:v>362.37658623035855</c:v>
                </c:pt>
                <c:pt idx="104">
                  <c:v>366.59483639724243</c:v>
                </c:pt>
                <c:pt idx="105">
                  <c:v>370.81202676268754</c:v>
                </c:pt>
                <c:pt idx="106">
                  <c:v>374.84488204114882</c:v>
                </c:pt>
                <c:pt idx="107">
                  <c:v>378.87679203564215</c:v>
                </c:pt>
                <c:pt idx="108">
                  <c:v>382.90776823855776</c:v>
                </c:pt>
                <c:pt idx="109">
                  <c:v>386.93782188026233</c:v>
                </c:pt>
                <c:pt idx="110">
                  <c:v>390.96696393780206</c:v>
                </c:pt>
                <c:pt idx="111">
                  <c:v>2.1921244502123119E-12</c:v>
                </c:pt>
                <c:pt idx="112">
                  <c:v>2.1921244502123119E-12</c:v>
                </c:pt>
                <c:pt idx="113">
                  <c:v>2.1921244502123119E-12</c:v>
                </c:pt>
                <c:pt idx="114">
                  <c:v>2.1921244502123119E-12</c:v>
                </c:pt>
                <c:pt idx="115">
                  <c:v>2.1921244502123119E-12</c:v>
                </c:pt>
                <c:pt idx="116">
                  <c:v>2.1921244502123119E-12</c:v>
                </c:pt>
                <c:pt idx="117">
                  <c:v>2.1921244502123119E-12</c:v>
                </c:pt>
                <c:pt idx="118">
                  <c:v>2.1921244502123119E-12</c:v>
                </c:pt>
                <c:pt idx="119">
                  <c:v>2.1921244502123119E-12</c:v>
                </c:pt>
                <c:pt idx="120">
                  <c:v>2.1921244502123119E-12</c:v>
                </c:pt>
                <c:pt idx="121">
                  <c:v>2.1921244502123119E-12</c:v>
                </c:pt>
                <c:pt idx="122">
                  <c:v>2.1921244502123119E-12</c:v>
                </c:pt>
                <c:pt idx="123">
                  <c:v>2.1921244502123119E-12</c:v>
                </c:pt>
                <c:pt idx="124">
                  <c:v>2.1921244502123119E-12</c:v>
                </c:pt>
                <c:pt idx="125">
                  <c:v>2.1921244502123119E-12</c:v>
                </c:pt>
                <c:pt idx="126">
                  <c:v>2.1921244502123119E-12</c:v>
                </c:pt>
                <c:pt idx="127">
                  <c:v>2.1921244502123119E-12</c:v>
                </c:pt>
                <c:pt idx="128">
                  <c:v>2.1921244502123119E-12</c:v>
                </c:pt>
                <c:pt idx="129">
                  <c:v>2.1921244502123119E-12</c:v>
                </c:pt>
                <c:pt idx="130">
                  <c:v>2.1921244502123119E-12</c:v>
                </c:pt>
                <c:pt idx="131">
                  <c:v>2.1921244502123119E-12</c:v>
                </c:pt>
                <c:pt idx="132">
                  <c:v>2.1921244502123119E-12</c:v>
                </c:pt>
                <c:pt idx="133">
                  <c:v>2.1921244502123119E-12</c:v>
                </c:pt>
                <c:pt idx="134">
                  <c:v>2.1921244502123119E-12</c:v>
                </c:pt>
                <c:pt idx="135">
                  <c:v>2.1921244502123119E-12</c:v>
                </c:pt>
                <c:pt idx="136">
                  <c:v>2.1921244502123119E-12</c:v>
                </c:pt>
                <c:pt idx="137">
                  <c:v>2.1921244502123119E-12</c:v>
                </c:pt>
                <c:pt idx="138">
                  <c:v>2.1921244502123119E-12</c:v>
                </c:pt>
                <c:pt idx="139">
                  <c:v>2.1921244502123119E-12</c:v>
                </c:pt>
                <c:pt idx="140">
                  <c:v>2.1921244502123119E-12</c:v>
                </c:pt>
                <c:pt idx="141">
                  <c:v>2.1921244502123119E-12</c:v>
                </c:pt>
                <c:pt idx="142">
                  <c:v>2.1921244502123119E-12</c:v>
                </c:pt>
                <c:pt idx="143">
                  <c:v>2.1921244502123119E-12</c:v>
                </c:pt>
                <c:pt idx="144">
                  <c:v>2.1921244502123119E-12</c:v>
                </c:pt>
                <c:pt idx="145">
                  <c:v>2.1921244502123119E-12</c:v>
                </c:pt>
                <c:pt idx="146">
                  <c:v>2.1921244502123119E-12</c:v>
                </c:pt>
                <c:pt idx="147">
                  <c:v>2.1921244502123119E-12</c:v>
                </c:pt>
                <c:pt idx="148">
                  <c:v>2.1921244502123119E-12</c:v>
                </c:pt>
                <c:pt idx="149">
                  <c:v>2.1921244502123119E-12</c:v>
                </c:pt>
                <c:pt idx="150">
                  <c:v>2.1921244502123119E-12</c:v>
                </c:pt>
                <c:pt idx="151">
                  <c:v>2.1921244502123119E-12</c:v>
                </c:pt>
                <c:pt idx="152">
                  <c:v>2.1921244502123119E-12</c:v>
                </c:pt>
                <c:pt idx="153">
                  <c:v>2.1921244502123119E-12</c:v>
                </c:pt>
                <c:pt idx="154">
                  <c:v>2.1921244502123119E-12</c:v>
                </c:pt>
                <c:pt idx="155">
                  <c:v>2.1921244502123119E-12</c:v>
                </c:pt>
                <c:pt idx="156">
                  <c:v>2.1921244502123119E-12</c:v>
                </c:pt>
                <c:pt idx="157">
                  <c:v>2.1921244502123119E-12</c:v>
                </c:pt>
                <c:pt idx="158">
                  <c:v>2.1921244502123119E-12</c:v>
                </c:pt>
                <c:pt idx="159">
                  <c:v>2.1921244502123119E-12</c:v>
                </c:pt>
                <c:pt idx="160">
                  <c:v>2.1921244502123119E-12</c:v>
                </c:pt>
                <c:pt idx="161">
                  <c:v>2.1921244502123119E-12</c:v>
                </c:pt>
                <c:pt idx="162">
                  <c:v>2.1921244502123119E-12</c:v>
                </c:pt>
                <c:pt idx="163">
                  <c:v>2.1921244502123119E-12</c:v>
                </c:pt>
                <c:pt idx="164">
                  <c:v>2.1921244502123119E-12</c:v>
                </c:pt>
                <c:pt idx="165">
                  <c:v>2.1921244502123119E-12</c:v>
                </c:pt>
                <c:pt idx="166">
                  <c:v>2.1921244502123119E-12</c:v>
                </c:pt>
                <c:pt idx="167">
                  <c:v>2.1921244502123119E-12</c:v>
                </c:pt>
                <c:pt idx="168">
                  <c:v>2.1921244502123119E-12</c:v>
                </c:pt>
                <c:pt idx="169">
                  <c:v>2.1921244502123119E-12</c:v>
                </c:pt>
                <c:pt idx="170">
                  <c:v>2.1921244502123119E-12</c:v>
                </c:pt>
                <c:pt idx="171">
                  <c:v>2.1921244502123119E-12</c:v>
                </c:pt>
                <c:pt idx="172">
                  <c:v>2.1921244502123119E-12</c:v>
                </c:pt>
                <c:pt idx="173">
                  <c:v>2.1921244502123119E-12</c:v>
                </c:pt>
                <c:pt idx="174">
                  <c:v>2.1921244502123119E-12</c:v>
                </c:pt>
                <c:pt idx="175">
                  <c:v>2.1921244502123119E-12</c:v>
                </c:pt>
                <c:pt idx="176">
                  <c:v>2.1921244502123119E-12</c:v>
                </c:pt>
                <c:pt idx="177">
                  <c:v>2.1921244502123119E-12</c:v>
                </c:pt>
                <c:pt idx="178">
                  <c:v>2.1921244502123119E-12</c:v>
                </c:pt>
                <c:pt idx="179">
                  <c:v>2.1921244502123119E-12</c:v>
                </c:pt>
                <c:pt idx="180">
                  <c:v>2.1921244502123119E-12</c:v>
                </c:pt>
                <c:pt idx="181">
                  <c:v>2.1921244502123119E-12</c:v>
                </c:pt>
                <c:pt idx="182">
                  <c:v>2.1921244502123119E-12</c:v>
                </c:pt>
                <c:pt idx="183">
                  <c:v>2.1921244502123119E-12</c:v>
                </c:pt>
                <c:pt idx="184">
                  <c:v>2.1921244502123119E-12</c:v>
                </c:pt>
                <c:pt idx="185">
                  <c:v>2.1921244502123119E-12</c:v>
                </c:pt>
                <c:pt idx="186">
                  <c:v>2.1921244502123119E-12</c:v>
                </c:pt>
                <c:pt idx="187">
                  <c:v>2.1921244502123119E-12</c:v>
                </c:pt>
                <c:pt idx="188">
                  <c:v>2.1921244502123119E-12</c:v>
                </c:pt>
                <c:pt idx="189">
                  <c:v>2.1921244502123119E-12</c:v>
                </c:pt>
                <c:pt idx="190">
                  <c:v>2.1921244502123119E-12</c:v>
                </c:pt>
                <c:pt idx="191">
                  <c:v>2.1921244502123119E-12</c:v>
                </c:pt>
                <c:pt idx="192">
                  <c:v>2.1921244502123119E-12</c:v>
                </c:pt>
                <c:pt idx="193">
                  <c:v>2.1921244502123119E-12</c:v>
                </c:pt>
                <c:pt idx="194">
                  <c:v>2.1921244502123119E-12</c:v>
                </c:pt>
                <c:pt idx="195">
                  <c:v>2.1921244502123119E-12</c:v>
                </c:pt>
                <c:pt idx="196">
                  <c:v>2.1921244502123119E-12</c:v>
                </c:pt>
                <c:pt idx="197">
                  <c:v>2.1921244502123119E-12</c:v>
                </c:pt>
                <c:pt idx="198">
                  <c:v>2.1921244502123119E-12</c:v>
                </c:pt>
                <c:pt idx="199">
                  <c:v>2.1921244502123119E-12</c:v>
                </c:pt>
                <c:pt idx="200">
                  <c:v>2.1921244502123119E-12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4847600"/>
        <c:axId val="644858480"/>
      </c:scatterChart>
      <c:valAx>
        <c:axId val="6448476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4858480"/>
        <c:crosses val="autoZero"/>
        <c:crossBetween val="midCat"/>
      </c:valAx>
      <c:valAx>
        <c:axId val="644858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48476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2.7393125767532482</c:v>
                </c:pt>
                <c:pt idx="2">
                  <c:v>3.4185128162502489</c:v>
                </c:pt>
                <c:pt idx="3">
                  <c:v>4.2667681423585382</c:v>
                </c:pt>
                <c:pt idx="4">
                  <c:v>5.3263094947816017</c:v>
                </c:pt>
                <c:pt idx="5">
                  <c:v>6.6499530076312512</c:v>
                </c:pt>
                <c:pt idx="6">
                  <c:v>8.3037614945965554</c:v>
                </c:pt>
                <c:pt idx="7">
                  <c:v>10.370377050906532</c:v>
                </c:pt>
                <c:pt idx="8">
                  <c:v>12.953194445883504</c:v>
                </c:pt>
                <c:pt idx="9">
                  <c:v>16.181587980173902</c:v>
                </c:pt>
                <c:pt idx="10">
                  <c:v>20.217458403222597</c:v>
                </c:pt>
                <c:pt idx="11">
                  <c:v>25.263434108413779</c:v>
                </c:pt>
                <c:pt idx="12">
                  <c:v>31.573145633207336</c:v>
                </c:pt>
                <c:pt idx="13">
                  <c:v>39.464098866601489</c:v>
                </c:pt>
                <c:pt idx="14">
                  <c:v>49.333805799919929</c:v>
                </c:pt>
                <c:pt idx="15">
                  <c:v>61.679999044581791</c:v>
                </c:pt>
                <c:pt idx="16">
                  <c:v>73.64452274959315</c:v>
                </c:pt>
                <c:pt idx="17">
                  <c:v>85.55929258097764</c:v>
                </c:pt>
                <c:pt idx="18">
                  <c:v>97.432236334938651</c:v>
                </c:pt>
                <c:pt idx="19">
                  <c:v>109.26918104253535</c:v>
                </c:pt>
                <c:pt idx="20">
                  <c:v>121.0745828738056</c:v>
                </c:pt>
                <c:pt idx="21">
                  <c:v>134.05226857468128</c:v>
                </c:pt>
                <c:pt idx="22">
                  <c:v>146.99966348541213</c:v>
                </c:pt>
                <c:pt idx="23">
                  <c:v>159.91981395875021</c:v>
                </c:pt>
                <c:pt idx="24">
                  <c:v>172.81523297167428</c:v>
                </c:pt>
                <c:pt idx="25">
                  <c:v>185.68802724704349</c:v>
                </c:pt>
                <c:pt idx="26">
                  <c:v>198.53998716968917</c:v>
                </c:pt>
                <c:pt idx="27">
                  <c:v>211.37265214172484</c:v>
                </c:pt>
                <c:pt idx="28">
                  <c:v>224.1873592015223</c:v>
                </c:pt>
                <c:pt idx="29">
                  <c:v>236.98527992410132</c:v>
                </c:pt>
                <c:pt idx="30">
                  <c:v>249.76744892100999</c:v>
                </c:pt>
                <c:pt idx="31">
                  <c:v>181.16117251791061</c:v>
                </c:pt>
                <c:pt idx="32">
                  <c:v>193.3064148062125</c:v>
                </c:pt>
                <c:pt idx="33">
                  <c:v>205.43391278964592</c:v>
                </c:pt>
                <c:pt idx="34">
                  <c:v>217.54486221467798</c:v>
                </c:pt>
                <c:pt idx="35">
                  <c:v>229.64031469454201</c:v>
                </c:pt>
                <c:pt idx="36">
                  <c:v>241.24770551202343</c:v>
                </c:pt>
                <c:pt idx="37">
                  <c:v>252.84239005207988</c:v>
                </c:pt>
                <c:pt idx="38">
                  <c:v>264.42503341914329</c:v>
                </c:pt>
                <c:pt idx="39">
                  <c:v>275.99623765440805</c:v>
                </c:pt>
                <c:pt idx="40">
                  <c:v>287.55655016548627</c:v>
                </c:pt>
                <c:pt idx="41">
                  <c:v>246.21837156279162</c:v>
                </c:pt>
                <c:pt idx="42">
                  <c:v>256.86219039977618</c:v>
                </c:pt>
                <c:pt idx="43">
                  <c:v>267.49603618366422</c:v>
                </c:pt>
                <c:pt idx="44">
                  <c:v>278.12036151393437</c:v>
                </c:pt>
                <c:pt idx="45">
                  <c:v>288.73558156375492</c:v>
                </c:pt>
                <c:pt idx="46">
                  <c:v>298.87085885416707</c:v>
                </c:pt>
                <c:pt idx="47">
                  <c:v>308.99847969979913</c:v>
                </c:pt>
                <c:pt idx="48">
                  <c:v>319.11873057374834</c:v>
                </c:pt>
                <c:pt idx="49">
                  <c:v>329.23187828504052</c:v>
                </c:pt>
                <c:pt idx="50">
                  <c:v>339.33817190404278</c:v>
                </c:pt>
                <c:pt idx="51">
                  <c:v>296.98581450907079</c:v>
                </c:pt>
                <c:pt idx="52">
                  <c:v>306.40840555109708</c:v>
                </c:pt>
                <c:pt idx="53">
                  <c:v>315.82455758857049</c:v>
                </c:pt>
                <c:pt idx="54">
                  <c:v>325.23448979729551</c:v>
                </c:pt>
                <c:pt idx="55">
                  <c:v>334.6384076265573</c:v>
                </c:pt>
                <c:pt idx="56">
                  <c:v>343.56673462112605</c:v>
                </c:pt>
                <c:pt idx="57">
                  <c:v>352.48996373628512</c:v>
                </c:pt>
                <c:pt idx="58">
                  <c:v>361.40824230585196</c:v>
                </c:pt>
                <c:pt idx="59">
                  <c:v>370.32170979433113</c:v>
                </c:pt>
                <c:pt idx="60">
                  <c:v>379.23049840064431</c:v>
                </c:pt>
                <c:pt idx="61">
                  <c:v>339.33817190404278</c:v>
                </c:pt>
                <c:pt idx="62">
                  <c:v>347.55932673864748</c:v>
                </c:pt>
                <c:pt idx="63">
                  <c:v>355.77621371319702</c:v>
                </c:pt>
                <c:pt idx="64">
                  <c:v>363.98894537123124</c:v>
                </c:pt>
                <c:pt idx="65">
                  <c:v>372.19762875953717</c:v>
                </c:pt>
                <c:pt idx="66">
                  <c:v>380.1679986243941</c:v>
                </c:pt>
                <c:pt idx="67">
                  <c:v>388.13473360214675</c:v>
                </c:pt>
                <c:pt idx="68">
                  <c:v>396.09791887417418</c:v>
                </c:pt>
                <c:pt idx="69">
                  <c:v>404.05763591519144</c:v>
                </c:pt>
                <c:pt idx="70">
                  <c:v>412.01396272598703</c:v>
                </c:pt>
                <c:pt idx="71">
                  <c:v>373.60443262863305</c:v>
                </c:pt>
                <c:pt idx="72">
                  <c:v>380.87109077156941</c:v>
                </c:pt>
                <c:pt idx="73">
                  <c:v>388.13473360214681</c:v>
                </c:pt>
                <c:pt idx="74">
                  <c:v>395.39542555282895</c:v>
                </c:pt>
                <c:pt idx="75">
                  <c:v>402.65322849486978</c:v>
                </c:pt>
                <c:pt idx="76">
                  <c:v>409.44022334853508</c:v>
                </c:pt>
                <c:pt idx="77">
                  <c:v>416.22478886527801</c:v>
                </c:pt>
                <c:pt idx="78">
                  <c:v>423.00697025928633</c:v>
                </c:pt>
                <c:pt idx="79">
                  <c:v>429.78681117555089</c:v>
                </c:pt>
                <c:pt idx="80">
                  <c:v>436.56435376876794</c:v>
                </c:pt>
                <c:pt idx="81">
                  <c:v>402.18506915543952</c:v>
                </c:pt>
                <c:pt idx="82">
                  <c:v>408.73823387491433</c:v>
                </c:pt>
                <c:pt idx="83">
                  <c:v>415.28912947115487</c:v>
                </c:pt>
                <c:pt idx="84">
                  <c:v>421.8377968153049</c:v>
                </c:pt>
                <c:pt idx="85">
                  <c:v>428.38427540503631</c:v>
                </c:pt>
                <c:pt idx="86">
                  <c:v>434.46122195467979</c:v>
                </c:pt>
                <c:pt idx="87">
                  <c:v>440.5363438203151</c:v>
                </c:pt>
                <c:pt idx="88">
                  <c:v>446.60966973378737</c:v>
                </c:pt>
                <c:pt idx="89">
                  <c:v>452.68122758118079</c:v>
                </c:pt>
                <c:pt idx="90">
                  <c:v>458.75104443897573</c:v>
                </c:pt>
                <c:pt idx="91">
                  <c:v>426.04649616934313</c:v>
                </c:pt>
                <c:pt idx="92">
                  <c:v>431.89043048767508</c:v>
                </c:pt>
                <c:pt idx="93">
                  <c:v>437.73266630566621</c:v>
                </c:pt>
                <c:pt idx="94">
                  <c:v>443.5732295088028</c:v>
                </c:pt>
                <c:pt idx="95">
                  <c:v>449.41214524475271</c:v>
                </c:pt>
                <c:pt idx="96">
                  <c:v>455.01597710744119</c:v>
                </c:pt>
                <c:pt idx="97">
                  <c:v>460.61833422740119</c:v>
                </c:pt>
                <c:pt idx="98">
                  <c:v>466.21923708549645</c:v>
                </c:pt>
                <c:pt idx="99">
                  <c:v>471.81870562999273</c:v>
                </c:pt>
                <c:pt idx="100">
                  <c:v>477.41675929670492</c:v>
                </c:pt>
                <c:pt idx="101">
                  <c:v>450.11270559109511</c:v>
                </c:pt>
                <c:pt idx="102">
                  <c:v>455.48289624166887</c:v>
                </c:pt>
                <c:pt idx="103">
                  <c:v>460.85173407449571</c:v>
                </c:pt>
                <c:pt idx="104">
                  <c:v>466.21923708549645</c:v>
                </c:pt>
                <c:pt idx="105">
                  <c:v>471.58542282210323</c:v>
                </c:pt>
                <c:pt idx="106">
                  <c:v>476.71707931240582</c:v>
                </c:pt>
                <c:pt idx="107">
                  <c:v>481.84756086717749</c:v>
                </c:pt>
                <c:pt idx="108">
                  <c:v>486.97688177082182</c:v>
                </c:pt>
                <c:pt idx="109">
                  <c:v>492.10505598206146</c:v>
                </c:pt>
                <c:pt idx="110">
                  <c:v>497.23209714475593</c:v>
                </c:pt>
                <c:pt idx="111">
                  <c:v>2.7294872878105889E-12</c:v>
                </c:pt>
                <c:pt idx="112">
                  <c:v>2.7294872878105889E-12</c:v>
                </c:pt>
                <c:pt idx="113">
                  <c:v>2.7294872878105889E-12</c:v>
                </c:pt>
                <c:pt idx="114">
                  <c:v>2.7294872878105889E-12</c:v>
                </c:pt>
                <c:pt idx="115">
                  <c:v>2.7294872878105889E-12</c:v>
                </c:pt>
                <c:pt idx="116">
                  <c:v>2.7294872878105889E-12</c:v>
                </c:pt>
                <c:pt idx="117">
                  <c:v>2.7294872878105889E-12</c:v>
                </c:pt>
                <c:pt idx="118">
                  <c:v>2.7294872878105889E-12</c:v>
                </c:pt>
                <c:pt idx="119">
                  <c:v>2.7294872878105889E-12</c:v>
                </c:pt>
                <c:pt idx="120">
                  <c:v>2.7294872878105889E-12</c:v>
                </c:pt>
                <c:pt idx="121">
                  <c:v>2.7294872878105889E-12</c:v>
                </c:pt>
                <c:pt idx="122">
                  <c:v>2.7294872878105889E-12</c:v>
                </c:pt>
                <c:pt idx="123">
                  <c:v>2.7294872878105889E-12</c:v>
                </c:pt>
                <c:pt idx="124">
                  <c:v>2.7294872878105889E-12</c:v>
                </c:pt>
                <c:pt idx="125">
                  <c:v>2.7294872878105889E-12</c:v>
                </c:pt>
                <c:pt idx="126">
                  <c:v>2.7294872878105889E-12</c:v>
                </c:pt>
                <c:pt idx="127">
                  <c:v>2.7294872878105889E-12</c:v>
                </c:pt>
                <c:pt idx="128">
                  <c:v>2.7294872878105889E-12</c:v>
                </c:pt>
                <c:pt idx="129">
                  <c:v>2.7294872878105889E-12</c:v>
                </c:pt>
                <c:pt idx="130">
                  <c:v>2.7294872878105889E-12</c:v>
                </c:pt>
                <c:pt idx="131">
                  <c:v>2.7294872878105889E-12</c:v>
                </c:pt>
                <c:pt idx="132">
                  <c:v>2.7294872878105889E-12</c:v>
                </c:pt>
                <c:pt idx="133">
                  <c:v>2.7294872878105889E-12</c:v>
                </c:pt>
                <c:pt idx="134">
                  <c:v>2.7294872878105889E-12</c:v>
                </c:pt>
                <c:pt idx="135">
                  <c:v>2.7294872878105889E-12</c:v>
                </c:pt>
                <c:pt idx="136">
                  <c:v>2.7294872878105889E-12</c:v>
                </c:pt>
                <c:pt idx="137">
                  <c:v>2.7294872878105889E-12</c:v>
                </c:pt>
                <c:pt idx="138">
                  <c:v>2.7294872878105889E-12</c:v>
                </c:pt>
                <c:pt idx="139">
                  <c:v>2.7294872878105889E-12</c:v>
                </c:pt>
                <c:pt idx="140">
                  <c:v>2.7294872878105889E-12</c:v>
                </c:pt>
                <c:pt idx="141">
                  <c:v>2.7294872878105889E-12</c:v>
                </c:pt>
                <c:pt idx="142">
                  <c:v>2.7294872878105889E-12</c:v>
                </c:pt>
                <c:pt idx="143">
                  <c:v>2.7294872878105889E-12</c:v>
                </c:pt>
                <c:pt idx="144">
                  <c:v>2.7294872878105889E-12</c:v>
                </c:pt>
                <c:pt idx="145">
                  <c:v>2.7294872878105889E-12</c:v>
                </c:pt>
                <c:pt idx="146">
                  <c:v>2.7294872878105889E-12</c:v>
                </c:pt>
                <c:pt idx="147">
                  <c:v>2.7294872878105889E-12</c:v>
                </c:pt>
                <c:pt idx="148">
                  <c:v>2.7294872878105889E-12</c:v>
                </c:pt>
                <c:pt idx="149">
                  <c:v>2.7294872878105889E-12</c:v>
                </c:pt>
                <c:pt idx="150">
                  <c:v>2.7294872878105889E-12</c:v>
                </c:pt>
                <c:pt idx="151">
                  <c:v>2.7294872878105889E-12</c:v>
                </c:pt>
                <c:pt idx="152">
                  <c:v>2.7294872878105889E-12</c:v>
                </c:pt>
                <c:pt idx="153">
                  <c:v>2.7294872878105889E-12</c:v>
                </c:pt>
                <c:pt idx="154">
                  <c:v>2.7294872878105889E-12</c:v>
                </c:pt>
                <c:pt idx="155">
                  <c:v>2.7294872878105889E-12</c:v>
                </c:pt>
                <c:pt idx="156">
                  <c:v>2.7294872878105889E-12</c:v>
                </c:pt>
                <c:pt idx="157">
                  <c:v>2.7294872878105889E-12</c:v>
                </c:pt>
                <c:pt idx="158">
                  <c:v>2.7294872878105889E-12</c:v>
                </c:pt>
                <c:pt idx="159">
                  <c:v>2.7294872878105889E-12</c:v>
                </c:pt>
                <c:pt idx="160">
                  <c:v>2.7294872878105889E-12</c:v>
                </c:pt>
                <c:pt idx="161">
                  <c:v>2.7294872878105889E-12</c:v>
                </c:pt>
                <c:pt idx="162">
                  <c:v>2.7294872878105889E-12</c:v>
                </c:pt>
                <c:pt idx="163">
                  <c:v>2.7294872878105889E-12</c:v>
                </c:pt>
                <c:pt idx="164">
                  <c:v>2.7294872878105889E-12</c:v>
                </c:pt>
                <c:pt idx="165">
                  <c:v>2.7294872878105889E-12</c:v>
                </c:pt>
                <c:pt idx="166">
                  <c:v>2.7294872878105889E-12</c:v>
                </c:pt>
                <c:pt idx="167">
                  <c:v>2.7294872878105889E-12</c:v>
                </c:pt>
                <c:pt idx="168">
                  <c:v>2.7294872878105889E-12</c:v>
                </c:pt>
                <c:pt idx="169">
                  <c:v>2.7294872878105889E-12</c:v>
                </c:pt>
                <c:pt idx="170">
                  <c:v>2.7294872878105889E-12</c:v>
                </c:pt>
                <c:pt idx="171">
                  <c:v>2.7294872878105889E-12</c:v>
                </c:pt>
                <c:pt idx="172">
                  <c:v>2.7294872878105889E-12</c:v>
                </c:pt>
                <c:pt idx="173">
                  <c:v>2.7294872878105889E-12</c:v>
                </c:pt>
                <c:pt idx="174">
                  <c:v>2.7294872878105889E-12</c:v>
                </c:pt>
                <c:pt idx="175">
                  <c:v>2.7294872878105889E-12</c:v>
                </c:pt>
                <c:pt idx="176">
                  <c:v>2.7294872878105889E-12</c:v>
                </c:pt>
                <c:pt idx="177">
                  <c:v>2.7294872878105889E-12</c:v>
                </c:pt>
                <c:pt idx="178">
                  <c:v>2.7294872878105889E-12</c:v>
                </c:pt>
                <c:pt idx="179">
                  <c:v>2.7294872878105889E-12</c:v>
                </c:pt>
                <c:pt idx="180">
                  <c:v>2.7294872878105889E-12</c:v>
                </c:pt>
                <c:pt idx="181">
                  <c:v>2.7294872878105889E-12</c:v>
                </c:pt>
                <c:pt idx="182">
                  <c:v>2.7294872878105889E-12</c:v>
                </c:pt>
                <c:pt idx="183">
                  <c:v>2.7294872878105889E-12</c:v>
                </c:pt>
                <c:pt idx="184">
                  <c:v>2.7294872878105889E-12</c:v>
                </c:pt>
                <c:pt idx="185">
                  <c:v>2.7294872878105889E-12</c:v>
                </c:pt>
                <c:pt idx="186">
                  <c:v>2.7294872878105889E-12</c:v>
                </c:pt>
                <c:pt idx="187">
                  <c:v>2.7294872878105889E-12</c:v>
                </c:pt>
                <c:pt idx="188">
                  <c:v>2.7294872878105889E-12</c:v>
                </c:pt>
                <c:pt idx="189">
                  <c:v>2.7294872878105889E-12</c:v>
                </c:pt>
                <c:pt idx="190">
                  <c:v>2.7294872878105889E-12</c:v>
                </c:pt>
                <c:pt idx="191">
                  <c:v>2.7294872878105889E-12</c:v>
                </c:pt>
                <c:pt idx="192">
                  <c:v>2.7294872878105889E-12</c:v>
                </c:pt>
                <c:pt idx="193">
                  <c:v>2.7294872878105889E-12</c:v>
                </c:pt>
                <c:pt idx="194">
                  <c:v>2.7294872878105889E-12</c:v>
                </c:pt>
                <c:pt idx="195">
                  <c:v>2.7294872878105889E-12</c:v>
                </c:pt>
                <c:pt idx="196">
                  <c:v>2.7294872878105889E-12</c:v>
                </c:pt>
                <c:pt idx="197">
                  <c:v>2.7294872878105889E-12</c:v>
                </c:pt>
                <c:pt idx="198">
                  <c:v>2.7294872878105889E-12</c:v>
                </c:pt>
                <c:pt idx="199">
                  <c:v>2.7294872878105889E-12</c:v>
                </c:pt>
                <c:pt idx="200">
                  <c:v>2.7294872878105889E-12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4849776"/>
        <c:axId val="644859568"/>
      </c:scatterChart>
      <c:valAx>
        <c:axId val="64484977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4859568"/>
        <c:crosses val="autoZero"/>
        <c:crossBetween val="midCat"/>
      </c:valAx>
      <c:valAx>
        <c:axId val="644859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48497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44853040"/>
        <c:axId val="644850320"/>
      </c:scatterChart>
      <c:valAx>
        <c:axId val="6448530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4850320"/>
        <c:crosses val="autoZero"/>
        <c:crossBetween val="midCat"/>
      </c:valAx>
      <c:valAx>
        <c:axId val="644850320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44853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1" zoomScale="90" zoomScaleNormal="90" workbookViewId="0">
      <selection activeCell="C26" sqref="C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8.5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</v>
      </c>
      <c r="C9" s="35">
        <v>0.4</v>
      </c>
      <c r="D9" s="36">
        <f t="shared" ref="D9:D18" si="0">C9*$C$5</f>
        <v>3.4000000000000004</v>
      </c>
      <c r="E9" s="37">
        <v>150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52</v>
      </c>
      <c r="C10" s="35">
        <v>0.12</v>
      </c>
      <c r="D10" s="36">
        <f t="shared" si="0"/>
        <v>1.02</v>
      </c>
      <c r="E10" s="37">
        <v>150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</v>
      </c>
      <c r="C11" s="35">
        <v>6.0699999999999997E-2</v>
      </c>
      <c r="D11" s="36">
        <f t="shared" si="0"/>
        <v>0.51595000000000002</v>
      </c>
      <c r="E11" s="37">
        <v>150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 t="s">
        <v>21</v>
      </c>
      <c r="C12" s="35">
        <v>6.0699999999999997E-2</v>
      </c>
      <c r="D12" s="36">
        <f t="shared" si="0"/>
        <v>0.51595000000000002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 t="s">
        <v>35</v>
      </c>
      <c r="C13" s="35">
        <v>6.0699999999999997E-2</v>
      </c>
      <c r="D13" s="36">
        <f t="shared" si="0"/>
        <v>0.51595000000000002</v>
      </c>
      <c r="E13" s="37">
        <v>80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 t="s">
        <v>164</v>
      </c>
      <c r="C14" s="35">
        <v>5.9299999999999999E-2</v>
      </c>
      <c r="D14" s="36">
        <f t="shared" si="0"/>
        <v>0.50405</v>
      </c>
      <c r="E14" s="37">
        <v>100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 t="s">
        <v>50</v>
      </c>
      <c r="C15" s="35">
        <v>5.9299999999999999E-2</v>
      </c>
      <c r="D15" s="36">
        <f t="shared" si="0"/>
        <v>0.50405</v>
      </c>
      <c r="E15" s="37">
        <v>110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 t="s">
        <v>102</v>
      </c>
      <c r="C16" s="35">
        <v>5.9299999999999999E-2</v>
      </c>
      <c r="D16" s="36">
        <f t="shared" si="0"/>
        <v>0.50405</v>
      </c>
      <c r="E16" s="37">
        <v>110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0.88</v>
      </c>
      <c r="D19" s="41">
        <f>SUM(D9:D18)</f>
        <v>7.4800000000000013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Chêne pubescent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42</v>
      </c>
      <c r="C36" s="63"/>
      <c r="D36" s="63"/>
      <c r="E36" s="54"/>
      <c r="F36" s="54"/>
      <c r="G36" s="54"/>
      <c r="H36" s="54"/>
      <c r="I36" s="52">
        <f>IFERROR(B36/A36,"")</f>
        <v>2.1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f>62+8</f>
        <v>70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5.6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f>76+8+21</f>
        <v>105</v>
      </c>
      <c r="C38" s="63">
        <v>1</v>
      </c>
      <c r="D38" s="63">
        <f>8+21</f>
        <v>29</v>
      </c>
      <c r="E38" s="54"/>
      <c r="F38" s="54"/>
      <c r="G38" s="54"/>
      <c r="H38" s="54">
        <v>1</v>
      </c>
      <c r="I38" s="56">
        <f t="shared" si="1"/>
        <v>7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f>95+21</f>
        <v>116</v>
      </c>
      <c r="C39" s="63"/>
      <c r="D39" s="63"/>
      <c r="E39" s="54"/>
      <c r="F39" s="54"/>
      <c r="G39" s="54"/>
      <c r="H39" s="54"/>
      <c r="I39" s="52">
        <f t="shared" si="1"/>
        <v>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f>116+21+21</f>
        <v>158</v>
      </c>
      <c r="C40" s="63">
        <v>2</v>
      </c>
      <c r="D40" s="63">
        <f>21+21</f>
        <v>42</v>
      </c>
      <c r="E40" s="54"/>
      <c r="F40" s="54"/>
      <c r="G40" s="54"/>
      <c r="H40" s="54"/>
      <c r="I40" s="52">
        <f t="shared" si="1"/>
        <v>8.4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f>137+21</f>
        <v>158</v>
      </c>
      <c r="C41" s="63"/>
      <c r="D41" s="63"/>
      <c r="E41" s="54"/>
      <c r="F41" s="54"/>
      <c r="G41" s="54"/>
      <c r="H41" s="54"/>
      <c r="I41" s="56">
        <f t="shared" si="1"/>
        <v>8.4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f>157+21+21</f>
        <v>199</v>
      </c>
      <c r="C42" s="63">
        <v>3</v>
      </c>
      <c r="D42" s="63">
        <f>21+21</f>
        <v>42</v>
      </c>
      <c r="E42" s="54"/>
      <c r="F42" s="54"/>
      <c r="G42" s="54"/>
      <c r="H42" s="54"/>
      <c r="I42" s="56">
        <f t="shared" si="1"/>
        <v>8.1999999999999993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55</v>
      </c>
      <c r="B43" s="63">
        <f>176+21</f>
        <v>197</v>
      </c>
      <c r="C43" s="63"/>
      <c r="D43" s="63"/>
      <c r="E43" s="54"/>
      <c r="F43" s="54"/>
      <c r="G43" s="54"/>
      <c r="H43" s="54"/>
      <c r="I43" s="52">
        <f t="shared" si="1"/>
        <v>8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60</v>
      </c>
      <c r="B44" s="63">
        <f>193+21+21</f>
        <v>235</v>
      </c>
      <c r="C44" s="63">
        <v>4</v>
      </c>
      <c r="D44" s="63">
        <f>21+21</f>
        <v>42</v>
      </c>
      <c r="E44" s="54"/>
      <c r="F44" s="54"/>
      <c r="G44" s="54"/>
      <c r="H44" s="54"/>
      <c r="I44" s="52">
        <f t="shared" si="1"/>
        <v>7.6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65</v>
      </c>
      <c r="B45" s="63">
        <f>208+21</f>
        <v>229</v>
      </c>
      <c r="C45" s="63"/>
      <c r="D45" s="63"/>
      <c r="E45" s="54"/>
      <c r="F45" s="54"/>
      <c r="G45" s="54"/>
      <c r="H45" s="54"/>
      <c r="I45" s="52">
        <f t="shared" si="1"/>
        <v>7.2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70</v>
      </c>
      <c r="B46" s="63">
        <f>221+21+21</f>
        <v>263</v>
      </c>
      <c r="C46" s="63">
        <v>5</v>
      </c>
      <c r="D46" s="63">
        <f>21+21</f>
        <v>42</v>
      </c>
      <c r="E46" s="54"/>
      <c r="F46" s="54"/>
      <c r="G46" s="54"/>
      <c r="H46" s="54"/>
      <c r="I46" s="52">
        <f t="shared" si="1"/>
        <v>6.8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75</v>
      </c>
      <c r="B47" s="63">
        <f>231+21</f>
        <v>252</v>
      </c>
      <c r="C47" s="63"/>
      <c r="D47" s="63"/>
      <c r="E47" s="54"/>
      <c r="F47" s="54"/>
      <c r="G47" s="54"/>
      <c r="H47" s="54"/>
      <c r="I47" s="52">
        <f t="shared" si="1"/>
        <v>6.2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80</v>
      </c>
      <c r="B48" s="63">
        <f>240+21+21</f>
        <v>282</v>
      </c>
      <c r="C48" s="63">
        <v>6</v>
      </c>
      <c r="D48" s="63">
        <f>21+21</f>
        <v>42</v>
      </c>
      <c r="E48" s="54"/>
      <c r="F48" s="54"/>
      <c r="G48" s="54"/>
      <c r="H48" s="54"/>
      <c r="I48" s="52">
        <f t="shared" si="1"/>
        <v>6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90</v>
      </c>
      <c r="B49" s="63">
        <f>254+21+21</f>
        <v>296</v>
      </c>
      <c r="C49" s="63">
        <v>7</v>
      </c>
      <c r="D49" s="63">
        <f>21+21</f>
        <v>42</v>
      </c>
      <c r="E49" s="54"/>
      <c r="F49" s="54"/>
      <c r="G49" s="54"/>
      <c r="H49" s="54"/>
      <c r="I49" s="52">
        <f t="shared" si="1"/>
        <v>5.6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100</v>
      </c>
      <c r="B50" s="53">
        <f>261+21+21</f>
        <v>303</v>
      </c>
      <c r="C50" s="53">
        <v>8</v>
      </c>
      <c r="D50" s="53">
        <f>21+21</f>
        <v>42</v>
      </c>
      <c r="E50" s="54"/>
      <c r="F50" s="54"/>
      <c r="G50" s="54"/>
      <c r="H50" s="54"/>
      <c r="I50" s="52">
        <f t="shared" si="1"/>
        <v>4.9000000000000004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110</v>
      </c>
      <c r="B51" s="53">
        <f>266+20+19</f>
        <v>305</v>
      </c>
      <c r="C51" s="53">
        <v>9</v>
      </c>
      <c r="D51" s="53">
        <f>20+19</f>
        <v>39</v>
      </c>
      <c r="E51" s="54"/>
      <c r="F51" s="54"/>
      <c r="G51" s="54"/>
      <c r="H51" s="54"/>
      <c r="I51" s="52">
        <f t="shared" si="1"/>
        <v>4.4000000000000004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120</v>
      </c>
      <c r="B52" s="53">
        <f>268+18+17</f>
        <v>303</v>
      </c>
      <c r="C52" s="53">
        <v>10</v>
      </c>
      <c r="D52" s="53">
        <f>18+17</f>
        <v>35</v>
      </c>
      <c r="E52" s="54"/>
      <c r="F52" s="54"/>
      <c r="G52" s="54"/>
      <c r="H52" s="54"/>
      <c r="I52" s="52">
        <f t="shared" si="1"/>
        <v>3.7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130</v>
      </c>
      <c r="B53" s="53">
        <f>269+16+15</f>
        <v>300</v>
      </c>
      <c r="C53" s="53">
        <v>11</v>
      </c>
      <c r="D53" s="53">
        <f>16+15</f>
        <v>31</v>
      </c>
      <c r="E53" s="54"/>
      <c r="F53" s="54"/>
      <c r="G53" s="54"/>
      <c r="H53" s="54"/>
      <c r="I53" s="52">
        <f t="shared" si="1"/>
        <v>3.2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140</v>
      </c>
      <c r="B54" s="53">
        <f>269+14+13</f>
        <v>296</v>
      </c>
      <c r="C54" s="53">
        <v>12</v>
      </c>
      <c r="D54" s="53">
        <f>14+13</f>
        <v>27</v>
      </c>
      <c r="E54" s="54"/>
      <c r="F54" s="54"/>
      <c r="G54" s="54"/>
      <c r="H54" s="54"/>
      <c r="I54" s="52">
        <f t="shared" si="1"/>
        <v>2.7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150</v>
      </c>
      <c r="B55" s="53">
        <f>268+13+12</f>
        <v>293</v>
      </c>
      <c r="C55" s="53">
        <v>13</v>
      </c>
      <c r="D55" s="53">
        <f>B55</f>
        <v>293</v>
      </c>
      <c r="E55" s="54"/>
      <c r="F55" s="54"/>
      <c r="G55" s="54"/>
      <c r="H55" s="54"/>
      <c r="I55" s="52">
        <f t="shared" si="1"/>
        <v>2.4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Cormier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42</v>
      </c>
      <c r="C62" s="63"/>
      <c r="D62" s="63"/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25</v>
      </c>
      <c r="B63" s="63">
        <f>62+8</f>
        <v>70</v>
      </c>
      <c r="C63" s="63"/>
      <c r="D63" s="63"/>
      <c r="E63" s="54"/>
      <c r="F63" s="54"/>
      <c r="G63" s="54"/>
      <c r="H63" s="54"/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30</v>
      </c>
      <c r="B64" s="63">
        <f>76+8+21</f>
        <v>105</v>
      </c>
      <c r="C64" s="63">
        <v>1</v>
      </c>
      <c r="D64" s="63">
        <f>8+21</f>
        <v>29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35</v>
      </c>
      <c r="B65" s="63">
        <f>95+21</f>
        <v>116</v>
      </c>
      <c r="C65" s="63"/>
      <c r="D65" s="63"/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40</v>
      </c>
      <c r="B66" s="63">
        <f>116+21+21</f>
        <v>158</v>
      </c>
      <c r="C66" s="63">
        <v>2</v>
      </c>
      <c r="D66" s="63">
        <f>21+21</f>
        <v>42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45</v>
      </c>
      <c r="B67" s="63">
        <f>137+21</f>
        <v>158</v>
      </c>
      <c r="C67" s="63"/>
      <c r="D67" s="63"/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50</v>
      </c>
      <c r="B68" s="63">
        <f>157+21+21</f>
        <v>199</v>
      </c>
      <c r="C68" s="63">
        <v>3</v>
      </c>
      <c r="D68" s="63">
        <f>21+21</f>
        <v>42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283">
        <v>55</v>
      </c>
      <c r="B69" s="63">
        <f>176+21</f>
        <v>197</v>
      </c>
      <c r="C69" s="63"/>
      <c r="D69" s="63"/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283">
        <v>60</v>
      </c>
      <c r="B70" s="63">
        <f>193+21+21</f>
        <v>235</v>
      </c>
      <c r="C70" s="63">
        <v>4</v>
      </c>
      <c r="D70" s="63">
        <f>21+21</f>
        <v>42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283">
        <v>65</v>
      </c>
      <c r="B71" s="63">
        <f>208+21</f>
        <v>229</v>
      </c>
      <c r="C71" s="63"/>
      <c r="D71" s="63"/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283">
        <v>70</v>
      </c>
      <c r="B72" s="63">
        <f>221+21+21</f>
        <v>263</v>
      </c>
      <c r="C72" s="63">
        <v>5</v>
      </c>
      <c r="D72" s="63">
        <f>21+21</f>
        <v>42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283">
        <v>75</v>
      </c>
      <c r="B73" s="63">
        <f>231+21</f>
        <v>252</v>
      </c>
      <c r="C73" s="63"/>
      <c r="D73" s="63"/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283">
        <v>80</v>
      </c>
      <c r="B74" s="63">
        <f>240+21+21</f>
        <v>282</v>
      </c>
      <c r="C74" s="63">
        <v>6</v>
      </c>
      <c r="D74" s="63">
        <f>21+21</f>
        <v>42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283">
        <v>90</v>
      </c>
      <c r="B75" s="63">
        <f>254+21+21</f>
        <v>296</v>
      </c>
      <c r="C75" s="63">
        <v>7</v>
      </c>
      <c r="D75" s="63">
        <f>21+21</f>
        <v>42</v>
      </c>
      <c r="E75" s="54"/>
      <c r="F75" s="54"/>
      <c r="G75" s="54"/>
      <c r="H75" s="54"/>
      <c r="I75" s="52">
        <f t="shared" si="2"/>
        <v>5.6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283">
        <v>100</v>
      </c>
      <c r="B76" s="53">
        <v>303</v>
      </c>
      <c r="C76" s="53">
        <v>8</v>
      </c>
      <c r="D76" s="53">
        <v>42</v>
      </c>
      <c r="E76" s="54"/>
      <c r="F76" s="54"/>
      <c r="G76" s="54"/>
      <c r="H76" s="54"/>
      <c r="I76" s="52">
        <f t="shared" si="2"/>
        <v>4.9000000000000004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283">
        <v>110</v>
      </c>
      <c r="B77" s="53">
        <v>305</v>
      </c>
      <c r="C77" s="53">
        <v>9</v>
      </c>
      <c r="D77" s="53">
        <v>39</v>
      </c>
      <c r="E77" s="54"/>
      <c r="F77" s="54"/>
      <c r="G77" s="54"/>
      <c r="H77" s="54"/>
      <c r="I77" s="52">
        <f t="shared" si="2"/>
        <v>4.4000000000000004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283">
        <v>120</v>
      </c>
      <c r="B78" s="53">
        <v>303</v>
      </c>
      <c r="C78" s="53">
        <v>10</v>
      </c>
      <c r="D78" s="53">
        <v>35</v>
      </c>
      <c r="E78" s="54"/>
      <c r="F78" s="54"/>
      <c r="G78" s="54"/>
      <c r="H78" s="54"/>
      <c r="I78" s="52">
        <f t="shared" si="2"/>
        <v>3.7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283">
        <v>130</v>
      </c>
      <c r="B79" s="53">
        <v>300</v>
      </c>
      <c r="C79" s="53">
        <v>11</v>
      </c>
      <c r="D79" s="53">
        <v>31</v>
      </c>
      <c r="E79" s="54"/>
      <c r="F79" s="54"/>
      <c r="G79" s="54"/>
      <c r="H79" s="54"/>
      <c r="I79" s="52">
        <f t="shared" si="2"/>
        <v>3.2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283">
        <v>140</v>
      </c>
      <c r="B80" s="53">
        <v>296</v>
      </c>
      <c r="C80" s="53">
        <v>12</v>
      </c>
      <c r="D80" s="53">
        <v>27</v>
      </c>
      <c r="E80" s="54"/>
      <c r="F80" s="54"/>
      <c r="G80" s="54"/>
      <c r="H80" s="54"/>
      <c r="I80" s="52">
        <f t="shared" si="2"/>
        <v>2.7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283">
        <v>150</v>
      </c>
      <c r="B81" s="53">
        <v>293</v>
      </c>
      <c r="C81" s="53">
        <v>13</v>
      </c>
      <c r="D81" s="53">
        <v>293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Alisier torminal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20</v>
      </c>
      <c r="B88" s="63">
        <v>42</v>
      </c>
      <c r="C88" s="63"/>
      <c r="D88" s="63"/>
      <c r="E88" s="54"/>
      <c r="F88" s="54"/>
      <c r="G88" s="54"/>
      <c r="H88" s="93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25</v>
      </c>
      <c r="B89" s="63">
        <f>62+8</f>
        <v>70</v>
      </c>
      <c r="C89" s="63"/>
      <c r="D89" s="63"/>
      <c r="E89" s="54"/>
      <c r="F89" s="54"/>
      <c r="G89" s="54"/>
      <c r="H89" s="93"/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30</v>
      </c>
      <c r="B90" s="63">
        <f>76+8+21</f>
        <v>105</v>
      </c>
      <c r="C90" s="63">
        <v>1</v>
      </c>
      <c r="D90" s="63">
        <f>8+21</f>
        <v>29</v>
      </c>
      <c r="E90" s="93"/>
      <c r="F90" s="93"/>
      <c r="G90" s="93"/>
      <c r="H90" s="93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35</v>
      </c>
      <c r="B91" s="63">
        <f>95+21</f>
        <v>116</v>
      </c>
      <c r="C91" s="63"/>
      <c r="D91" s="63"/>
      <c r="E91" s="93"/>
      <c r="F91" s="93"/>
      <c r="G91" s="93"/>
      <c r="H91" s="93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40</v>
      </c>
      <c r="B92" s="63">
        <f>116+21+21</f>
        <v>158</v>
      </c>
      <c r="C92" s="63">
        <v>2</v>
      </c>
      <c r="D92" s="63">
        <f>21+21</f>
        <v>42</v>
      </c>
      <c r="E92" s="93"/>
      <c r="F92" s="93"/>
      <c r="G92" s="93"/>
      <c r="H92" s="93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45</v>
      </c>
      <c r="B93" s="63">
        <f>137+21</f>
        <v>158</v>
      </c>
      <c r="C93" s="63"/>
      <c r="D93" s="63"/>
      <c r="E93" s="93"/>
      <c r="F93" s="93"/>
      <c r="G93" s="93"/>
      <c r="H93" s="93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50</v>
      </c>
      <c r="B94" s="63">
        <f>157+21+21</f>
        <v>199</v>
      </c>
      <c r="C94" s="63">
        <v>3</v>
      </c>
      <c r="D94" s="63">
        <f>21+21</f>
        <v>42</v>
      </c>
      <c r="E94" s="93"/>
      <c r="F94" s="93"/>
      <c r="G94" s="93"/>
      <c r="H94" s="93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283">
        <v>55</v>
      </c>
      <c r="B95" s="63">
        <f>176+21</f>
        <v>197</v>
      </c>
      <c r="C95" s="63"/>
      <c r="D95" s="63"/>
      <c r="E95" s="93"/>
      <c r="F95" s="93"/>
      <c r="G95" s="93"/>
      <c r="H95" s="93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283">
        <v>60</v>
      </c>
      <c r="B96" s="63">
        <f>193+21+21</f>
        <v>235</v>
      </c>
      <c r="C96" s="63">
        <v>4</v>
      </c>
      <c r="D96" s="63">
        <f>21+21</f>
        <v>42</v>
      </c>
      <c r="E96" s="93"/>
      <c r="F96" s="93"/>
      <c r="G96" s="93"/>
      <c r="H96" s="93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283">
        <v>65</v>
      </c>
      <c r="B97" s="63">
        <f>208+21</f>
        <v>229</v>
      </c>
      <c r="C97" s="63"/>
      <c r="D97" s="63"/>
      <c r="E97" s="93"/>
      <c r="F97" s="93"/>
      <c r="G97" s="93"/>
      <c r="H97" s="93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283">
        <v>70</v>
      </c>
      <c r="B98" s="63">
        <f>221+21+21</f>
        <v>263</v>
      </c>
      <c r="C98" s="63">
        <v>5</v>
      </c>
      <c r="D98" s="63">
        <f>21+21</f>
        <v>42</v>
      </c>
      <c r="E98" s="93"/>
      <c r="F98" s="93"/>
      <c r="G98" s="93"/>
      <c r="H98" s="93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283">
        <v>75</v>
      </c>
      <c r="B99" s="63">
        <f>231+21</f>
        <v>252</v>
      </c>
      <c r="C99" s="63"/>
      <c r="D99" s="63"/>
      <c r="E99" s="93"/>
      <c r="F99" s="93"/>
      <c r="G99" s="93"/>
      <c r="H99" s="93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283">
        <v>80</v>
      </c>
      <c r="B100" s="63">
        <f>240+21+21</f>
        <v>282</v>
      </c>
      <c r="C100" s="63">
        <v>6</v>
      </c>
      <c r="D100" s="63">
        <f>21+21</f>
        <v>42</v>
      </c>
      <c r="E100" s="68"/>
      <c r="F100" s="68"/>
      <c r="G100" s="68"/>
      <c r="H100" s="68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283">
        <v>90</v>
      </c>
      <c r="B101" s="63">
        <f>254+21+21</f>
        <v>296</v>
      </c>
      <c r="C101" s="63">
        <v>7</v>
      </c>
      <c r="D101" s="63">
        <f>21+21</f>
        <v>42</v>
      </c>
      <c r="E101" s="68"/>
      <c r="F101" s="68"/>
      <c r="G101" s="68"/>
      <c r="H101" s="68"/>
      <c r="I101" s="56">
        <f t="shared" si="3"/>
        <v>5.6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283">
        <v>100</v>
      </c>
      <c r="B102" s="53">
        <v>303</v>
      </c>
      <c r="C102" s="53">
        <v>8</v>
      </c>
      <c r="D102" s="53">
        <v>42</v>
      </c>
      <c r="E102" s="57"/>
      <c r="F102" s="57"/>
      <c r="G102" s="57"/>
      <c r="H102" s="57"/>
      <c r="I102" s="56">
        <f t="shared" si="3"/>
        <v>4.9000000000000004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283">
        <v>110</v>
      </c>
      <c r="B103" s="53">
        <v>305</v>
      </c>
      <c r="C103" s="53">
        <v>9</v>
      </c>
      <c r="D103" s="53">
        <v>39</v>
      </c>
      <c r="E103" s="57"/>
      <c r="F103" s="57"/>
      <c r="G103" s="57"/>
      <c r="H103" s="57"/>
      <c r="I103" s="56">
        <f t="shared" si="3"/>
        <v>4.4000000000000004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283">
        <v>120</v>
      </c>
      <c r="B104" s="53">
        <v>303</v>
      </c>
      <c r="C104" s="53">
        <v>10</v>
      </c>
      <c r="D104" s="53">
        <v>35</v>
      </c>
      <c r="E104" s="57"/>
      <c r="F104" s="57"/>
      <c r="G104" s="57"/>
      <c r="H104" s="57"/>
      <c r="I104" s="56">
        <f t="shared" si="3"/>
        <v>3.7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283">
        <v>130</v>
      </c>
      <c r="B105" s="53">
        <v>300</v>
      </c>
      <c r="C105" s="53">
        <v>11</v>
      </c>
      <c r="D105" s="53">
        <v>31</v>
      </c>
      <c r="E105" s="57"/>
      <c r="F105" s="57"/>
      <c r="G105" s="57"/>
      <c r="H105" s="57"/>
      <c r="I105" s="56">
        <f t="shared" si="3"/>
        <v>3.2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283">
        <v>140</v>
      </c>
      <c r="B106" s="53">
        <v>296</v>
      </c>
      <c r="C106" s="53">
        <v>12</v>
      </c>
      <c r="D106" s="53">
        <v>27</v>
      </c>
      <c r="E106" s="57"/>
      <c r="F106" s="57"/>
      <c r="G106" s="57"/>
      <c r="H106" s="57"/>
      <c r="I106" s="56">
        <f t="shared" si="3"/>
        <v>2.7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283">
        <v>150</v>
      </c>
      <c r="B107" s="53">
        <v>293</v>
      </c>
      <c r="C107" s="53">
        <v>13</v>
      </c>
      <c r="D107" s="53">
        <v>293</v>
      </c>
      <c r="E107" s="57"/>
      <c r="F107" s="57"/>
      <c r="G107" s="57"/>
      <c r="H107" s="57"/>
      <c r="I107" s="56">
        <f t="shared" si="3"/>
        <v>2.4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>Erable champêtre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>
        <v>15</v>
      </c>
      <c r="B114" s="63">
        <v>8.9</v>
      </c>
      <c r="C114" s="53"/>
      <c r="D114" s="63"/>
      <c r="E114" s="54"/>
      <c r="F114" s="54"/>
      <c r="G114" s="54"/>
      <c r="H114" s="54"/>
      <c r="I114" s="56">
        <f>IFERROR(B114/A114,"")</f>
        <v>0.59333333333333338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>
        <v>20</v>
      </c>
      <c r="B115" s="63">
        <f>35.7+21</f>
        <v>56.7</v>
      </c>
      <c r="C115" s="53"/>
      <c r="D115" s="63"/>
      <c r="E115" s="54"/>
      <c r="F115" s="54"/>
      <c r="G115" s="54"/>
      <c r="H115" s="54"/>
      <c r="I115" s="56">
        <f t="shared" ref="I115:I133" si="4">IF(A115&lt;&gt;0,(B115-(B114-D114))/(A115-A114),"")</f>
        <v>9.56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>
        <v>25</v>
      </c>
      <c r="B116" s="63">
        <f>65.3+21+21</f>
        <v>107.3</v>
      </c>
      <c r="C116" s="53">
        <v>1</v>
      </c>
      <c r="D116" s="63">
        <f>21+21</f>
        <v>42</v>
      </c>
      <c r="E116" s="54"/>
      <c r="F116" s="54"/>
      <c r="G116" s="54"/>
      <c r="H116" s="54">
        <v>1</v>
      </c>
      <c r="I116" s="56">
        <f t="shared" si="4"/>
        <v>10.119999999999999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>
        <v>30</v>
      </c>
      <c r="B117" s="63">
        <f>92.5+21</f>
        <v>113.5</v>
      </c>
      <c r="C117" s="53"/>
      <c r="D117" s="63"/>
      <c r="E117" s="54"/>
      <c r="F117" s="54"/>
      <c r="G117" s="54"/>
      <c r="H117" s="54"/>
      <c r="I117" s="56">
        <f t="shared" si="4"/>
        <v>9.64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>
        <v>35</v>
      </c>
      <c r="B118" s="63">
        <f>115.1+21+21</f>
        <v>157.1</v>
      </c>
      <c r="C118" s="53">
        <v>2</v>
      </c>
      <c r="D118" s="63">
        <f>21+21</f>
        <v>42</v>
      </c>
      <c r="E118" s="54"/>
      <c r="F118" s="54"/>
      <c r="G118" s="54"/>
      <c r="H118" s="54"/>
      <c r="I118" s="56">
        <f t="shared" si="4"/>
        <v>8.7199999999999989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>
        <v>40</v>
      </c>
      <c r="B119" s="63">
        <f>132+21</f>
        <v>153</v>
      </c>
      <c r="C119" s="53"/>
      <c r="D119" s="63"/>
      <c r="E119" s="54"/>
      <c r="F119" s="54"/>
      <c r="G119" s="54"/>
      <c r="H119" s="54"/>
      <c r="I119" s="56">
        <f t="shared" si="4"/>
        <v>7.580000000000001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>
        <v>45</v>
      </c>
      <c r="B120" s="63">
        <f>146.3+21+18.3</f>
        <v>185.60000000000002</v>
      </c>
      <c r="C120" s="63">
        <v>3</v>
      </c>
      <c r="D120" s="63">
        <f>21+18.3</f>
        <v>39.299999999999997</v>
      </c>
      <c r="E120" s="93"/>
      <c r="F120" s="93"/>
      <c r="G120" s="93"/>
      <c r="H120" s="93"/>
      <c r="I120" s="56">
        <f t="shared" si="4"/>
        <v>6.5200000000000049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>
        <v>50</v>
      </c>
      <c r="B121" s="63">
        <f>161.4+12.8</f>
        <v>174.20000000000002</v>
      </c>
      <c r="C121" s="63"/>
      <c r="D121" s="63"/>
      <c r="E121" s="93"/>
      <c r="F121" s="93"/>
      <c r="G121" s="93"/>
      <c r="H121" s="93"/>
      <c r="I121" s="56">
        <f t="shared" si="4"/>
        <v>5.580000000000001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>
        <v>55</v>
      </c>
      <c r="B122" s="63">
        <f>174.2+12.8+11</f>
        <v>198</v>
      </c>
      <c r="C122" s="63">
        <v>4</v>
      </c>
      <c r="D122" s="63">
        <f>12.8+11</f>
        <v>23.8</v>
      </c>
      <c r="E122" s="93"/>
      <c r="F122" s="93"/>
      <c r="G122" s="93"/>
      <c r="H122" s="93"/>
      <c r="I122" s="56">
        <f t="shared" si="4"/>
        <v>4.7599999999999962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>
        <v>60</v>
      </c>
      <c r="B123" s="63">
        <f>185.2+9.3</f>
        <v>194.5</v>
      </c>
      <c r="C123" s="63"/>
      <c r="D123" s="63"/>
      <c r="E123" s="93"/>
      <c r="F123" s="93"/>
      <c r="G123" s="93"/>
      <c r="H123" s="93"/>
      <c r="I123" s="56">
        <f t="shared" si="4"/>
        <v>4.0600000000000023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>
        <v>65</v>
      </c>
      <c r="B124" s="63">
        <f>194+9.3+8.4</f>
        <v>211.70000000000002</v>
      </c>
      <c r="C124" s="63">
        <v>5</v>
      </c>
      <c r="D124" s="63">
        <f>9.3+8.4</f>
        <v>17.700000000000003</v>
      </c>
      <c r="E124" s="93"/>
      <c r="F124" s="93"/>
      <c r="G124" s="93"/>
      <c r="H124" s="93"/>
      <c r="I124" s="56">
        <f t="shared" si="4"/>
        <v>3.4400000000000035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>
        <v>70</v>
      </c>
      <c r="B125" s="63">
        <f>201.1+7.5</f>
        <v>208.6</v>
      </c>
      <c r="C125" s="63"/>
      <c r="D125" s="63"/>
      <c r="E125" s="93"/>
      <c r="F125" s="93"/>
      <c r="G125" s="93"/>
      <c r="H125" s="93"/>
      <c r="I125" s="56">
        <f t="shared" si="4"/>
        <v>2.919999999999999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>
        <v>75</v>
      </c>
      <c r="B126" s="63">
        <f>207.4+7.5+6.6</f>
        <v>221.5</v>
      </c>
      <c r="C126" s="63"/>
      <c r="D126" s="63"/>
      <c r="E126" s="68"/>
      <c r="F126" s="68"/>
      <c r="G126" s="68"/>
      <c r="H126" s="68"/>
      <c r="I126" s="56">
        <f t="shared" si="4"/>
        <v>2.580000000000001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>
        <v>80</v>
      </c>
      <c r="B127" s="63">
        <f>213.1+7.5+6.6+5.7</f>
        <v>232.89999999999998</v>
      </c>
      <c r="C127" s="63">
        <v>6</v>
      </c>
      <c r="D127" s="63">
        <f>B127</f>
        <v>232.89999999999998</v>
      </c>
      <c r="E127" s="68"/>
      <c r="F127" s="68"/>
      <c r="G127" s="68"/>
      <c r="H127" s="68"/>
      <c r="I127" s="56">
        <f t="shared" si="4"/>
        <v>2.2799999999999954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>Pin laricio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>
        <v>27</v>
      </c>
      <c r="B140" s="63">
        <f>103+15</f>
        <v>118</v>
      </c>
      <c r="C140" s="53"/>
      <c r="D140" s="63"/>
      <c r="E140" s="54"/>
      <c r="F140" s="54"/>
      <c r="G140" s="54"/>
      <c r="H140" s="54"/>
      <c r="I140" s="60">
        <f>IFERROR(B140/A140,"")</f>
        <v>4.3703703703703702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>
        <v>30</v>
      </c>
      <c r="B141" s="63">
        <f>119+15+13</f>
        <v>147</v>
      </c>
      <c r="C141" s="53">
        <v>1</v>
      </c>
      <c r="D141" s="63">
        <f>15+13</f>
        <v>28</v>
      </c>
      <c r="E141" s="54"/>
      <c r="F141" s="54"/>
      <c r="G141" s="54">
        <v>0.5</v>
      </c>
      <c r="H141" s="54">
        <v>0.5</v>
      </c>
      <c r="I141" s="60">
        <f t="shared" ref="I141:I159" si="5">IF(A141&lt;&gt;0,(B141-(B140-D140))/(A141-A140),"")</f>
        <v>9.6666666666666661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>
        <v>35</v>
      </c>
      <c r="B142" s="63">
        <f>146+23</f>
        <v>169</v>
      </c>
      <c r="C142" s="53">
        <v>2</v>
      </c>
      <c r="D142" s="63">
        <v>23</v>
      </c>
      <c r="E142" s="54"/>
      <c r="F142" s="54"/>
      <c r="G142" s="54"/>
      <c r="H142" s="54"/>
      <c r="I142" s="60">
        <f t="shared" si="5"/>
        <v>10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>
        <v>40</v>
      </c>
      <c r="B143" s="63">
        <f>174+34</f>
        <v>208</v>
      </c>
      <c r="C143" s="53">
        <v>3</v>
      </c>
      <c r="D143" s="63">
        <v>34</v>
      </c>
      <c r="E143" s="54"/>
      <c r="F143" s="54"/>
      <c r="G143" s="54"/>
      <c r="H143" s="54"/>
      <c r="I143" s="60">
        <f t="shared" si="5"/>
        <v>12.4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>
        <v>50</v>
      </c>
      <c r="B144" s="63">
        <f>236+79</f>
        <v>315</v>
      </c>
      <c r="C144" s="53">
        <v>4</v>
      </c>
      <c r="D144" s="63">
        <v>79</v>
      </c>
      <c r="E144" s="54"/>
      <c r="F144" s="54"/>
      <c r="G144" s="54"/>
      <c r="H144" s="54"/>
      <c r="I144" s="60">
        <f t="shared" si="5"/>
        <v>14.1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>
        <v>60</v>
      </c>
      <c r="B145" s="63">
        <f>305+88</f>
        <v>393</v>
      </c>
      <c r="C145" s="53">
        <v>5</v>
      </c>
      <c r="D145" s="63">
        <v>88</v>
      </c>
      <c r="E145" s="54"/>
      <c r="F145" s="54"/>
      <c r="G145" s="54"/>
      <c r="H145" s="54"/>
      <c r="I145" s="60">
        <f t="shared" si="5"/>
        <v>15.7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>
        <v>70</v>
      </c>
      <c r="B146" s="63">
        <f>370+78</f>
        <v>448</v>
      </c>
      <c r="C146" s="53">
        <v>6</v>
      </c>
      <c r="D146" s="63">
        <v>78</v>
      </c>
      <c r="E146" s="54"/>
      <c r="F146" s="54"/>
      <c r="G146" s="54"/>
      <c r="H146" s="54"/>
      <c r="I146" s="60">
        <f t="shared" si="5"/>
        <v>14.3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>
        <v>80</v>
      </c>
      <c r="B147" s="63">
        <f>415+45</f>
        <v>460</v>
      </c>
      <c r="C147" s="53">
        <v>7</v>
      </c>
      <c r="D147" s="63">
        <f>B147</f>
        <v>460</v>
      </c>
      <c r="E147" s="54"/>
      <c r="F147" s="54"/>
      <c r="G147" s="54"/>
      <c r="H147" s="54"/>
      <c r="I147" s="60">
        <f>IF(A147&lt;&gt;0,(B147-(B146-D146))/(A147-A146),"")</f>
        <v>9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>Cèdre de l'Atlas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>
        <v>20</v>
      </c>
      <c r="B166" s="63">
        <v>28</v>
      </c>
      <c r="C166" s="63"/>
      <c r="D166" s="63"/>
      <c r="E166" s="54"/>
      <c r="F166" s="54"/>
      <c r="G166" s="54"/>
      <c r="H166" s="54"/>
      <c r="I166" s="52">
        <f>IFERROR(B166/A166,"")</f>
        <v>1.4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>
        <v>30</v>
      </c>
      <c r="B167" s="63">
        <v>121</v>
      </c>
      <c r="C167" s="63"/>
      <c r="D167" s="63"/>
      <c r="E167" s="54"/>
      <c r="F167" s="54"/>
      <c r="G167" s="54"/>
      <c r="H167" s="54"/>
      <c r="I167" s="52">
        <f t="shared" ref="I167:I185" si="6">IF(A167&lt;&gt;0,(B167-(B166-D166))/(A167-A166),"")</f>
        <v>9.3000000000000007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>
        <v>40</v>
      </c>
      <c r="B168" s="63">
        <v>267</v>
      </c>
      <c r="C168" s="63">
        <v>1</v>
      </c>
      <c r="D168" s="63">
        <v>91</v>
      </c>
      <c r="E168" s="54"/>
      <c r="F168" s="54"/>
      <c r="G168" s="54"/>
      <c r="H168" s="54"/>
      <c r="I168" s="52">
        <f t="shared" si="6"/>
        <v>14.6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>
        <v>50</v>
      </c>
      <c r="B169" s="63">
        <v>380</v>
      </c>
      <c r="C169" s="63">
        <v>2</v>
      </c>
      <c r="D169" s="63">
        <v>91</v>
      </c>
      <c r="E169" s="54"/>
      <c r="F169" s="54"/>
      <c r="G169" s="54"/>
      <c r="H169" s="54"/>
      <c r="I169" s="52">
        <f t="shared" si="6"/>
        <v>20.399999999999999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>
        <v>60</v>
      </c>
      <c r="B170" s="63">
        <v>516</v>
      </c>
      <c r="C170" s="63">
        <v>3</v>
      </c>
      <c r="D170" s="63">
        <v>112</v>
      </c>
      <c r="E170" s="54"/>
      <c r="F170" s="54"/>
      <c r="G170" s="54"/>
      <c r="H170" s="54"/>
      <c r="I170" s="52">
        <f t="shared" si="6"/>
        <v>22.7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>
        <v>70</v>
      </c>
      <c r="B171" s="63">
        <v>631</v>
      </c>
      <c r="C171" s="63">
        <v>4</v>
      </c>
      <c r="D171" s="63">
        <v>109</v>
      </c>
      <c r="E171" s="54"/>
      <c r="F171" s="54"/>
      <c r="G171" s="54"/>
      <c r="H171" s="54"/>
      <c r="I171" s="52">
        <f t="shared" si="6"/>
        <v>22.7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>
        <v>80</v>
      </c>
      <c r="B172" s="63">
        <v>734</v>
      </c>
      <c r="C172" s="63">
        <v>5</v>
      </c>
      <c r="D172" s="63">
        <v>110</v>
      </c>
      <c r="E172" s="54"/>
      <c r="F172" s="54"/>
      <c r="G172" s="54"/>
      <c r="H172" s="54"/>
      <c r="I172" s="52">
        <f t="shared" si="6"/>
        <v>21.2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>
        <v>90</v>
      </c>
      <c r="B173" s="53">
        <v>802</v>
      </c>
      <c r="C173" s="53">
        <v>6</v>
      </c>
      <c r="D173" s="53">
        <v>97</v>
      </c>
      <c r="E173" s="54"/>
      <c r="F173" s="54"/>
      <c r="G173" s="54"/>
      <c r="H173" s="54"/>
      <c r="I173" s="52">
        <f t="shared" si="6"/>
        <v>17.8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>
        <v>100</v>
      </c>
      <c r="B174" s="53">
        <v>855</v>
      </c>
      <c r="C174" s="53">
        <v>7</v>
      </c>
      <c r="D174" s="53">
        <f>B174</f>
        <v>855</v>
      </c>
      <c r="E174" s="54"/>
      <c r="F174" s="54"/>
      <c r="G174" s="54"/>
      <c r="H174" s="54"/>
      <c r="I174" s="52">
        <f t="shared" si="6"/>
        <v>15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>Tilleul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>
        <v>15</v>
      </c>
      <c r="B192" s="63">
        <f>49/1.56</f>
        <v>31.410256410256409</v>
      </c>
      <c r="C192" s="63"/>
      <c r="D192" s="63"/>
      <c r="E192" s="54"/>
      <c r="F192" s="54"/>
      <c r="G192" s="54"/>
      <c r="H192" s="54"/>
      <c r="I192" s="52">
        <f>IFERROR(B192/A192,"")</f>
        <v>2.0940170940170941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>
        <v>20</v>
      </c>
      <c r="B193" s="63">
        <f>(87+11)/1.56</f>
        <v>62.820512820512818</v>
      </c>
      <c r="C193" s="63"/>
      <c r="D193" s="63"/>
      <c r="E193" s="54"/>
      <c r="F193" s="54"/>
      <c r="G193" s="54"/>
      <c r="H193" s="54"/>
      <c r="I193" s="52">
        <f t="shared" ref="I193:I211" si="7">IF(A193&lt;&gt;0,(B193-(B192-D192))/(A193-A192),"")</f>
        <v>6.2820512820512819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>
        <v>25</v>
      </c>
      <c r="B194" s="63">
        <f>(125+11+16)/1.56</f>
        <v>97.435897435897431</v>
      </c>
      <c r="C194" s="63"/>
      <c r="D194" s="63"/>
      <c r="E194" s="54"/>
      <c r="F194" s="54"/>
      <c r="G194" s="54"/>
      <c r="H194" s="54"/>
      <c r="I194" s="52">
        <f t="shared" si="7"/>
        <v>6.9230769230769225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>
        <v>30</v>
      </c>
      <c r="B195" s="63">
        <f>(159+11+16+20)/1.56</f>
        <v>132.05128205128204</v>
      </c>
      <c r="C195" s="63"/>
      <c r="D195" s="63">
        <f>(11+16+20+21)/1.56</f>
        <v>43.589743589743591</v>
      </c>
      <c r="E195" s="54"/>
      <c r="F195" s="54"/>
      <c r="G195" s="54"/>
      <c r="H195" s="54">
        <v>1</v>
      </c>
      <c r="I195" s="52">
        <f t="shared" si="7"/>
        <v>6.9230769230769225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>
        <v>35</v>
      </c>
      <c r="B196" s="63">
        <f>189/1.56</f>
        <v>121.15384615384615</v>
      </c>
      <c r="C196" s="63"/>
      <c r="D196" s="63"/>
      <c r="E196" s="54"/>
      <c r="F196" s="54"/>
      <c r="G196" s="54"/>
      <c r="H196" s="54"/>
      <c r="I196" s="52">
        <f t="shared" si="7"/>
        <v>6.5384615384615383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>
        <v>40</v>
      </c>
      <c r="B197" s="63">
        <f>(216+22)/1.56</f>
        <v>152.56410256410257</v>
      </c>
      <c r="C197" s="63"/>
      <c r="D197" s="63">
        <f>(22+22)/1.56</f>
        <v>28.205128205128204</v>
      </c>
      <c r="E197" s="54"/>
      <c r="F197" s="54"/>
      <c r="G197" s="54"/>
      <c r="H197" s="54"/>
      <c r="I197" s="52">
        <f t="shared" si="7"/>
        <v>6.2820512820512846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>
        <v>45</v>
      </c>
      <c r="B198" s="63">
        <f>239/1.56</f>
        <v>153.2051282051282</v>
      </c>
      <c r="C198" s="63"/>
      <c r="D198" s="63"/>
      <c r="E198" s="54"/>
      <c r="F198" s="54"/>
      <c r="G198" s="54"/>
      <c r="H198" s="54"/>
      <c r="I198" s="52">
        <f t="shared" si="7"/>
        <v>5.7692307692307683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>
        <v>50</v>
      </c>
      <c r="B199" s="53">
        <f>(260+22)/1.56</f>
        <v>180.76923076923077</v>
      </c>
      <c r="C199" s="53"/>
      <c r="D199" s="53">
        <f>(22+22)/1.56</f>
        <v>28.205128205128204</v>
      </c>
      <c r="E199" s="54"/>
      <c r="F199" s="54"/>
      <c r="G199" s="54"/>
      <c r="H199" s="54"/>
      <c r="I199" s="52">
        <f t="shared" si="7"/>
        <v>5.5128205128205137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>
        <v>55</v>
      </c>
      <c r="B200" s="53">
        <f>278/1.56</f>
        <v>178.2051282051282</v>
      </c>
      <c r="C200" s="53"/>
      <c r="D200" s="53"/>
      <c r="E200" s="54"/>
      <c r="F200" s="54"/>
      <c r="G200" s="54"/>
      <c r="H200" s="54"/>
      <c r="I200" s="52">
        <f t="shared" si="7"/>
        <v>5.1282051282051269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>
        <v>60</v>
      </c>
      <c r="B201" s="53">
        <f>(295+21)/1.56</f>
        <v>202.56410256410257</v>
      </c>
      <c r="C201" s="53"/>
      <c r="D201" s="53">
        <f>(21+20)/1.56</f>
        <v>26.282051282051281</v>
      </c>
      <c r="E201" s="54"/>
      <c r="F201" s="54"/>
      <c r="G201" s="54"/>
      <c r="H201" s="54"/>
      <c r="I201" s="52">
        <f t="shared" si="7"/>
        <v>4.8717948717948731</v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>
        <v>65</v>
      </c>
      <c r="B202" s="53">
        <f>310/1.56</f>
        <v>198.7179487179487</v>
      </c>
      <c r="C202" s="53"/>
      <c r="D202" s="53"/>
      <c r="E202" s="54"/>
      <c r="F202" s="54"/>
      <c r="G202" s="54"/>
      <c r="H202" s="54"/>
      <c r="I202" s="52">
        <f t="shared" si="7"/>
        <v>4.4871794871794801</v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>
        <v>70</v>
      </c>
      <c r="B203" s="53">
        <f>(324+20)/1.56</f>
        <v>220.5128205128205</v>
      </c>
      <c r="C203" s="53"/>
      <c r="D203" s="53">
        <f>(20+19)/1.56</f>
        <v>25</v>
      </c>
      <c r="E203" s="54"/>
      <c r="F203" s="54"/>
      <c r="G203" s="54"/>
      <c r="H203" s="54"/>
      <c r="I203" s="52">
        <f t="shared" si="7"/>
        <v>4.3589743589743595</v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>
        <v>75</v>
      </c>
      <c r="B204" s="53">
        <f>336/1.56</f>
        <v>215.38461538461539</v>
      </c>
      <c r="C204" s="53"/>
      <c r="D204" s="53"/>
      <c r="E204" s="54"/>
      <c r="F204" s="54"/>
      <c r="G204" s="54"/>
      <c r="H204" s="54"/>
      <c r="I204" s="52">
        <f t="shared" si="7"/>
        <v>3.974358974358978</v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>
        <v>80</v>
      </c>
      <c r="B205" s="53">
        <f>(347+18)/1.56</f>
        <v>233.97435897435898</v>
      </c>
      <c r="C205" s="53"/>
      <c r="D205" s="53">
        <f>(18+17)/1.56</f>
        <v>22.435897435897434</v>
      </c>
      <c r="E205" s="54"/>
      <c r="F205" s="54"/>
      <c r="G205" s="54"/>
      <c r="H205" s="54"/>
      <c r="I205" s="52">
        <f t="shared" si="7"/>
        <v>3.7179487179487181</v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>
        <v>85</v>
      </c>
      <c r="B206" s="53">
        <f>358/1.56</f>
        <v>229.48717948717947</v>
      </c>
      <c r="C206" s="53"/>
      <c r="D206" s="53"/>
      <c r="E206" s="54"/>
      <c r="F206" s="54"/>
      <c r="G206" s="54"/>
      <c r="H206" s="54"/>
      <c r="I206" s="52">
        <f t="shared" si="7"/>
        <v>3.5897435897435854</v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>
        <v>90</v>
      </c>
      <c r="B207" s="53">
        <f>(367+17)/1.56</f>
        <v>246.15384615384613</v>
      </c>
      <c r="C207" s="53"/>
      <c r="D207" s="53">
        <f>(17+16)/1.56</f>
        <v>21.153846153846153</v>
      </c>
      <c r="E207" s="54"/>
      <c r="F207" s="54"/>
      <c r="G207" s="54"/>
      <c r="H207" s="54"/>
      <c r="I207" s="52">
        <f t="shared" si="7"/>
        <v>3.3333333333333313</v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>
        <v>95</v>
      </c>
      <c r="B208" s="53">
        <f>376/1.56</f>
        <v>241.02564102564102</v>
      </c>
      <c r="C208" s="53"/>
      <c r="D208" s="53"/>
      <c r="E208" s="54"/>
      <c r="F208" s="54"/>
      <c r="G208" s="54"/>
      <c r="H208" s="54"/>
      <c r="I208" s="52">
        <f t="shared" si="7"/>
        <v>3.2051282051282102</v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>
        <v>100</v>
      </c>
      <c r="B209" s="53">
        <f>(387+13)/1.56</f>
        <v>256.41025641025641</v>
      </c>
      <c r="C209" s="53"/>
      <c r="D209" s="53">
        <f>(13+15)/1.56</f>
        <v>17.948717948717949</v>
      </c>
      <c r="E209" s="54"/>
      <c r="F209" s="54"/>
      <c r="G209" s="54"/>
      <c r="H209" s="54"/>
      <c r="I209" s="52">
        <f t="shared" si="7"/>
        <v>3.0769230769230775</v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>
        <v>105</v>
      </c>
      <c r="B210" s="53">
        <f>395/1.56</f>
        <v>253.2051282051282</v>
      </c>
      <c r="C210" s="53"/>
      <c r="D210" s="53"/>
      <c r="E210" s="54"/>
      <c r="F210" s="54"/>
      <c r="G210" s="54"/>
      <c r="H210" s="54"/>
      <c r="I210" s="52">
        <f t="shared" si="7"/>
        <v>2.9487179487179502</v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>
        <v>110</v>
      </c>
      <c r="B211" s="53">
        <f>(402+15)/1.56</f>
        <v>267.30769230769232</v>
      </c>
      <c r="C211" s="53"/>
      <c r="D211" s="53">
        <f>B211</f>
        <v>267.30769230769232</v>
      </c>
      <c r="E211" s="54"/>
      <c r="F211" s="54"/>
      <c r="G211" s="54"/>
      <c r="H211" s="54"/>
      <c r="I211" s="52">
        <f t="shared" si="7"/>
        <v>2.8205128205128234</v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>Micocoulier de Provence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>
        <v>15</v>
      </c>
      <c r="B218" s="63">
        <f>49/1.56</f>
        <v>31.410256410256409</v>
      </c>
      <c r="C218" s="63"/>
      <c r="D218" s="63"/>
      <c r="E218" s="54"/>
      <c r="F218" s="54"/>
      <c r="G218" s="54"/>
      <c r="H218" s="54"/>
      <c r="I218" s="56">
        <f>IFERROR(B218/A218,"")</f>
        <v>2.0940170940170941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>
        <v>20</v>
      </c>
      <c r="B219" s="63">
        <f>(87+11)/1.56</f>
        <v>62.820512820512818</v>
      </c>
      <c r="C219" s="63"/>
      <c r="D219" s="63"/>
      <c r="E219" s="54"/>
      <c r="F219" s="54"/>
      <c r="G219" s="54"/>
      <c r="H219" s="54"/>
      <c r="I219" s="56">
        <f t="shared" ref="I219:I237" si="8">IF(A219&lt;&gt;0,(B219-(B218-D218))/(A219-A218),"")</f>
        <v>6.2820512820512819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>
        <v>25</v>
      </c>
      <c r="B220" s="63">
        <f>(125+11+16)/1.56</f>
        <v>97.435897435897431</v>
      </c>
      <c r="C220" s="63"/>
      <c r="D220" s="63"/>
      <c r="E220" s="54"/>
      <c r="F220" s="54"/>
      <c r="G220" s="54"/>
      <c r="H220" s="54"/>
      <c r="I220" s="56">
        <f t="shared" si="8"/>
        <v>6.9230769230769225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3">
        <v>30</v>
      </c>
      <c r="B221" s="63">
        <f>(159+11+16+20)/1.56</f>
        <v>132.05128205128204</v>
      </c>
      <c r="C221" s="63"/>
      <c r="D221" s="63">
        <f>(11+16+20+21)/1.56</f>
        <v>43.589743589743591</v>
      </c>
      <c r="E221" s="54"/>
      <c r="F221" s="54"/>
      <c r="G221" s="54"/>
      <c r="H221" s="54">
        <v>1</v>
      </c>
      <c r="I221" s="56">
        <f t="shared" si="8"/>
        <v>6.9230769230769225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3">
        <v>35</v>
      </c>
      <c r="B222" s="63">
        <f>189/1.56</f>
        <v>121.15384615384615</v>
      </c>
      <c r="C222" s="63"/>
      <c r="D222" s="63"/>
      <c r="E222" s="54"/>
      <c r="F222" s="54"/>
      <c r="G222" s="54"/>
      <c r="H222" s="54"/>
      <c r="I222" s="56">
        <f t="shared" si="8"/>
        <v>6.5384615384615383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3">
        <v>40</v>
      </c>
      <c r="B223" s="63">
        <f>(216+22)/1.56</f>
        <v>152.56410256410257</v>
      </c>
      <c r="C223" s="63"/>
      <c r="D223" s="63">
        <f>(22+22)/1.56</f>
        <v>28.205128205128204</v>
      </c>
      <c r="E223" s="54"/>
      <c r="F223" s="54"/>
      <c r="G223" s="54"/>
      <c r="H223" s="54"/>
      <c r="I223" s="56">
        <f t="shared" si="8"/>
        <v>6.2820512820512846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3">
        <v>45</v>
      </c>
      <c r="B224" s="63">
        <f>239/1.56</f>
        <v>153.2051282051282</v>
      </c>
      <c r="C224" s="63"/>
      <c r="D224" s="63"/>
      <c r="E224" s="54"/>
      <c r="F224" s="54"/>
      <c r="G224" s="54"/>
      <c r="H224" s="54"/>
      <c r="I224" s="56">
        <f t="shared" si="8"/>
        <v>5.7692307692307683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3">
        <v>50</v>
      </c>
      <c r="B225" s="53">
        <v>180.76923076923077</v>
      </c>
      <c r="C225" s="53"/>
      <c r="D225" s="53">
        <v>28.205128205128204</v>
      </c>
      <c r="E225" s="54"/>
      <c r="F225" s="54"/>
      <c r="G225" s="54"/>
      <c r="H225" s="54"/>
      <c r="I225" s="56">
        <f t="shared" si="8"/>
        <v>5.5128205128205137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3">
        <v>55</v>
      </c>
      <c r="B226" s="53">
        <v>178.2051282051282</v>
      </c>
      <c r="C226" s="53"/>
      <c r="D226" s="53"/>
      <c r="E226" s="54"/>
      <c r="F226" s="54"/>
      <c r="G226" s="54"/>
      <c r="H226" s="54"/>
      <c r="I226" s="56">
        <f t="shared" si="8"/>
        <v>5.1282051282051269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3">
        <v>60</v>
      </c>
      <c r="B227" s="53">
        <v>202.56410256410257</v>
      </c>
      <c r="C227" s="53"/>
      <c r="D227" s="53">
        <v>26.282051282051281</v>
      </c>
      <c r="E227" s="54"/>
      <c r="F227" s="54"/>
      <c r="G227" s="54"/>
      <c r="H227" s="54"/>
      <c r="I227" s="56">
        <f t="shared" si="8"/>
        <v>4.8717948717948731</v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3">
        <v>65</v>
      </c>
      <c r="B228" s="53">
        <v>198.7179487179487</v>
      </c>
      <c r="C228" s="53"/>
      <c r="D228" s="53"/>
      <c r="E228" s="54"/>
      <c r="F228" s="54"/>
      <c r="G228" s="54"/>
      <c r="H228" s="54"/>
      <c r="I228" s="56">
        <f t="shared" si="8"/>
        <v>4.4871794871794801</v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3">
        <v>70</v>
      </c>
      <c r="B229" s="53">
        <v>220.5128205128205</v>
      </c>
      <c r="C229" s="53"/>
      <c r="D229" s="53">
        <v>25</v>
      </c>
      <c r="E229" s="54"/>
      <c r="F229" s="54"/>
      <c r="G229" s="54"/>
      <c r="H229" s="54"/>
      <c r="I229" s="56">
        <f t="shared" si="8"/>
        <v>4.3589743589743595</v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3">
        <v>75</v>
      </c>
      <c r="B230" s="53">
        <v>215.38461538461539</v>
      </c>
      <c r="C230" s="53"/>
      <c r="D230" s="53"/>
      <c r="E230" s="54"/>
      <c r="F230" s="54"/>
      <c r="G230" s="54"/>
      <c r="H230" s="54"/>
      <c r="I230" s="56">
        <f t="shared" si="8"/>
        <v>3.974358974358978</v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53">
        <v>80</v>
      </c>
      <c r="B231" s="53">
        <v>233.97435897435898</v>
      </c>
      <c r="C231" s="53"/>
      <c r="D231" s="53">
        <v>22.435897435897434</v>
      </c>
      <c r="E231" s="54"/>
      <c r="F231" s="54"/>
      <c r="G231" s="54"/>
      <c r="H231" s="54"/>
      <c r="I231" s="56">
        <f t="shared" si="8"/>
        <v>3.7179487179487181</v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>
        <v>85</v>
      </c>
      <c r="B232" s="53">
        <v>229.48717948717947</v>
      </c>
      <c r="C232" s="53"/>
      <c r="D232" s="53"/>
      <c r="E232" s="54"/>
      <c r="F232" s="54"/>
      <c r="G232" s="54"/>
      <c r="H232" s="54"/>
      <c r="I232" s="56">
        <f t="shared" si="8"/>
        <v>3.5897435897435854</v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>
        <v>90</v>
      </c>
      <c r="B233" s="53">
        <v>246.15384615384613</v>
      </c>
      <c r="C233" s="53"/>
      <c r="D233" s="53">
        <v>21.153846153846153</v>
      </c>
      <c r="E233" s="54"/>
      <c r="F233" s="54"/>
      <c r="G233" s="54"/>
      <c r="H233" s="54"/>
      <c r="I233" s="56">
        <f t="shared" si="8"/>
        <v>3.3333333333333313</v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>
        <v>95</v>
      </c>
      <c r="B234" s="53">
        <v>241.02564102564102</v>
      </c>
      <c r="C234" s="53"/>
      <c r="D234" s="53"/>
      <c r="E234" s="54"/>
      <c r="F234" s="54"/>
      <c r="G234" s="54"/>
      <c r="H234" s="54"/>
      <c r="I234" s="56">
        <f t="shared" si="8"/>
        <v>3.2051282051282102</v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>
        <v>100</v>
      </c>
      <c r="B235" s="53">
        <v>256.41025641025641</v>
      </c>
      <c r="C235" s="53"/>
      <c r="D235" s="53">
        <v>17.948717948717949</v>
      </c>
      <c r="E235" s="54"/>
      <c r="F235" s="54"/>
      <c r="G235" s="54"/>
      <c r="H235" s="54"/>
      <c r="I235" s="56">
        <f t="shared" si="8"/>
        <v>3.0769230769230775</v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>
        <v>105</v>
      </c>
      <c r="B236" s="53">
        <v>253.2051282051282</v>
      </c>
      <c r="C236" s="53"/>
      <c r="D236" s="53"/>
      <c r="E236" s="54"/>
      <c r="F236" s="54"/>
      <c r="G236" s="54"/>
      <c r="H236" s="54"/>
      <c r="I236" s="56">
        <f t="shared" si="8"/>
        <v>2.9487179487179502</v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>
        <v>110</v>
      </c>
      <c r="B237" s="53">
        <v>267.30769230769232</v>
      </c>
      <c r="C237" s="53"/>
      <c r="D237" s="53">
        <v>267.30769230769232</v>
      </c>
      <c r="E237" s="54"/>
      <c r="F237" s="54"/>
      <c r="G237" s="54"/>
      <c r="H237" s="54"/>
      <c r="I237" s="56">
        <f t="shared" si="8"/>
        <v>2.8205128205128234</v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7" sqref="B17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pubescent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Cormier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Alisier torminal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Erable champêtre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Pin laricio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Cèdre de l'Atlas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Tilleul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>Micocoulier de Provence</v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516.30971934066179</v>
      </c>
      <c r="T3" s="62">
        <f>IF('Données projet'!E9&gt;30,$R$33-$H$33,LOOKUP('Données projet'!$E$9,$A$3:$A$203,R3:R203)-LOOKUP('Données projet'!$E$9,$A$3:$A$203,$H$3:$H$203))</f>
        <v>290.84286505723571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542.90832990875208</v>
      </c>
      <c r="AO3" s="62">
        <f>IF('Données projet'!E10&gt;30,$AM$33-$H$33,LOOKUP('Données projet'!$E$10,$A$3:$A$203,AM3:AM203)-LOOKUP('Données projet'!$E$10,$A$3:$A$203,$H$3:$H$203))</f>
        <v>304.94365539329362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496.33873798282525</v>
      </c>
      <c r="BJ3" s="62">
        <f>IF('Données projet'!E11&gt;30,$BH$33-$H$33,LOOKUP('Données projet'!$E$11,$A$3:$A$203,BH3:BH203)-LOOKUP('Données projet'!$E$11,$A$3:$A$203,$H$3:$H$203))</f>
        <v>280.25465074992246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298.28891728374822</v>
      </c>
      <c r="CE3" s="62">
        <f>IF('Données projet'!E12&gt;30,$CC$33-$H$33,LOOKUP('Données projet'!$E$12,$A$3:$A$203,CC3:CC203)-LOOKUP('Données projet'!$E$12,$A$3:$A$203,$H$3:$H$203))</f>
        <v>275.07405533331371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320.46614113586043</v>
      </c>
      <c r="CZ3" s="62">
        <f>IF('Données projet'!E13&gt;30,$CX$33-$H$33,LOOKUP('Données projet'!$E$13,$A$3:$A$203,CX3:CX203)-LOOKUP('Données projet'!$E$13,$A$3:$A$203,$H$3:$H$203))</f>
        <v>250.7806929924491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429.87867712133851</v>
      </c>
      <c r="DU3" s="62">
        <f>IF('Données projet'!E14&gt;30,$DS$33-$H$33,LOOKUP('Données projet'!$E$14,$A$3:$A$203,DS3:DS203)-LOOKUP('Données projet'!$E$14,$A$3:$A$203,$H$3:$H$203))</f>
        <v>182.81277865988014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296.18088377871669</v>
      </c>
      <c r="EP3" s="62">
        <f>IF('Données projet'!E15&gt;30,$EN$33-$H$33,LOOKUP('Données projet'!$E$15,$A$3:$A$203,EN3:EN203)-LOOKUP('Données projet'!$E$15,$A$3:$A$203,$H$3:$H$203))</f>
        <v>252.23833925792056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359.20464555327072</v>
      </c>
      <c r="FK3" s="62">
        <f>IF('Données projet'!E16&gt;30,$FI$33-$H$33,LOOKUP('Données projet'!$E$16,$A$3:$A$203,FI3:FI203)-LOOKUP('Données projet'!$E$16,$A$3:$A$203,$H$3:$H$203))</f>
        <v>305.54154052071863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2.1</v>
      </c>
      <c r="N4" s="14">
        <f>IF('Données projet'!$A$36&gt;35,N3+M4-V3,IF(A4&lt;'Données projet'!$A$36,$K$205^A4,IF(A4='Données projet'!$A$36,'Données projet'!$B$36,N3+M4-V3)))</f>
        <v>1.2054868146447177</v>
      </c>
      <c r="O4" s="14">
        <f>N4*VLOOKUP('Données projet'!$B$9,Paramètres!$A$1:$I$89,3,0)*VLOOKUP('Données projet'!$B$9,Paramètres!$A$1:$I$89,5,0)</f>
        <v>1.2223636300497438</v>
      </c>
      <c r="P4" s="14">
        <f>EXP(-1.0587+0.8836*LN(O4)+0.284)</f>
        <v>0.55030360208821416</v>
      </c>
      <c r="Q4" s="22">
        <f t="shared" ref="Q4:Q34" si="2">(O4+P4)*0.475*44/12</f>
        <v>3.0873954293069432</v>
      </c>
      <c r="R4" s="62">
        <f t="shared" si="0"/>
        <v>170.89982938223079</v>
      </c>
      <c r="S4" s="62">
        <f ca="1">AVERAGE(OFFSET($R$3,0,0,'Données projet'!$E$9+1,1))-AVERAGE(OFFSET($H$3,0,0,'Données projet'!$E$9+1,1))</f>
        <v>516.30971934066179</v>
      </c>
      <c r="T4" s="62">
        <f>$T$3</f>
        <v>290.84286505723571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1.2975860072835741</v>
      </c>
      <c r="AK4" s="14">
        <f>EXP(-1.0587+0.8836*LN(AJ4)+0.284)</f>
        <v>0.58012177912374829</v>
      </c>
      <c r="AL4" s="22">
        <f t="shared" ref="AL4:AL67" si="4">(AJ4+AK4)*0.475*44/12</f>
        <v>3.2703410613260862</v>
      </c>
      <c r="AM4" s="62">
        <f t="shared" ref="AM4:AM67" si="5">AL4+(AD4+AE4)*44/12</f>
        <v>171.08277501424993</v>
      </c>
      <c r="AN4" s="62">
        <f ca="1">AVERAGE(OFFSET($AM$3,0,0,'Données projet'!$E$10+1,1))-AVERAGE(OFFSET($H$3,0,0,'Données projet'!$E$10+1,1))</f>
        <v>542.90832990875208</v>
      </c>
      <c r="AO4" s="62">
        <f>$AO$3</f>
        <v>304.94365539329362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1.165946847124371</v>
      </c>
      <c r="BF4" s="14">
        <f>EXP(-1.0587+0.8836*LN(BE4)+0.284)</f>
        <v>0.52780002987456354</v>
      </c>
      <c r="BG4" s="22">
        <f t="shared" ref="BG4:BG67" si="7">(BE4+BF4)*0.475*44/12</f>
        <v>2.9499424774398109</v>
      </c>
      <c r="BH4" s="62">
        <f t="shared" ref="BH4:BH67" si="8">BG4+(AY4+AZ4)*44/12</f>
        <v>170.76237643036364</v>
      </c>
      <c r="BI4" s="62">
        <f ca="1">AVERAGE(OFFSET($BH$3,0,0,'Données projet'!$E$11+1,1))-AVERAGE(OFFSET($H$3,0,0,'Données projet'!$E$11+1,1))</f>
        <v>496.33873798282525</v>
      </c>
      <c r="BJ4" s="62">
        <f>$BJ$3</f>
        <v>280.25465074992246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0.59333333333333338</v>
      </c>
      <c r="BY4" s="13">
        <f>IF('Données projet'!$A$114&gt;35,BY3+BX4-CG3,IF(A4&lt;'Données projet'!$A$114,$BV$205^A4,IF(A4='Données projet'!$A$114,'Données projet'!$B$114,BY3+BX4-CG3)))</f>
        <v>1.156891598310152</v>
      </c>
      <c r="BZ4" s="14">
        <f>BY4*VLOOKUP('Données projet'!$B$12,Paramètres!$A$1:$I$89,3,0)*VLOOKUP('Données projet'!$B$12,Paramètres!$A$1:$I$89,5,0)</f>
        <v>1.010660500283749</v>
      </c>
      <c r="CA4" s="14">
        <f>EXP(-1.0587+0.8836*LN(BZ4)+0.284)</f>
        <v>0.46518028592733834</v>
      </c>
      <c r="CB4" s="22">
        <f t="shared" ref="CB4:CB67" si="10">(BZ4+CA4)*0.475*44/12</f>
        <v>2.5704227026509772</v>
      </c>
      <c r="CC4" s="62">
        <f t="shared" ref="CC4:CC67" si="11">CB4+(BT4+BU4)*44/12</f>
        <v>170.38285665557481</v>
      </c>
      <c r="CD4" s="62">
        <f ca="1">AVERAGE(OFFSET($CC$3,0,0,'Données projet'!$E$12+1,1))-AVERAGE(OFFSET($H$3,0,0,'Données projet'!$E$12+1,1))</f>
        <v>298.28891728374822</v>
      </c>
      <c r="CE4" s="62">
        <f>$CE$3</f>
        <v>275.07405533331371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4.3703703703703702</v>
      </c>
      <c r="CT4" s="13">
        <f>IF('Données projet'!$A$140&gt;35,CT3+CS4-DB3,IF(A4&lt;'Données projet'!$A$140,$CQ$205^A4,IF(A4='Données projet'!$A$140,'Données projet'!$B$140,CT3+CS4-DB3)))</f>
        <v>1.1932635389591795</v>
      </c>
      <c r="CU4" s="18">
        <f>CT4*VLOOKUP('Données projet'!$B$13,Paramètres!$A$1:$I$89,3,0)*VLOOKUP('Données projet'!$B$13,Paramètres!$A$1:$I$89,5,0)</f>
        <v>0.71357159629758937</v>
      </c>
      <c r="CV4" s="14">
        <f>EXP(-1.0587+0.8836*LN(CU4)+0.284)</f>
        <v>0.34201841351504586</v>
      </c>
      <c r="CW4" s="22">
        <f t="shared" ref="CW4:CW67" si="13">(CU4+CV4)*0.475*44/12</f>
        <v>1.8384859337570063</v>
      </c>
      <c r="CX4" s="62">
        <f t="shared" ref="CX4:CX67" si="14">CW4+(CO4+CP4)*44/12</f>
        <v>169.65091988668084</v>
      </c>
      <c r="CY4" s="62">
        <f ca="1">AVERAGE(OFFSET($CX$3,0,0,'Données projet'!$E$13+1,1))-AVERAGE(OFFSET($H$3,0,0,'Données projet'!$E$13+1,1))</f>
        <v>320.46614113586043</v>
      </c>
      <c r="CZ4" s="62">
        <f>$CZ$3</f>
        <v>250.7806929924491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1.4</v>
      </c>
      <c r="DO4" s="13">
        <f>IF('Données projet'!$A$166&gt;35,DO3+DN4-DW3,IF(A4&lt;'Données projet'!$A$166,$DL$205^A4,IF(A4='Données projet'!$A$166,'Données projet'!$B$166,DO3+DN4-DW3)))</f>
        <v>1.1812937373976771</v>
      </c>
      <c r="DP4" s="18">
        <f>DO4*VLOOKUP('Données projet'!$B$14,Paramètres!$A$1:$I$89,3,0)*VLOOKUP('Données projet'!$B$14,Paramètres!$A$1:$I$89,5,0)</f>
        <v>0.55284546910211285</v>
      </c>
      <c r="DQ4" s="14">
        <f>EXP(-1.0587+0.8836*LN(DP4)+0.284)</f>
        <v>0.27297114564908254</v>
      </c>
      <c r="DR4" s="22">
        <f t="shared" ref="DR4:DR67" si="16">(DP4+DQ4)*0.475*44/12</f>
        <v>1.4382972706916652</v>
      </c>
      <c r="DS4" s="62">
        <f t="shared" ref="DS4:DS67" si="17">DR4+(DJ4+DK4)*44/12</f>
        <v>169.2507312236155</v>
      </c>
      <c r="DT4" s="62">
        <f ca="1">AVERAGE(OFFSET($DS$3,0,0,'Données projet'!$E$14+1,1))-AVERAGE(OFFSET($H$3,0,0,'Données projet'!$E$14+1,1))</f>
        <v>429.87867712133851</v>
      </c>
      <c r="DU4" s="62">
        <f>$DU$3</f>
        <v>182.81277865988014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2.0940170940170941</v>
      </c>
      <c r="EJ4" s="13">
        <f>IF('Données projet'!$A$192&gt;35,EJ3+EI4-ER3,IF(A4&lt;'Données projet'!$A$192,$EG$205^A4,IF(A4='Données projet'!$A$192,'Données projet'!$B$192,EJ3+EI4-ER3)))</f>
        <v>1.2583595963961556</v>
      </c>
      <c r="EK4" s="18">
        <f>EJ4*VLOOKUP('Données projet'!$B$15,Paramètres!$A$1:$I$89,3,0)*VLOOKUP('Données projet'!$B$15,Paramètres!$A$1:$I$89,5,0)</f>
        <v>0.84410761726254113</v>
      </c>
      <c r="EL4" s="14">
        <f>EXP(-1.0587+0.8836*LN(EK4)+0.284)</f>
        <v>0.3967502216694111</v>
      </c>
      <c r="EM4" s="22">
        <f t="shared" ref="EM4:EM67" si="19">(EK4+EL4)*0.475*44/12</f>
        <v>2.1611607361398169</v>
      </c>
      <c r="EN4" s="62">
        <f t="shared" ref="EN4:EN67" si="20">EM4+(EE4+EF4)*44/12</f>
        <v>169.97359468906365</v>
      </c>
      <c r="EO4" s="62">
        <f ca="1">AVERAGE(OFFSET($EN$3,0,0,'Données projet'!$E$15+1,1))-AVERAGE(OFFSET($H$3,0,0,'Données projet'!$E$15+1,1))</f>
        <v>296.18088377871669</v>
      </c>
      <c r="EP4" s="62">
        <f>$EP$3</f>
        <v>252.23833925792056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2.0940170940170941</v>
      </c>
      <c r="FE4" s="13">
        <f>IF('Données projet'!$A$218&gt;35,FE3+FD4-FM3,IF(A4&lt;'Données projet'!$A$218,$FB$205^A4,IF(A4='Données projet'!$A$218,'Données projet'!$B$218,FE3+FD4-FM3)))</f>
        <v>1.2583595963961556</v>
      </c>
      <c r="FF4" s="18">
        <f>FE4*VLOOKUP('Données projet'!$B$16,Paramètres!$A$1:$I$89,3,0)*VLOOKUP('Données projet'!$B$16,Paramètres!$A$1:$I$89,5,0)</f>
        <v>1.0796725337079016</v>
      </c>
      <c r="FG4" s="14">
        <f>EXP(-1.0587+0.8836*LN(FF4)+0.284)</f>
        <v>0.49313851514563806</v>
      </c>
      <c r="FH4" s="22">
        <f t="shared" ref="FH4:FH67" si="22">(FF4+FG4)*0.475*44/12</f>
        <v>2.7393125767532482</v>
      </c>
      <c r="FI4" s="62">
        <f t="shared" ref="FI4:FI67" si="23">FH4+(EZ4+FA4)*44/12</f>
        <v>170.55174652967708</v>
      </c>
      <c r="FJ4" s="62">
        <f ca="1">AVERAGE(OFFSET($FI$3,0,0,'Données projet'!$E$16+1,1))-AVERAGE(OFFSET($H$3,0,0,'Données projet'!$E$16+1,1))</f>
        <v>359.20464555327072</v>
      </c>
      <c r="FK4" s="62">
        <f>$FK$3</f>
        <v>305.54154052071863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2.1</v>
      </c>
      <c r="N5" s="14">
        <f>IF('Données projet'!$A$36&gt;35,N4+M5-V4,IF(A5&lt;'Données projet'!$A$36,$K$205^A5,IF(A5='Données projet'!$A$36,'Données projet'!$B$36,N4+M5-V4)))</f>
        <v>1.4531984602822681</v>
      </c>
      <c r="O5" s="14">
        <f>N5*VLOOKUP('Données projet'!$B$9,Paramètres!$A$1:$I$89,3,0)*VLOOKUP('Données projet'!$B$9,Paramètres!$A$1:$I$89,5,0)</f>
        <v>1.47354323872622</v>
      </c>
      <c r="P5" s="14">
        <f t="shared" ref="P5:P68" si="33">EXP(-1.0587+0.8836*LN(O5)+0.284)</f>
        <v>0.64910881835703094</v>
      </c>
      <c r="Q5" s="22">
        <f t="shared" si="2"/>
        <v>3.6969523327533285</v>
      </c>
      <c r="R5" s="62">
        <f t="shared" si="0"/>
        <v>174.29423362025418</v>
      </c>
      <c r="S5" s="62">
        <f ca="1">AVERAGE(OFFSET($R$3,0,0,'Données projet'!$E$9+1,1))-AVERAGE(OFFSET($H$3,0,0,'Données projet'!$E$9+1,1))</f>
        <v>516.30971934066179</v>
      </c>
      <c r="T5" s="62">
        <f t="shared" ref="T5:T68" si="34">$T$3</f>
        <v>290.84286505723571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1.5642228226478332</v>
      </c>
      <c r="AK5" s="14">
        <f t="shared" ref="AK5:AK68" si="35">EXP(-1.0587+0.8836*LN(AJ5)+0.284)</f>
        <v>0.68428075179095682</v>
      </c>
      <c r="AL5" s="22">
        <f t="shared" si="4"/>
        <v>3.9161437254808931</v>
      </c>
      <c r="AM5" s="62">
        <f t="shared" si="5"/>
        <v>174.51342501298171</v>
      </c>
      <c r="AN5" s="62">
        <f ca="1">AVERAGE(OFFSET($AM$3,0,0,'Données projet'!$E$10+1,1))-AVERAGE(OFFSET($H$3,0,0,'Données projet'!$E$10+1,1))</f>
        <v>542.90832990875208</v>
      </c>
      <c r="AO5" s="62">
        <f t="shared" ref="AO5:AO68" si="36">$AO$3</f>
        <v>304.94365539329362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1.4055335507850097</v>
      </c>
      <c r="BF5" s="14">
        <f t="shared" ref="BF5:BF68" si="37">EXP(-1.0587+0.8836*LN(BE5)+0.284)</f>
        <v>0.62256480317525631</v>
      </c>
      <c r="BG5" s="22">
        <f t="shared" si="7"/>
        <v>3.5322712998141292</v>
      </c>
      <c r="BH5" s="62">
        <f t="shared" si="8"/>
        <v>174.12955258731498</v>
      </c>
      <c r="BI5" s="62">
        <f ca="1">AVERAGE(OFFSET($BH$3,0,0,'Données projet'!$E$11+1,1))-AVERAGE(OFFSET($H$3,0,0,'Données projet'!$E$11+1,1))</f>
        <v>496.33873798282525</v>
      </c>
      <c r="BJ5" s="62">
        <f t="shared" ref="BJ5:BJ68" si="38">$BJ$3</f>
        <v>280.25465074992246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0.59333333333333338</v>
      </c>
      <c r="BY5" s="13">
        <f>IF('Données projet'!$A$114&gt;35,BY4+BX5-CG4,IF(A5&lt;'Données projet'!$A$114,$BV$205^A5,IF(A5='Données projet'!$A$114,'Données projet'!$B$114,BY4+BX5-CG4)))</f>
        <v>1.338398170240618</v>
      </c>
      <c r="BZ5" s="14">
        <f>BY5*VLOOKUP('Données projet'!$B$12,Paramètres!$A$1:$I$89,3,0)*VLOOKUP('Données projet'!$B$12,Paramètres!$A$1:$I$89,5,0)</f>
        <v>1.1692246415222041</v>
      </c>
      <c r="CA5" s="14">
        <f t="shared" ref="CA5:CA68" si="39">EXP(-1.0587+0.8836*LN(BZ5)+0.284)</f>
        <v>0.52911089220877106</v>
      </c>
      <c r="CB5" s="22">
        <f t="shared" si="10"/>
        <v>2.9579343879147815</v>
      </c>
      <c r="CC5" s="62">
        <f t="shared" si="11"/>
        <v>173.55521567541561</v>
      </c>
      <c r="CD5" s="62">
        <f ca="1">AVERAGE(OFFSET($CC$3,0,0,'Données projet'!$E$12+1,1))-AVERAGE(OFFSET($H$3,0,0,'Données projet'!$E$12+1,1))</f>
        <v>298.28891728374822</v>
      </c>
      <c r="CE5" s="62">
        <f t="shared" ref="CE5:CE68" si="40">$CE$3</f>
        <v>275.07405533331371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4.3703703703703702</v>
      </c>
      <c r="CT5" s="13">
        <f>IF('Données projet'!$A$140&gt;35,CT4+CS5-DB4,IF(A5&lt;'Données projet'!$A$140,$CQ$205^A5,IF(A5='Données projet'!$A$140,'Données projet'!$B$140,CT4+CS5-DB4)))</f>
        <v>1.4238778734093853</v>
      </c>
      <c r="CU5" s="18">
        <f>CT5*VLOOKUP('Données projet'!$B$13,Paramètres!$A$1:$I$89,3,0)*VLOOKUP('Données projet'!$B$13,Paramètres!$A$1:$I$89,5,0)</f>
        <v>0.85147896829881242</v>
      </c>
      <c r="CV5" s="14">
        <f t="shared" ref="CV5:CV68" si="41">EXP(-1.0587+0.8836*LN(CU5)+0.284)</f>
        <v>0.39981008543020569</v>
      </c>
      <c r="CW5" s="22">
        <f t="shared" si="13"/>
        <v>2.179328435244706</v>
      </c>
      <c r="CX5" s="62">
        <f t="shared" si="14"/>
        <v>172.77660972274555</v>
      </c>
      <c r="CY5" s="62">
        <f ca="1">AVERAGE(OFFSET($CX$3,0,0,'Données projet'!$E$13+1,1))-AVERAGE(OFFSET($H$3,0,0,'Données projet'!$E$13+1,1))</f>
        <v>320.46614113586043</v>
      </c>
      <c r="CZ5" s="62">
        <f t="shared" ref="CZ5:CZ68" si="42">$CZ$3</f>
        <v>250.7806929924491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1.4</v>
      </c>
      <c r="DO5" s="13">
        <f>IF('Données projet'!$A$166&gt;35,DO4+DN5-DW4,IF(A5&lt;'Données projet'!$A$166,$DL$205^A5,IF(A5='Données projet'!$A$166,'Données projet'!$B$166,DO4+DN5-DW4)))</f>
        <v>1.395454894014972</v>
      </c>
      <c r="DP5" s="18">
        <f>DO5*VLOOKUP('Données projet'!$B$14,Paramètres!$A$1:$I$89,3,0)*VLOOKUP('Données projet'!$B$14,Paramètres!$A$1:$I$89,5,0)</f>
        <v>0.65307289039900684</v>
      </c>
      <c r="DQ5" s="14">
        <f t="shared" ref="DQ5:DQ68" si="43">EXP(-1.0587+0.8836*LN(DP5)+0.284)</f>
        <v>0.31626576584246652</v>
      </c>
      <c r="DR5" s="22">
        <f t="shared" si="16"/>
        <v>1.6882648262872328</v>
      </c>
      <c r="DS5" s="62">
        <f t="shared" si="17"/>
        <v>172.28554611378806</v>
      </c>
      <c r="DT5" s="62">
        <f ca="1">AVERAGE(OFFSET($DS$3,0,0,'Données projet'!$E$14+1,1))-AVERAGE(OFFSET($H$3,0,0,'Données projet'!$E$14+1,1))</f>
        <v>429.87867712133851</v>
      </c>
      <c r="DU5" s="62">
        <f t="shared" ref="DU5:DU68" si="44">$DU$3</f>
        <v>182.81277865988014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2.0940170940170941</v>
      </c>
      <c r="EJ5" s="13">
        <f>IF('Données projet'!$A$192&gt;35,EJ4+EI5-ER4,IF(A5&lt;'Données projet'!$A$192,$EG$205^A5,IF(A5='Données projet'!$A$192,'Données projet'!$B$192,EJ4+EI5-ER4)))</f>
        <v>1.5834688738422955</v>
      </c>
      <c r="EK5" s="18">
        <f>EJ5*VLOOKUP('Données projet'!$B$15,Paramètres!$A$1:$I$89,3,0)*VLOOKUP('Données projet'!$B$15,Paramètres!$A$1:$I$89,5,0)</f>
        <v>1.0621909205734119</v>
      </c>
      <c r="EL5" s="14">
        <f t="shared" ref="EL5:EL68" si="45">EXP(-1.0587+0.8836*LN(EK5)+0.284)</f>
        <v>0.48607654898762231</v>
      </c>
      <c r="EM5" s="22">
        <f t="shared" si="19"/>
        <v>2.6965658428188011</v>
      </c>
      <c r="EN5" s="62">
        <f t="shared" si="20"/>
        <v>173.29384713031965</v>
      </c>
      <c r="EO5" s="62">
        <f ca="1">AVERAGE(OFFSET($EN$3,0,0,'Données projet'!$E$15+1,1))-AVERAGE(OFFSET($H$3,0,0,'Données projet'!$E$15+1,1))</f>
        <v>296.18088377871669</v>
      </c>
      <c r="EP5" s="62">
        <f t="shared" ref="EP5:EP68" si="46">$EP$3</f>
        <v>252.23833925792056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2.0940170940170941</v>
      </c>
      <c r="FE5" s="13">
        <f>IF('Données projet'!$A$218&gt;35,FE4+FD5-FM4,IF(A5&lt;'Données projet'!$A$218,$FB$205^A5,IF(A5='Données projet'!$A$218,'Données projet'!$B$218,FE4+FD5-FM4)))</f>
        <v>1.5834688738422955</v>
      </c>
      <c r="FF5" s="18">
        <f>FE5*VLOOKUP('Données projet'!$B$16,Paramètres!$A$1:$I$89,3,0)*VLOOKUP('Données projet'!$B$16,Paramètres!$A$1:$I$89,5,0)</f>
        <v>1.3586162937566897</v>
      </c>
      <c r="FG5" s="14">
        <f t="shared" ref="FG5:FG68" si="47">EXP(-1.0587+0.8836*LN(FF5)+0.284)</f>
        <v>0.60416618447311843</v>
      </c>
      <c r="FH5" s="22">
        <f t="shared" si="22"/>
        <v>3.4185128162502489</v>
      </c>
      <c r="FI5" s="62">
        <f t="shared" si="23"/>
        <v>174.01579410375109</v>
      </c>
      <c r="FJ5" s="62">
        <f ca="1">AVERAGE(OFFSET($FI$3,0,0,'Données projet'!$E$16+1,1))-AVERAGE(OFFSET($H$3,0,0,'Données projet'!$E$16+1,1))</f>
        <v>359.20464555327072</v>
      </c>
      <c r="FK5" s="62">
        <f t="shared" ref="FK5:FK68" si="48">$FK$3</f>
        <v>305.54154052071863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2.1</v>
      </c>
      <c r="N6" s="14">
        <f>IF('Données projet'!$A$36&gt;35,N5+M6-V5,IF(A6&lt;'Données projet'!$A$36,$K$205^A6,IF(A6='Données projet'!$A$36,'Données projet'!$B$36,N5+M6-V5)))</f>
        <v>1.7518115829322798</v>
      </c>
      <c r="O6" s="14">
        <f>N6*VLOOKUP('Données projet'!$B$9,Paramètres!$A$1:$I$89,3,0)*VLOOKUP('Données projet'!$B$9,Paramètres!$A$1:$I$89,5,0)</f>
        <v>1.7763369450933317</v>
      </c>
      <c r="P6" s="14">
        <f t="shared" si="33"/>
        <v>0.76565418883323866</v>
      </c>
      <c r="Q6" s="22">
        <f t="shared" si="2"/>
        <v>4.4273012249221102</v>
      </c>
      <c r="R6" s="62">
        <f t="shared" si="0"/>
        <v>177.78232179480699</v>
      </c>
      <c r="S6" s="62">
        <f ca="1">AVERAGE(OFFSET($R$3,0,0,'Données projet'!$E$9+1,1))-AVERAGE(OFFSET($H$3,0,0,'Données projet'!$E$9+1,1))</f>
        <v>516.30971934066179</v>
      </c>
      <c r="T6" s="62">
        <f t="shared" si="34"/>
        <v>290.84286505723571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1.885649987868306</v>
      </c>
      <c r="AK6" s="14">
        <f t="shared" si="35"/>
        <v>0.8071411281590839</v>
      </c>
      <c r="AL6" s="22">
        <f t="shared" si="4"/>
        <v>4.6899445270810372</v>
      </c>
      <c r="AM6" s="62">
        <f t="shared" si="5"/>
        <v>178.04496509696591</v>
      </c>
      <c r="AN6" s="62">
        <f ca="1">AVERAGE(OFFSET($AM$3,0,0,'Données projet'!$E$10+1,1))-AVERAGE(OFFSET($H$3,0,0,'Données projet'!$E$10+1,1))</f>
        <v>542.90832990875208</v>
      </c>
      <c r="AO6" s="62">
        <f t="shared" si="36"/>
        <v>304.94365539329362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1.694352163012101</v>
      </c>
      <c r="BF6" s="14">
        <f t="shared" si="37"/>
        <v>0.73434428233124405</v>
      </c>
      <c r="BG6" s="22">
        <f t="shared" si="7"/>
        <v>4.2299796423063247</v>
      </c>
      <c r="BH6" s="62">
        <f t="shared" si="8"/>
        <v>177.5850002121912</v>
      </c>
      <c r="BI6" s="62">
        <f ca="1">AVERAGE(OFFSET($BH$3,0,0,'Données projet'!$E$11+1,1))-AVERAGE(OFFSET($H$3,0,0,'Données projet'!$E$11+1,1))</f>
        <v>496.33873798282525</v>
      </c>
      <c r="BJ6" s="62">
        <f t="shared" si="38"/>
        <v>280.25465074992246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0.59333333333333338</v>
      </c>
      <c r="BY6" s="13">
        <f>IF('Données projet'!$A$114&gt;35,BY5+BX6-CG5,IF(A6&lt;'Données projet'!$A$114,$BV$205^A6,IF(A6='Données projet'!$A$114,'Données projet'!$B$114,BY5+BX6-CG5)))</f>
        <v>1.5483815983450515</v>
      </c>
      <c r="BZ6" s="14">
        <f>BY6*VLOOKUP('Données projet'!$B$12,Paramètres!$A$1:$I$89,3,0)*VLOOKUP('Données projet'!$B$12,Paramètres!$A$1:$I$89,5,0)</f>
        <v>1.3526661643142373</v>
      </c>
      <c r="CA6" s="14">
        <f t="shared" si="39"/>
        <v>0.60182760259468859</v>
      </c>
      <c r="CB6" s="22">
        <f t="shared" si="10"/>
        <v>3.4040766440330459</v>
      </c>
      <c r="CC6" s="62">
        <f t="shared" si="11"/>
        <v>176.75909721391793</v>
      </c>
      <c r="CD6" s="62">
        <f ca="1">AVERAGE(OFFSET($CC$3,0,0,'Données projet'!$E$12+1,1))-AVERAGE(OFFSET($H$3,0,0,'Données projet'!$E$12+1,1))</f>
        <v>298.28891728374822</v>
      </c>
      <c r="CE6" s="62">
        <f t="shared" si="40"/>
        <v>275.07405533331371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4.3703703703703702</v>
      </c>
      <c r="CT6" s="13">
        <f>IF('Données projet'!$A$140&gt;35,CT5+CS6-DB5,IF(A6&lt;'Données projet'!$A$140,$CQ$205^A6,IF(A6='Données projet'!$A$140,'Données projet'!$B$140,CT5+CS6-DB5)))</f>
        <v>1.6990615502701536</v>
      </c>
      <c r="CU6" s="18">
        <f>CT6*VLOOKUP('Données projet'!$B$13,Paramètres!$A$1:$I$89,3,0)*VLOOKUP('Données projet'!$B$13,Paramètres!$A$1:$I$89,5,0)</f>
        <v>1.0160388070615518</v>
      </c>
      <c r="CV6" s="14">
        <f t="shared" si="41"/>
        <v>0.46736695480483653</v>
      </c>
      <c r="CW6" s="22">
        <f t="shared" si="13"/>
        <v>2.5835983685839596</v>
      </c>
      <c r="CX6" s="62">
        <f t="shared" si="14"/>
        <v>175.93861893846884</v>
      </c>
      <c r="CY6" s="62">
        <f ca="1">AVERAGE(OFFSET($CX$3,0,0,'Données projet'!$E$13+1,1))-AVERAGE(OFFSET($H$3,0,0,'Données projet'!$E$13+1,1))</f>
        <v>320.46614113586043</v>
      </c>
      <c r="CZ6" s="62">
        <f t="shared" si="42"/>
        <v>250.7806929924491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1.4</v>
      </c>
      <c r="DO6" s="13">
        <f>IF('Données projet'!$A$166&gt;35,DO5+DN6-DW5,IF(A6&lt;'Données projet'!$A$166,$DL$205^A6,IF(A6='Données projet'!$A$166,'Données projet'!$B$166,DO5+DN6-DW5)))</f>
        <v>1.6484421271208256</v>
      </c>
      <c r="DP6" s="18">
        <f>DO6*VLOOKUP('Données projet'!$B$14,Paramètres!$A$1:$I$89,3,0)*VLOOKUP('Données projet'!$B$14,Paramètres!$A$1:$I$89,5,0)</f>
        <v>0.77147091549254643</v>
      </c>
      <c r="DQ6" s="14">
        <f t="shared" si="43"/>
        <v>0.36642713428952517</v>
      </c>
      <c r="DR6" s="22">
        <f t="shared" si="16"/>
        <v>1.9818391033704412</v>
      </c>
      <c r="DS6" s="62">
        <f t="shared" si="17"/>
        <v>175.33685967325533</v>
      </c>
      <c r="DT6" s="62">
        <f ca="1">AVERAGE(OFFSET($DS$3,0,0,'Données projet'!$E$14+1,1))-AVERAGE(OFFSET($H$3,0,0,'Données projet'!$E$14+1,1))</f>
        <v>429.87867712133851</v>
      </c>
      <c r="DU6" s="62">
        <f t="shared" si="44"/>
        <v>182.81277865988014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2.0940170940170941</v>
      </c>
      <c r="EJ6" s="13">
        <f>IF('Données projet'!$A$192&gt;35,EJ5+EI6-ER5,IF(A6&lt;'Données projet'!$A$192,$EG$205^A6,IF(A6='Données projet'!$A$192,'Données projet'!$B$192,EJ5+EI6-ER5)))</f>
        <v>1.9925732529940661</v>
      </c>
      <c r="EK6" s="18">
        <f>EJ6*VLOOKUP('Données projet'!$B$15,Paramètres!$A$1:$I$89,3,0)*VLOOKUP('Données projet'!$B$15,Paramètres!$A$1:$I$89,5,0)</f>
        <v>1.3366181381084197</v>
      </c>
      <c r="EL6" s="14">
        <f t="shared" si="45"/>
        <v>0.59551425196829955</v>
      </c>
      <c r="EM6" s="22">
        <f t="shared" si="19"/>
        <v>3.365130579383619</v>
      </c>
      <c r="EN6" s="62">
        <f t="shared" si="20"/>
        <v>176.7201511492685</v>
      </c>
      <c r="EO6" s="62">
        <f ca="1">AVERAGE(OFFSET($EN$3,0,0,'Données projet'!$E$15+1,1))-AVERAGE(OFFSET($H$3,0,0,'Données projet'!$E$15+1,1))</f>
        <v>296.18088377871669</v>
      </c>
      <c r="EP6" s="62">
        <f t="shared" si="46"/>
        <v>252.23833925792056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2.0940170940170941</v>
      </c>
      <c r="FE6" s="13">
        <f>IF('Données projet'!$A$218&gt;35,FE5+FD6-FM5,IF(A6&lt;'Données projet'!$A$218,$FB$205^A6,IF(A6='Données projet'!$A$218,'Données projet'!$B$218,FE5+FD6-FM5)))</f>
        <v>1.9925732529940661</v>
      </c>
      <c r="FF6" s="18">
        <f>FE6*VLOOKUP('Données projet'!$B$16,Paramètres!$A$1:$I$89,3,0)*VLOOKUP('Données projet'!$B$16,Paramètres!$A$1:$I$89,5,0)</f>
        <v>1.7096278510689091</v>
      </c>
      <c r="FG6" s="14">
        <f t="shared" si="47"/>
        <v>0.74019117803647161</v>
      </c>
      <c r="FH6" s="22">
        <f t="shared" si="22"/>
        <v>4.2667681423585382</v>
      </c>
      <c r="FI6" s="62">
        <f t="shared" si="23"/>
        <v>177.62178871224341</v>
      </c>
      <c r="FJ6" s="62">
        <f ca="1">AVERAGE(OFFSET($FI$3,0,0,'Données projet'!$E$16+1,1))-AVERAGE(OFFSET($H$3,0,0,'Données projet'!$E$16+1,1))</f>
        <v>359.20464555327072</v>
      </c>
      <c r="FK6" s="62">
        <f t="shared" si="48"/>
        <v>305.54154052071863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2.1</v>
      </c>
      <c r="N7" s="14">
        <f>IF('Données projet'!$A$36&gt;35,N6+M7-V6,IF(A7&lt;'Données projet'!$A$36,$K$205^A7,IF(A7='Données projet'!$A$36,'Données projet'!$B$36,N6+M7-V6)))</f>
        <v>2.1117857649667546</v>
      </c>
      <c r="O7" s="14">
        <f>N7*VLOOKUP('Données projet'!$B$9,Paramètres!$A$1:$I$89,3,0)*VLOOKUP('Données projet'!$B$9,Paramètres!$A$1:$I$89,5,0)</f>
        <v>2.1413507656762891</v>
      </c>
      <c r="P7" s="14">
        <f t="shared" si="33"/>
        <v>0.9031249003236328</v>
      </c>
      <c r="Q7" s="22">
        <f t="shared" si="2"/>
        <v>5.3024617849498643</v>
      </c>
      <c r="R7" s="62">
        <f t="shared" si="0"/>
        <v>181.3885838491268</v>
      </c>
      <c r="S7" s="62">
        <f ca="1">AVERAGE(OFFSET($R$3,0,0,'Données projet'!$E$9+1,1))-AVERAGE(OFFSET($H$3,0,0,'Données projet'!$E$9+1,1))</f>
        <v>516.30971934066179</v>
      </c>
      <c r="T7" s="62">
        <f t="shared" si="34"/>
        <v>290.84286505723571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2.2731261974102144</v>
      </c>
      <c r="AK7" s="14">
        <f t="shared" si="35"/>
        <v>0.95206068424520052</v>
      </c>
      <c r="AL7" s="22">
        <f t="shared" si="4"/>
        <v>5.617200485549847</v>
      </c>
      <c r="AM7" s="62">
        <f t="shared" si="5"/>
        <v>181.70332254972681</v>
      </c>
      <c r="AN7" s="62">
        <f ca="1">AVERAGE(OFFSET($AM$3,0,0,'Données projet'!$E$10+1,1))-AVERAGE(OFFSET($H$3,0,0,'Données projet'!$E$10+1,1))</f>
        <v>542.90832990875208</v>
      </c>
      <c r="AO7" s="62">
        <f t="shared" si="36"/>
        <v>304.94365539329362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2.042519191875845</v>
      </c>
      <c r="BF7" s="14">
        <f t="shared" si="37"/>
        <v>0.86619340226463792</v>
      </c>
      <c r="BG7" s="22">
        <f t="shared" si="7"/>
        <v>5.0660077681280073</v>
      </c>
      <c r="BH7" s="62">
        <f t="shared" si="8"/>
        <v>181.15212983230495</v>
      </c>
      <c r="BI7" s="62">
        <f ca="1">AVERAGE(OFFSET($BH$3,0,0,'Données projet'!$E$11+1,1))-AVERAGE(OFFSET($H$3,0,0,'Données projet'!$E$11+1,1))</f>
        <v>496.33873798282525</v>
      </c>
      <c r="BJ7" s="62">
        <f t="shared" si="38"/>
        <v>280.25465074992246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0.59333333333333338</v>
      </c>
      <c r="BY7" s="13">
        <f>IF('Données projet'!$A$114&gt;35,BY6+BX7-CG6,IF(A7&lt;'Données projet'!$A$114,$BV$205^A7,IF(A7='Données projet'!$A$114,'Données projet'!$B$114,BY6+BX7-CG6)))</f>
        <v>1.7913096621034343</v>
      </c>
      <c r="BZ7" s="14">
        <f>BY7*VLOOKUP('Données projet'!$B$12,Paramètres!$A$1:$I$89,3,0)*VLOOKUP('Données projet'!$B$12,Paramètres!$A$1:$I$89,5,0)</f>
        <v>1.5648881208135603</v>
      </c>
      <c r="CA7" s="14">
        <f t="shared" si="39"/>
        <v>0.6845379079853805</v>
      </c>
      <c r="CB7" s="22">
        <f t="shared" si="10"/>
        <v>3.9177503334914885</v>
      </c>
      <c r="CC7" s="62">
        <f t="shared" si="11"/>
        <v>180.00387239766843</v>
      </c>
      <c r="CD7" s="62">
        <f ca="1">AVERAGE(OFFSET($CC$3,0,0,'Données projet'!$E$12+1,1))-AVERAGE(OFFSET($H$3,0,0,'Données projet'!$E$12+1,1))</f>
        <v>298.28891728374822</v>
      </c>
      <c r="CE7" s="62">
        <f t="shared" si="40"/>
        <v>275.07405533331371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4.3703703703703702</v>
      </c>
      <c r="CT7" s="13">
        <f>IF('Données projet'!$A$140&gt;35,CT6+CS7-DB6,IF(A7&lt;'Données projet'!$A$140,$CQ$205^A7,IF(A7='Données projet'!$A$140,'Données projet'!$B$140,CT6+CS7-DB6)))</f>
        <v>2.0274281983848335</v>
      </c>
      <c r="CU7" s="18">
        <f>CT7*VLOOKUP('Données projet'!$B$13,Paramètres!$A$1:$I$89,3,0)*VLOOKUP('Données projet'!$B$13,Paramètres!$A$1:$I$89,5,0)</f>
        <v>1.2124020626341305</v>
      </c>
      <c r="CV7" s="14">
        <f t="shared" si="41"/>
        <v>0.54633907048269681</v>
      </c>
      <c r="CW7" s="22">
        <f t="shared" si="13"/>
        <v>3.0631408068451407</v>
      </c>
      <c r="CX7" s="62">
        <f t="shared" si="14"/>
        <v>179.14926287102207</v>
      </c>
      <c r="CY7" s="62">
        <f ca="1">AVERAGE(OFFSET($CX$3,0,0,'Données projet'!$E$13+1,1))-AVERAGE(OFFSET($H$3,0,0,'Données projet'!$E$13+1,1))</f>
        <v>320.46614113586043</v>
      </c>
      <c r="CZ7" s="62">
        <f t="shared" si="42"/>
        <v>250.7806929924491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1.4</v>
      </c>
      <c r="DO7" s="13">
        <f>IF('Données projet'!$A$166&gt;35,DO6+DN7-DW6,IF(A7&lt;'Données projet'!$A$166,$DL$205^A7,IF(A7='Données projet'!$A$166,'Données projet'!$B$166,DO6+DN7-DW6)))</f>
        <v>1.9472943612303368</v>
      </c>
      <c r="DP7" s="18">
        <f>DO7*VLOOKUP('Données projet'!$B$14,Paramètres!$A$1:$I$89,3,0)*VLOOKUP('Données projet'!$B$14,Paramètres!$A$1:$I$89,5,0)</f>
        <v>0.91133376105579766</v>
      </c>
      <c r="DQ7" s="14">
        <f t="shared" si="43"/>
        <v>0.42454435239289751</v>
      </c>
      <c r="DR7" s="22">
        <f t="shared" si="16"/>
        <v>2.3266543809231437</v>
      </c>
      <c r="DS7" s="62">
        <f t="shared" si="17"/>
        <v>178.41277644510009</v>
      </c>
      <c r="DT7" s="62">
        <f ca="1">AVERAGE(OFFSET($DS$3,0,0,'Données projet'!$E$14+1,1))-AVERAGE(OFFSET($H$3,0,0,'Données projet'!$E$14+1,1))</f>
        <v>429.87867712133851</v>
      </c>
      <c r="DU7" s="62">
        <f t="shared" si="44"/>
        <v>182.81277865988014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2.0940170940170941</v>
      </c>
      <c r="EJ7" s="13">
        <f>IF('Données projet'!$A$192&gt;35,EJ6+EI7-ER6,IF(A7&lt;'Données projet'!$A$192,$EG$205^A7,IF(A7='Données projet'!$A$192,'Données projet'!$B$192,EJ6+EI7-ER6)))</f>
        <v>2.5073736744273876</v>
      </c>
      <c r="EK7" s="18">
        <f>EJ7*VLOOKUP('Données projet'!$B$15,Paramètres!$A$1:$I$89,3,0)*VLOOKUP('Données projet'!$B$15,Paramètres!$A$1:$I$89,5,0)</f>
        <v>1.6819462608058917</v>
      </c>
      <c r="EL7" s="14">
        <f t="shared" si="45"/>
        <v>0.72959130621706658</v>
      </c>
      <c r="EM7" s="22">
        <f t="shared" si="19"/>
        <v>4.2000945958983191</v>
      </c>
      <c r="EN7" s="62">
        <f t="shared" si="20"/>
        <v>180.28621666007527</v>
      </c>
      <c r="EO7" s="62">
        <f ca="1">AVERAGE(OFFSET($EN$3,0,0,'Données projet'!$E$15+1,1))-AVERAGE(OFFSET($H$3,0,0,'Données projet'!$E$15+1,1))</f>
        <v>296.18088377871669</v>
      </c>
      <c r="EP7" s="62">
        <f t="shared" si="46"/>
        <v>252.23833925792056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2.0940170940170941</v>
      </c>
      <c r="FE7" s="13">
        <f>IF('Données projet'!$A$218&gt;35,FE6+FD7-FM6,IF(A7&lt;'Données projet'!$A$218,$FB$205^A7,IF(A7='Données projet'!$A$218,'Données projet'!$B$218,FE6+FD7-FM6)))</f>
        <v>2.5073736744273876</v>
      </c>
      <c r="FF7" s="18">
        <f>FE7*VLOOKUP('Données projet'!$B$16,Paramètres!$A$1:$I$89,3,0)*VLOOKUP('Données projet'!$B$16,Paramètres!$A$1:$I$89,5,0)</f>
        <v>2.1513266126586985</v>
      </c>
      <c r="FG7" s="14">
        <f t="shared" si="47"/>
        <v>0.90684151831638404</v>
      </c>
      <c r="FH7" s="22">
        <f t="shared" si="22"/>
        <v>5.3263094947816017</v>
      </c>
      <c r="FI7" s="62">
        <f t="shared" si="23"/>
        <v>181.41243155895856</v>
      </c>
      <c r="FJ7" s="62">
        <f ca="1">AVERAGE(OFFSET($FI$3,0,0,'Données projet'!$E$16+1,1))-AVERAGE(OFFSET($H$3,0,0,'Données projet'!$E$16+1,1))</f>
        <v>359.20464555327072</v>
      </c>
      <c r="FK7" s="62">
        <f t="shared" si="48"/>
        <v>305.54154052071863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2.1</v>
      </c>
      <c r="N8" s="14">
        <f>IF('Données projet'!$A$36&gt;35,N7+M8-V7,IF(A8&lt;'Données projet'!$A$36,$K$205^A8,IF(A8='Données projet'!$A$36,'Données projet'!$B$36,N7+M8-V7)))</f>
        <v>2.5457298950218314</v>
      </c>
      <c r="O8" s="14">
        <f>N8*VLOOKUP('Données projet'!$B$9,Paramètres!$A$1:$I$89,3,0)*VLOOKUP('Données projet'!$B$9,Paramètres!$A$1:$I$89,5,0)</f>
        <v>2.5813701135521372</v>
      </c>
      <c r="P8" s="14">
        <f t="shared" si="33"/>
        <v>1.0652780295337991</v>
      </c>
      <c r="Q8" s="22">
        <f t="shared" si="2"/>
        <v>6.3512455158746723</v>
      </c>
      <c r="R8" s="62">
        <f t="shared" si="0"/>
        <v>185.14229339232202</v>
      </c>
      <c r="S8" s="62">
        <f ca="1">AVERAGE(OFFSET($R$3,0,0,'Données projet'!$E$9+1,1))-AVERAGE(OFFSET($H$3,0,0,'Données projet'!$E$9+1,1))</f>
        <v>516.30971934066179</v>
      </c>
      <c r="T8" s="62">
        <f t="shared" si="34"/>
        <v>290.84286505723571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2.740223659001499</v>
      </c>
      <c r="AK8" s="14">
        <f t="shared" si="35"/>
        <v>1.1230000737947632</v>
      </c>
      <c r="AL8" s="22">
        <f t="shared" si="4"/>
        <v>6.7284480012868242</v>
      </c>
      <c r="AM8" s="62">
        <f t="shared" si="5"/>
        <v>185.51949587773419</v>
      </c>
      <c r="AN8" s="62">
        <f ca="1">AVERAGE(OFFSET($AM$3,0,0,'Données projet'!$E$10+1,1))-AVERAGE(OFFSET($H$3,0,0,'Données projet'!$E$10+1,1))</f>
        <v>542.90832990875208</v>
      </c>
      <c r="AO8" s="62">
        <f t="shared" si="36"/>
        <v>304.94365539329362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2.4622299544651152</v>
      </c>
      <c r="BF8" s="14">
        <f t="shared" si="37"/>
        <v>1.021715601495419</v>
      </c>
      <c r="BG8" s="22">
        <f t="shared" si="7"/>
        <v>6.0678718432979295</v>
      </c>
      <c r="BH8" s="62">
        <f t="shared" si="8"/>
        <v>184.85891971974527</v>
      </c>
      <c r="BI8" s="62">
        <f ca="1">AVERAGE(OFFSET($BH$3,0,0,'Données projet'!$E$11+1,1))-AVERAGE(OFFSET($H$3,0,0,'Données projet'!$E$11+1,1))</f>
        <v>496.33873798282525</v>
      </c>
      <c r="BJ8" s="62">
        <f t="shared" si="38"/>
        <v>280.25465074992246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0.59333333333333338</v>
      </c>
      <c r="BY8" s="13">
        <f>IF('Données projet'!$A$114&gt;35,BY7+BX8-CG7,IF(A8&lt;'Données projet'!$A$114,$BV$205^A8,IF(A8='Données projet'!$A$114,'Données projet'!$B$114,BY7+BX8-CG7)))</f>
        <v>2.0723510980592605</v>
      </c>
      <c r="BZ8" s="14">
        <f>BY8*VLOOKUP('Données projet'!$B$12,Paramètres!$A$1:$I$89,3,0)*VLOOKUP('Données projet'!$B$12,Paramètres!$A$1:$I$89,5,0)</f>
        <v>1.8104059192645703</v>
      </c>
      <c r="CA8" s="14">
        <f t="shared" si="39"/>
        <v>0.77861524703874885</v>
      </c>
      <c r="CB8" s="22">
        <f t="shared" si="10"/>
        <v>4.5092118646449473</v>
      </c>
      <c r="CC8" s="62">
        <f t="shared" si="11"/>
        <v>183.3002597410923</v>
      </c>
      <c r="CD8" s="62">
        <f ca="1">AVERAGE(OFFSET($CC$3,0,0,'Données projet'!$E$12+1,1))-AVERAGE(OFFSET($H$3,0,0,'Données projet'!$E$12+1,1))</f>
        <v>298.28891728374822</v>
      </c>
      <c r="CE8" s="62">
        <f t="shared" si="40"/>
        <v>275.07405533331371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4.3703703703703702</v>
      </c>
      <c r="CT8" s="13">
        <f>IF('Données projet'!$A$140&gt;35,CT7+CS8-DB7,IF(A8&lt;'Données projet'!$A$140,$CQ$205^A8,IF(A8='Données projet'!$A$140,'Données projet'!$B$140,CT7+CS8-DB7)))</f>
        <v>2.4192561469903198</v>
      </c>
      <c r="CU8" s="18">
        <f>CT8*VLOOKUP('Données projet'!$B$13,Paramètres!$A$1:$I$89,3,0)*VLOOKUP('Données projet'!$B$13,Paramètres!$A$1:$I$89,5,0)</f>
        <v>1.4467151759002115</v>
      </c>
      <c r="CV8" s="14">
        <f t="shared" si="41"/>
        <v>0.63865529401953391</v>
      </c>
      <c r="CW8" s="22">
        <f t="shared" si="13"/>
        <v>3.6320202351102231</v>
      </c>
      <c r="CX8" s="62">
        <f t="shared" si="14"/>
        <v>182.42306811155757</v>
      </c>
      <c r="CY8" s="62">
        <f ca="1">AVERAGE(OFFSET($CX$3,0,0,'Données projet'!$E$13+1,1))-AVERAGE(OFFSET($H$3,0,0,'Données projet'!$E$13+1,1))</f>
        <v>320.46614113586043</v>
      </c>
      <c r="CZ8" s="62">
        <f t="shared" si="42"/>
        <v>250.7806929924491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1.4</v>
      </c>
      <c r="DO8" s="13">
        <f>IF('Données projet'!$A$166&gt;35,DO7+DN8-DW7,IF(A8&lt;'Données projet'!$A$166,$DL$205^A8,IF(A8='Données projet'!$A$166,'Données projet'!$B$166,DO7+DN8-DW7)))</f>
        <v>2.3003266337912067</v>
      </c>
      <c r="DP8" s="18">
        <f>DO8*VLOOKUP('Données projet'!$B$14,Paramètres!$A$1:$I$89,3,0)*VLOOKUP('Données projet'!$B$14,Paramètres!$A$1:$I$89,5,0)</f>
        <v>1.0765528646142848</v>
      </c>
      <c r="DQ8" s="14">
        <f t="shared" si="43"/>
        <v>0.49187925860941634</v>
      </c>
      <c r="DR8" s="22">
        <f t="shared" si="16"/>
        <v>2.7316859479479461</v>
      </c>
      <c r="DS8" s="62">
        <f t="shared" si="17"/>
        <v>181.52273382439529</v>
      </c>
      <c r="DT8" s="62">
        <f ca="1">AVERAGE(OFFSET($DS$3,0,0,'Données projet'!$E$14+1,1))-AVERAGE(OFFSET($H$3,0,0,'Données projet'!$E$14+1,1))</f>
        <v>429.87867712133851</v>
      </c>
      <c r="DU8" s="62">
        <f t="shared" si="44"/>
        <v>182.81277865988014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2.0940170940170941</v>
      </c>
      <c r="EJ8" s="13">
        <f>IF('Données projet'!$A$192&gt;35,EJ7+EI8-ER7,IF(A8&lt;'Données projet'!$A$192,$EG$205^A8,IF(A8='Données projet'!$A$192,'Données projet'!$B$192,EJ7+EI8-ER7)))</f>
        <v>3.1551777249667929</v>
      </c>
      <c r="EK8" s="18">
        <f>EJ8*VLOOKUP('Données projet'!$B$15,Paramètres!$A$1:$I$89,3,0)*VLOOKUP('Données projet'!$B$15,Paramètres!$A$1:$I$89,5,0)</f>
        <v>2.1164932179077245</v>
      </c>
      <c r="EL8" s="14">
        <f t="shared" si="45"/>
        <v>0.8938551383919876</v>
      </c>
      <c r="EM8" s="22">
        <f t="shared" si="19"/>
        <v>5.2430233872219976</v>
      </c>
      <c r="EN8" s="62">
        <f t="shared" si="20"/>
        <v>184.03407126366935</v>
      </c>
      <c r="EO8" s="62">
        <f ca="1">AVERAGE(OFFSET($EN$3,0,0,'Données projet'!$E$15+1,1))-AVERAGE(OFFSET($H$3,0,0,'Données projet'!$E$15+1,1))</f>
        <v>296.18088377871669</v>
      </c>
      <c r="EP8" s="62">
        <f t="shared" si="46"/>
        <v>252.23833925792056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2.0940170940170941</v>
      </c>
      <c r="FE8" s="13">
        <f>IF('Données projet'!$A$218&gt;35,FE7+FD8-FM7,IF(A8&lt;'Données projet'!$A$218,$FB$205^A8,IF(A8='Données projet'!$A$218,'Données projet'!$B$218,FE7+FD8-FM7)))</f>
        <v>3.1551777249667929</v>
      </c>
      <c r="FF8" s="18">
        <f>FE8*VLOOKUP('Données projet'!$B$16,Paramètres!$A$1:$I$89,3,0)*VLOOKUP('Données projet'!$B$16,Paramètres!$A$1:$I$89,5,0)</f>
        <v>2.7071424880215087</v>
      </c>
      <c r="FG8" s="14">
        <f t="shared" si="47"/>
        <v>1.111012348895956</v>
      </c>
      <c r="FH8" s="22">
        <f t="shared" si="22"/>
        <v>6.6499530076312512</v>
      </c>
      <c r="FI8" s="62">
        <f t="shared" si="23"/>
        <v>185.44100088407859</v>
      </c>
      <c r="FJ8" s="62">
        <f ca="1">AVERAGE(OFFSET($FI$3,0,0,'Données projet'!$E$16+1,1))-AVERAGE(OFFSET($H$3,0,0,'Données projet'!$E$16+1,1))</f>
        <v>359.20464555327072</v>
      </c>
      <c r="FK8" s="62">
        <f t="shared" si="48"/>
        <v>305.54154052071863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2.1</v>
      </c>
      <c r="N9" s="14">
        <f>IF('Données projet'!$A$36&gt;35,N8+M9-V8,IF(A9&lt;'Données projet'!$A$36,$K$205^A9,IF(A9='Données projet'!$A$36,'Données projet'!$B$36,N8+M9-V8)))</f>
        <v>3.0688438220956993</v>
      </c>
      <c r="O9" s="14">
        <f>N9*VLOOKUP('Données projet'!$B$9,Paramètres!$A$1:$I$89,3,0)*VLOOKUP('Données projet'!$B$9,Paramètres!$A$1:$I$89,5,0)</f>
        <v>3.111807635605039</v>
      </c>
      <c r="P9" s="14">
        <f t="shared" si="33"/>
        <v>1.2565452240335246</v>
      </c>
      <c r="Q9" s="22">
        <f t="shared" si="2"/>
        <v>7.6082145638704972</v>
      </c>
      <c r="R9" s="62">
        <f t="shared" si="0"/>
        <v>189.07846666012946</v>
      </c>
      <c r="S9" s="62">
        <f ca="1">AVERAGE(OFFSET($R$3,0,0,'Données projet'!$E$9+1,1))-AVERAGE(OFFSET($H$3,0,0,'Données projet'!$E$9+1,1))</f>
        <v>516.30971934066179</v>
      </c>
      <c r="T9" s="62">
        <f t="shared" si="34"/>
        <v>290.84286505723571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3.3033034901038101</v>
      </c>
      <c r="AK9" s="14">
        <f t="shared" si="35"/>
        <v>1.3246310730107231</v>
      </c>
      <c r="AL9" s="22">
        <f t="shared" si="4"/>
        <v>8.0603193640911446</v>
      </c>
      <c r="AM9" s="62">
        <f t="shared" si="5"/>
        <v>189.53057146035013</v>
      </c>
      <c r="AN9" s="62">
        <f ca="1">AVERAGE(OFFSET($AM$3,0,0,'Données projet'!$E$10+1,1))-AVERAGE(OFFSET($H$3,0,0,'Données projet'!$E$10+1,1))</f>
        <v>542.90832990875208</v>
      </c>
      <c r="AO9" s="62">
        <f t="shared" si="36"/>
        <v>304.94365539329362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2.9681857447309605</v>
      </c>
      <c r="BF9" s="14">
        <f t="shared" si="37"/>
        <v>1.2051613041728233</v>
      </c>
      <c r="BG9" s="22">
        <f t="shared" si="7"/>
        <v>7.2685794435074236</v>
      </c>
      <c r="BH9" s="62">
        <f t="shared" si="8"/>
        <v>188.73883153976641</v>
      </c>
      <c r="BI9" s="62">
        <f ca="1">AVERAGE(OFFSET($BH$3,0,0,'Données projet'!$E$11+1,1))-AVERAGE(OFFSET($H$3,0,0,'Données projet'!$E$11+1,1))</f>
        <v>496.33873798282525</v>
      </c>
      <c r="BJ9" s="62">
        <f t="shared" si="38"/>
        <v>280.25465074992246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0.59333333333333338</v>
      </c>
      <c r="BY9" s="13">
        <f>IF('Données projet'!$A$114&gt;35,BY8+BX9-CG8,IF(A9&lt;'Données projet'!$A$114,$BV$205^A9,IF(A9='Données projet'!$A$114,'Données projet'!$B$114,BY8+BX9-CG8)))</f>
        <v>2.3974855740935763</v>
      </c>
      <c r="BZ9" s="14">
        <f>BY9*VLOOKUP('Données projet'!$B$12,Paramètres!$A$1:$I$89,3,0)*VLOOKUP('Données projet'!$B$12,Paramètres!$A$1:$I$89,5,0)</f>
        <v>2.0944433975281487</v>
      </c>
      <c r="CA9" s="14">
        <f t="shared" si="39"/>
        <v>0.88562181268441775</v>
      </c>
      <c r="CB9" s="22">
        <f t="shared" si="10"/>
        <v>5.1902802411202194</v>
      </c>
      <c r="CC9" s="62">
        <f t="shared" si="11"/>
        <v>186.66053233737918</v>
      </c>
      <c r="CD9" s="62">
        <f ca="1">AVERAGE(OFFSET($CC$3,0,0,'Données projet'!$E$12+1,1))-AVERAGE(OFFSET($H$3,0,0,'Données projet'!$E$12+1,1))</f>
        <v>298.28891728374822</v>
      </c>
      <c r="CE9" s="62">
        <f t="shared" si="40"/>
        <v>275.07405533331371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4.3703703703703702</v>
      </c>
      <c r="CT9" s="13">
        <f>IF('Données projet'!$A$140&gt;35,CT8+CS9-DB8,IF(A9&lt;'Données projet'!$A$140,$CQ$205^A9,IF(A9='Données projet'!$A$140,'Données projet'!$B$140,CT8+CS9-DB8)))</f>
        <v>2.8868101516064182</v>
      </c>
      <c r="CU9" s="18">
        <f>CT9*VLOOKUP('Données projet'!$B$13,Paramètres!$A$1:$I$89,3,0)*VLOOKUP('Données projet'!$B$13,Paramètres!$A$1:$I$89,5,0)</f>
        <v>1.7263124706606381</v>
      </c>
      <c r="CV9" s="14">
        <f t="shared" si="41"/>
        <v>0.7465704113359678</v>
      </c>
      <c r="CW9" s="22">
        <f t="shared" si="13"/>
        <v>4.3069376861440878</v>
      </c>
      <c r="CX9" s="62">
        <f t="shared" si="14"/>
        <v>185.77718978240307</v>
      </c>
      <c r="CY9" s="62">
        <f ca="1">AVERAGE(OFFSET($CX$3,0,0,'Données projet'!$E$13+1,1))-AVERAGE(OFFSET($H$3,0,0,'Données projet'!$E$13+1,1))</f>
        <v>320.46614113586043</v>
      </c>
      <c r="CZ9" s="62">
        <f t="shared" si="42"/>
        <v>250.7806929924491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1.4</v>
      </c>
      <c r="DO9" s="13">
        <f>IF('Données projet'!$A$166&gt;35,DO8+DN9-DW8,IF(A9&lt;'Données projet'!$A$166,$DL$205^A9,IF(A9='Données projet'!$A$166,'Données projet'!$B$166,DO8+DN9-DW8)))</f>
        <v>2.7173614464666325</v>
      </c>
      <c r="DP9" s="18">
        <f>DO9*VLOOKUP('Données projet'!$B$14,Paramètres!$A$1:$I$89,3,0)*VLOOKUP('Données projet'!$B$14,Paramètres!$A$1:$I$89,5,0)</f>
        <v>1.2717251569463841</v>
      </c>
      <c r="DQ9" s="14">
        <f t="shared" si="43"/>
        <v>0.56989382543060962</v>
      </c>
      <c r="DR9" s="22">
        <f t="shared" si="16"/>
        <v>3.2074863943065974</v>
      </c>
      <c r="DS9" s="62">
        <f t="shared" si="17"/>
        <v>184.67773849056556</v>
      </c>
      <c r="DT9" s="62">
        <f ca="1">AVERAGE(OFFSET($DS$3,0,0,'Données projet'!$E$14+1,1))-AVERAGE(OFFSET($H$3,0,0,'Données projet'!$E$14+1,1))</f>
        <v>429.87867712133851</v>
      </c>
      <c r="DU9" s="62">
        <f t="shared" si="44"/>
        <v>182.81277865988014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2.0940170940170941</v>
      </c>
      <c r="EJ9" s="13">
        <f>IF('Données projet'!$A$192&gt;35,EJ8+EI9-ER8,IF(A9&lt;'Données projet'!$A$192,$EG$205^A9,IF(A9='Données projet'!$A$192,'Données projet'!$B$192,EJ8+EI9-ER8)))</f>
        <v>3.9703481685473538</v>
      </c>
      <c r="EK9" s="18">
        <f>EJ9*VLOOKUP('Données projet'!$B$15,Paramètres!$A$1:$I$89,3,0)*VLOOKUP('Données projet'!$B$15,Paramètres!$A$1:$I$89,5,0)</f>
        <v>2.6633095514615648</v>
      </c>
      <c r="EL9" s="14">
        <f t="shared" si="45"/>
        <v>1.0951021505073271</v>
      </c>
      <c r="EM9" s="22">
        <f t="shared" si="19"/>
        <v>6.5459003809291518</v>
      </c>
      <c r="EN9" s="62">
        <f t="shared" si="20"/>
        <v>188.01615247718811</v>
      </c>
      <c r="EO9" s="62">
        <f ca="1">AVERAGE(OFFSET($EN$3,0,0,'Données projet'!$E$15+1,1))-AVERAGE(OFFSET($H$3,0,0,'Données projet'!$E$15+1,1))</f>
        <v>296.18088377871669</v>
      </c>
      <c r="EP9" s="62">
        <f t="shared" si="46"/>
        <v>252.23833925792056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2.0940170940170941</v>
      </c>
      <c r="FE9" s="13">
        <f>IF('Données projet'!$A$218&gt;35,FE8+FD9-FM8,IF(A9&lt;'Données projet'!$A$218,$FB$205^A9,IF(A9='Données projet'!$A$218,'Données projet'!$B$218,FE8+FD9-FM8)))</f>
        <v>3.9703481685473538</v>
      </c>
      <c r="FF9" s="18">
        <f>FE9*VLOOKUP('Données projet'!$B$16,Paramètres!$A$1:$I$89,3,0)*VLOOKUP('Données projet'!$B$16,Paramètres!$A$1:$I$89,5,0)</f>
        <v>3.4065587286136303</v>
      </c>
      <c r="FG9" s="14">
        <f t="shared" si="47"/>
        <v>1.3611512204370231</v>
      </c>
      <c r="FH9" s="22">
        <f t="shared" si="22"/>
        <v>8.3037614945965554</v>
      </c>
      <c r="FI9" s="62">
        <f t="shared" si="23"/>
        <v>189.77401359085553</v>
      </c>
      <c r="FJ9" s="62">
        <f ca="1">AVERAGE(OFFSET($FI$3,0,0,'Données projet'!$E$16+1,1))-AVERAGE(OFFSET($H$3,0,0,'Données projet'!$E$16+1,1))</f>
        <v>359.20464555327072</v>
      </c>
      <c r="FK9" s="62">
        <f t="shared" si="48"/>
        <v>305.54154052071863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2.1</v>
      </c>
      <c r="N10" s="14">
        <f>IF('Données projet'!$A$36&gt;35,N9+M10-V9,IF(A10&lt;'Données projet'!$A$36,$K$205^A10,IF(A10='Données projet'!$A$36,'Données projet'!$B$36,N9+M10-V9)))</f>
        <v>3.6994507637402658</v>
      </c>
      <c r="O10" s="14">
        <f>N10*VLOOKUP('Données projet'!$B$9,Paramètres!$A$1:$I$89,3,0)*VLOOKUP('Données projet'!$B$9,Paramètres!$A$1:$I$89,5,0)</f>
        <v>3.7512430744326299</v>
      </c>
      <c r="P10" s="14">
        <f t="shared" si="33"/>
        <v>1.4821538192545303</v>
      </c>
      <c r="Q10" s="22">
        <f t="shared" si="2"/>
        <v>9.1148329231718037</v>
      </c>
      <c r="R10" s="62">
        <f t="shared" si="0"/>
        <v>193.23901385890804</v>
      </c>
      <c r="S10" s="62">
        <f ca="1">AVERAGE(OFFSET($R$3,0,0,'Données projet'!$E$9+1,1))-AVERAGE(OFFSET($H$3,0,0,'Données projet'!$E$9+1,1))</f>
        <v>516.30971934066179</v>
      </c>
      <c r="T10" s="62">
        <f t="shared" si="34"/>
        <v>290.84286505723571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3.982088802090022</v>
      </c>
      <c r="AK10" s="14">
        <f t="shared" si="35"/>
        <v>1.5624642602705792</v>
      </c>
      <c r="AL10" s="22">
        <f t="shared" si="4"/>
        <v>9.6567632502780452</v>
      </c>
      <c r="AM10" s="62">
        <f t="shared" si="5"/>
        <v>193.78094418601427</v>
      </c>
      <c r="AN10" s="62">
        <f ca="1">AVERAGE(OFFSET($AM$3,0,0,'Données projet'!$E$10+1,1))-AVERAGE(OFFSET($H$3,0,0,'Données projet'!$E$10+1,1))</f>
        <v>542.90832990875208</v>
      </c>
      <c r="AO10" s="62">
        <f t="shared" si="36"/>
        <v>304.94365539329362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3.5781087786895851</v>
      </c>
      <c r="BF10" s="14">
        <f t="shared" si="37"/>
        <v>1.4215440842341414</v>
      </c>
      <c r="BG10" s="22">
        <f t="shared" si="7"/>
        <v>8.707728736258824</v>
      </c>
      <c r="BH10" s="62">
        <f t="shared" si="8"/>
        <v>192.83190967199505</v>
      </c>
      <c r="BI10" s="62">
        <f ca="1">AVERAGE(OFFSET($BH$3,0,0,'Données projet'!$E$11+1,1))-AVERAGE(OFFSET($H$3,0,0,'Données projet'!$E$11+1,1))</f>
        <v>496.33873798282525</v>
      </c>
      <c r="BJ10" s="62">
        <f t="shared" si="38"/>
        <v>280.25465074992246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0.59333333333333338</v>
      </c>
      <c r="BY10" s="13">
        <f>IF('Données projet'!$A$114&gt;35,BY9+BX10-CG9,IF(A10&lt;'Données projet'!$A$114,$BV$205^A10,IF(A10='Données projet'!$A$114,'Données projet'!$B$114,BY9+BX10-CG9)))</f>
        <v>2.7736309177386498</v>
      </c>
      <c r="BZ10" s="14">
        <f>BY10*VLOOKUP('Données projet'!$B$12,Paramètres!$A$1:$I$89,3,0)*VLOOKUP('Données projet'!$B$12,Paramètres!$A$1:$I$89,5,0)</f>
        <v>2.4230439697364847</v>
      </c>
      <c r="CA10" s="14">
        <f t="shared" si="39"/>
        <v>1.0073344929802033</v>
      </c>
      <c r="CB10" s="22">
        <f t="shared" si="10"/>
        <v>5.9745758225648977</v>
      </c>
      <c r="CC10" s="62">
        <f t="shared" si="11"/>
        <v>190.09875675830114</v>
      </c>
      <c r="CD10" s="62">
        <f ca="1">AVERAGE(OFFSET($CC$3,0,0,'Données projet'!$E$12+1,1))-AVERAGE(OFFSET($H$3,0,0,'Données projet'!$E$12+1,1))</f>
        <v>298.28891728374822</v>
      </c>
      <c r="CE10" s="62">
        <f t="shared" si="40"/>
        <v>275.07405533331371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4.3703703703703702</v>
      </c>
      <c r="CT10" s="13">
        <f>IF('Données projet'!$A$140&gt;35,CT9+CS10-DB9,IF(A10&lt;'Données projet'!$A$140,$CQ$205^A10,IF(A10='Données projet'!$A$140,'Données projet'!$B$140,CT9+CS10-DB9)))</f>
        <v>3.4447252978091596</v>
      </c>
      <c r="CU10" s="18">
        <f>CT10*VLOOKUP('Données projet'!$B$13,Paramètres!$A$1:$I$89,3,0)*VLOOKUP('Données projet'!$B$13,Paramètres!$A$1:$I$89,5,0)</f>
        <v>2.0599457280898776</v>
      </c>
      <c r="CV10" s="14">
        <f t="shared" si="41"/>
        <v>0.87272020493939328</v>
      </c>
      <c r="CW10" s="22">
        <f t="shared" si="13"/>
        <v>5.1077265000259793</v>
      </c>
      <c r="CX10" s="62">
        <f t="shared" si="14"/>
        <v>189.23190743576222</v>
      </c>
      <c r="CY10" s="62">
        <f ca="1">AVERAGE(OFFSET($CX$3,0,0,'Données projet'!$E$13+1,1))-AVERAGE(OFFSET($H$3,0,0,'Données projet'!$E$13+1,1))</f>
        <v>320.46614113586043</v>
      </c>
      <c r="CZ10" s="62">
        <f t="shared" si="42"/>
        <v>250.7806929924491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1.4</v>
      </c>
      <c r="DO10" s="13">
        <f>IF('Données projet'!$A$166&gt;35,DO9+DN10-DW9,IF(A10&lt;'Données projet'!$A$166,$DL$205^A10,IF(A10='Données projet'!$A$166,'Données projet'!$B$166,DO9+DN10-DW9)))</f>
        <v>3.2100020589569258</v>
      </c>
      <c r="DP10" s="18">
        <f>DO10*VLOOKUP('Données projet'!$B$14,Paramètres!$A$1:$I$89,3,0)*VLOOKUP('Données projet'!$B$14,Paramètres!$A$1:$I$89,5,0)</f>
        <v>1.5022809635918413</v>
      </c>
      <c r="DQ10" s="14">
        <f t="shared" si="43"/>
        <v>0.66028190166446799</v>
      </c>
      <c r="DR10" s="22">
        <f t="shared" si="16"/>
        <v>3.7664636569880714</v>
      </c>
      <c r="DS10" s="62">
        <f t="shared" si="17"/>
        <v>187.8906445927243</v>
      </c>
      <c r="DT10" s="62">
        <f ca="1">AVERAGE(OFFSET($DS$3,0,0,'Données projet'!$E$14+1,1))-AVERAGE(OFFSET($H$3,0,0,'Données projet'!$E$14+1,1))</f>
        <v>429.87867712133851</v>
      </c>
      <c r="DU10" s="62">
        <f t="shared" si="44"/>
        <v>182.81277865988014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2.0940170940170941</v>
      </c>
      <c r="EJ10" s="13">
        <f>IF('Données projet'!$A$192&gt;35,EJ9+EI10-ER9,IF(A10&lt;'Données projet'!$A$192,$EG$205^A10,IF(A10='Données projet'!$A$192,'Données projet'!$B$192,EJ9+EI10-ER9)))</f>
        <v>4.9961257189254642</v>
      </c>
      <c r="EK10" s="18">
        <f>EJ10*VLOOKUP('Données projet'!$B$15,Paramètres!$A$1:$I$89,3,0)*VLOOKUP('Données projet'!$B$15,Paramètres!$A$1:$I$89,5,0)</f>
        <v>3.3514011322552011</v>
      </c>
      <c r="EL10" s="14">
        <f t="shared" si="45"/>
        <v>1.3416589204859044</v>
      </c>
      <c r="EM10" s="22">
        <f t="shared" si="19"/>
        <v>8.1737462585240923</v>
      </c>
      <c r="EN10" s="62">
        <f t="shared" si="20"/>
        <v>192.29792719426032</v>
      </c>
      <c r="EO10" s="62">
        <f ca="1">AVERAGE(OFFSET($EN$3,0,0,'Données projet'!$E$15+1,1))-AVERAGE(OFFSET($H$3,0,0,'Données projet'!$E$15+1,1))</f>
        <v>296.18088377871669</v>
      </c>
      <c r="EP10" s="62">
        <f t="shared" si="46"/>
        <v>252.23833925792056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2.0940170940170941</v>
      </c>
      <c r="FE10" s="13">
        <f>IF('Données projet'!$A$218&gt;35,FE9+FD10-FM9,IF(A10&lt;'Données projet'!$A$218,$FB$205^A10,IF(A10='Données projet'!$A$218,'Données projet'!$B$218,FE9+FD10-FM9)))</f>
        <v>4.9961257189254642</v>
      </c>
      <c r="FF10" s="18">
        <f>FE10*VLOOKUP('Données projet'!$B$16,Paramètres!$A$1:$I$89,3,0)*VLOOKUP('Données projet'!$B$16,Paramètres!$A$1:$I$89,5,0)</f>
        <v>4.2866758668380482</v>
      </c>
      <c r="FG10" s="14">
        <f t="shared" si="47"/>
        <v>1.6676076073666599</v>
      </c>
      <c r="FH10" s="22">
        <f t="shared" si="22"/>
        <v>10.370377050906532</v>
      </c>
      <c r="FI10" s="62">
        <f t="shared" si="23"/>
        <v>194.49455798664277</v>
      </c>
      <c r="FJ10" s="62">
        <f ca="1">AVERAGE(OFFSET($FI$3,0,0,'Données projet'!$E$16+1,1))-AVERAGE(OFFSET($H$3,0,0,'Données projet'!$E$16+1,1))</f>
        <v>359.20464555327072</v>
      </c>
      <c r="FK10" s="62">
        <f t="shared" si="48"/>
        <v>305.54154052071863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2.1</v>
      </c>
      <c r="N11" s="14">
        <f>IF('Données projet'!$A$36&gt;35,N10+M11-V10,IF(A11&lt;'Données projet'!$A$36,$K$205^A11,IF(A11='Données projet'!$A$36,'Données projet'!$B$36,N10+M11-V10)))</f>
        <v>4.4596391171162209</v>
      </c>
      <c r="O11" s="14">
        <f>N11*VLOOKUP('Données projet'!$B$9,Paramètres!$A$1:$I$89,3,0)*VLOOKUP('Données projet'!$B$9,Paramètres!$A$1:$I$89,5,0)</f>
        <v>4.5220740647558486</v>
      </c>
      <c r="P11" s="14">
        <f t="shared" si="33"/>
        <v>1.7482697016499746</v>
      </c>
      <c r="Q11" s="22">
        <f t="shared" si="2"/>
        <v>10.92084872649014</v>
      </c>
      <c r="R11" s="62">
        <f t="shared" si="0"/>
        <v>197.67412159271069</v>
      </c>
      <c r="S11" s="62">
        <f ca="1">AVERAGE(OFFSET($R$3,0,0,'Données projet'!$E$9+1,1))-AVERAGE(OFFSET($H$3,0,0,'Données projet'!$E$9+1,1))</f>
        <v>516.30971934066179</v>
      </c>
      <c r="T11" s="62">
        <f t="shared" si="34"/>
        <v>290.84286505723571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4.8003555456638995</v>
      </c>
      <c r="AK11" s="14">
        <f t="shared" si="35"/>
        <v>1.8429996203200378</v>
      </c>
      <c r="AL11" s="22">
        <f t="shared" si="4"/>
        <v>11.570510247422023</v>
      </c>
      <c r="AM11" s="62">
        <f t="shared" si="5"/>
        <v>198.32378311364258</v>
      </c>
      <c r="AN11" s="62">
        <f ca="1">AVERAGE(OFFSET($AM$3,0,0,'Données projet'!$E$10+1,1))-AVERAGE(OFFSET($H$3,0,0,'Données projet'!$E$10+1,1))</f>
        <v>542.90832990875208</v>
      </c>
      <c r="AO11" s="62">
        <f t="shared" si="36"/>
        <v>304.94365539329362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4.3133629540748091</v>
      </c>
      <c r="BF11" s="14">
        <f t="shared" si="37"/>
        <v>1.6767776864592203</v>
      </c>
      <c r="BG11" s="22">
        <f t="shared" si="7"/>
        <v>10.432828282263435</v>
      </c>
      <c r="BH11" s="62">
        <f t="shared" si="8"/>
        <v>197.186101148484</v>
      </c>
      <c r="BI11" s="62">
        <f ca="1">AVERAGE(OFFSET($BH$3,0,0,'Données projet'!$E$11+1,1))-AVERAGE(OFFSET($H$3,0,0,'Données projet'!$E$11+1,1))</f>
        <v>496.33873798282525</v>
      </c>
      <c r="BJ11" s="62">
        <f t="shared" si="38"/>
        <v>280.25465074992246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0.59333333333333338</v>
      </c>
      <c r="BY11" s="13">
        <f>IF('Données projet'!$A$114&gt;35,BY10+BX11-CG10,IF(A11&lt;'Données projet'!$A$114,$BV$205^A11,IF(A11='Données projet'!$A$114,'Données projet'!$B$114,BY10+BX11-CG10)))</f>
        <v>3.2087903055451199</v>
      </c>
      <c r="BZ11" s="14">
        <f>BY11*VLOOKUP('Données projet'!$B$12,Paramètres!$A$1:$I$89,3,0)*VLOOKUP('Données projet'!$B$12,Paramètres!$A$1:$I$89,5,0)</f>
        <v>2.803199210924217</v>
      </c>
      <c r="CA11" s="14">
        <f t="shared" si="39"/>
        <v>1.1457743770695372</v>
      </c>
      <c r="CB11" s="22">
        <f t="shared" si="10"/>
        <v>6.8777956657557882</v>
      </c>
      <c r="CC11" s="62">
        <f t="shared" si="11"/>
        <v>193.63106853197635</v>
      </c>
      <c r="CD11" s="62">
        <f ca="1">AVERAGE(OFFSET($CC$3,0,0,'Données projet'!$E$12+1,1))-AVERAGE(OFFSET($H$3,0,0,'Données projet'!$E$12+1,1))</f>
        <v>298.28891728374822</v>
      </c>
      <c r="CE11" s="62">
        <f t="shared" si="40"/>
        <v>275.07405533331371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4.3703703703703702</v>
      </c>
      <c r="CT11" s="13">
        <f>IF('Données projet'!$A$140&gt;35,CT10+CS11-DB10,IF(A11&lt;'Données projet'!$A$140,$CQ$205^A11,IF(A11='Données projet'!$A$140,'Données projet'!$B$140,CT10+CS11-DB10)))</f>
        <v>4.110465099605972</v>
      </c>
      <c r="CU11" s="18">
        <f>CT11*VLOOKUP('Données projet'!$B$13,Paramètres!$A$1:$I$89,3,0)*VLOOKUP('Données projet'!$B$13,Paramètres!$A$1:$I$89,5,0)</f>
        <v>2.4580581295643715</v>
      </c>
      <c r="CV11" s="14">
        <f t="shared" si="41"/>
        <v>1.0201858318313493</v>
      </c>
      <c r="CW11" s="22">
        <f t="shared" si="13"/>
        <v>6.0579415660975471</v>
      </c>
      <c r="CX11" s="62">
        <f t="shared" si="14"/>
        <v>192.81121443231811</v>
      </c>
      <c r="CY11" s="62">
        <f ca="1">AVERAGE(OFFSET($CX$3,0,0,'Données projet'!$E$13+1,1))-AVERAGE(OFFSET($H$3,0,0,'Données projet'!$E$13+1,1))</f>
        <v>320.46614113586043</v>
      </c>
      <c r="CZ11" s="62">
        <f t="shared" si="42"/>
        <v>250.7806929924491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1.4</v>
      </c>
      <c r="DO11" s="13">
        <f>IF('Données projet'!$A$166&gt;35,DO10+DN11-DW10,IF(A11&lt;'Données projet'!$A$166,$DL$205^A11,IF(A11='Données projet'!$A$166,'Données projet'!$B$166,DO10+DN11-DW10)))</f>
        <v>3.7919553292794657</v>
      </c>
      <c r="DP11" s="18">
        <f>DO11*VLOOKUP('Données projet'!$B$14,Paramètres!$A$1:$I$89,3,0)*VLOOKUP('Données projet'!$B$14,Paramètres!$A$1:$I$89,5,0)</f>
        <v>1.7746350941027897</v>
      </c>
      <c r="DQ11" s="14">
        <f t="shared" si="43"/>
        <v>0.76500598920549345</v>
      </c>
      <c r="DR11" s="22">
        <f t="shared" si="16"/>
        <v>4.42320822009526</v>
      </c>
      <c r="DS11" s="62">
        <f t="shared" si="17"/>
        <v>191.17648108631582</v>
      </c>
      <c r="DT11" s="62">
        <f ca="1">AVERAGE(OFFSET($DS$3,0,0,'Données projet'!$E$14+1,1))-AVERAGE(OFFSET($H$3,0,0,'Données projet'!$E$14+1,1))</f>
        <v>429.87867712133851</v>
      </c>
      <c r="DU11" s="62">
        <f t="shared" si="44"/>
        <v>182.81277865988014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2.0940170940170941</v>
      </c>
      <c r="EJ11" s="13">
        <f>IF('Données projet'!$A$192&gt;35,EJ10+EI11-ER10,IF(A11&lt;'Données projet'!$A$192,$EG$205^A11,IF(A11='Données projet'!$A$192,'Données projet'!$B$192,EJ10+EI11-ER10)))</f>
        <v>6.2869227432114991</v>
      </c>
      <c r="EK11" s="18">
        <f>EJ11*VLOOKUP('Données projet'!$B$15,Paramètres!$A$1:$I$89,3,0)*VLOOKUP('Données projet'!$B$15,Paramètres!$A$1:$I$89,5,0)</f>
        <v>4.217267776146274</v>
      </c>
      <c r="EL11" s="14">
        <f t="shared" si="45"/>
        <v>1.6437267136088582</v>
      </c>
      <c r="EM11" s="22">
        <f t="shared" si="19"/>
        <v>10.207898736323521</v>
      </c>
      <c r="EN11" s="62">
        <f t="shared" si="20"/>
        <v>196.96117160254408</v>
      </c>
      <c r="EO11" s="62">
        <f ca="1">AVERAGE(OFFSET($EN$3,0,0,'Données projet'!$E$15+1,1))-AVERAGE(OFFSET($H$3,0,0,'Données projet'!$E$15+1,1))</f>
        <v>296.18088377871669</v>
      </c>
      <c r="EP11" s="62">
        <f t="shared" si="46"/>
        <v>252.23833925792056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2.0940170940170941</v>
      </c>
      <c r="FE11" s="13">
        <f>IF('Données projet'!$A$218&gt;35,FE10+FD11-FM10,IF(A11&lt;'Données projet'!$A$218,$FB$205^A11,IF(A11='Données projet'!$A$218,'Données projet'!$B$218,FE10+FD11-FM10)))</f>
        <v>6.2869227432114991</v>
      </c>
      <c r="FF11" s="18">
        <f>FE11*VLOOKUP('Données projet'!$B$16,Paramètres!$A$1:$I$89,3,0)*VLOOKUP('Données projet'!$B$16,Paramètres!$A$1:$I$89,5,0)</f>
        <v>5.3941797136754674</v>
      </c>
      <c r="FG11" s="14">
        <f t="shared" si="47"/>
        <v>2.0430611164968804</v>
      </c>
      <c r="FH11" s="22">
        <f t="shared" si="22"/>
        <v>12.953194445883504</v>
      </c>
      <c r="FI11" s="62">
        <f t="shared" si="23"/>
        <v>199.70646731210405</v>
      </c>
      <c r="FJ11" s="62">
        <f ca="1">AVERAGE(OFFSET($FI$3,0,0,'Données projet'!$E$16+1,1))-AVERAGE(OFFSET($H$3,0,0,'Données projet'!$E$16+1,1))</f>
        <v>359.20464555327072</v>
      </c>
      <c r="FK11" s="62">
        <f t="shared" si="48"/>
        <v>305.54154052071863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2.1</v>
      </c>
      <c r="N12" s="14">
        <f>IF('Données projet'!$A$36&gt;35,N11+M12-V11,IF(A12&lt;'Données projet'!$A$36,$K$205^A12,IF(A12='Données projet'!$A$36,'Données projet'!$B$36,N11+M12-V11)))</f>
        <v>5.3760361537574148</v>
      </c>
      <c r="O12" s="14">
        <f>N12*VLOOKUP('Données projet'!$B$9,Paramètres!$A$1:$I$89,3,0)*VLOOKUP('Données projet'!$B$9,Paramètres!$A$1:$I$89,5,0)</f>
        <v>5.4513006599100189</v>
      </c>
      <c r="P12" s="14">
        <f t="shared" si="33"/>
        <v>2.062165822468125</v>
      </c>
      <c r="Q12" s="22">
        <f t="shared" si="2"/>
        <v>13.085954123475267</v>
      </c>
      <c r="R12" s="62">
        <f t="shared" si="0"/>
        <v>202.44391287603133</v>
      </c>
      <c r="S12" s="62">
        <f ca="1">AVERAGE(OFFSET($R$3,0,0,'Données projet'!$E$9+1,1))-AVERAGE(OFFSET($H$3,0,0,'Données projet'!$E$9+1,1))</f>
        <v>516.30971934066179</v>
      </c>
      <c r="T12" s="62">
        <f t="shared" si="34"/>
        <v>290.84286505723571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5.7867653159044812</v>
      </c>
      <c r="AK12" s="14">
        <f t="shared" si="35"/>
        <v>2.1739041889582755</v>
      </c>
      <c r="AL12" s="22">
        <f t="shared" si="4"/>
        <v>13.864832720969302</v>
      </c>
      <c r="AM12" s="62">
        <f t="shared" si="5"/>
        <v>203.22279147352538</v>
      </c>
      <c r="AN12" s="62">
        <f ca="1">AVERAGE(OFFSET($AM$3,0,0,'Données projet'!$E$10+1,1))-AVERAGE(OFFSET($H$3,0,0,'Données projet'!$E$10+1,1))</f>
        <v>542.90832990875208</v>
      </c>
      <c r="AO12" s="62">
        <f t="shared" si="36"/>
        <v>304.94365539329362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5.1997021679141717</v>
      </c>
      <c r="BF12" s="14">
        <f t="shared" si="37"/>
        <v>1.977837649208241</v>
      </c>
      <c r="BG12" s="22">
        <f t="shared" si="7"/>
        <v>12.500881848154869</v>
      </c>
      <c r="BH12" s="62">
        <f t="shared" si="8"/>
        <v>201.85884060071095</v>
      </c>
      <c r="BI12" s="62">
        <f ca="1">AVERAGE(OFFSET($BH$3,0,0,'Données projet'!$E$11+1,1))-AVERAGE(OFFSET($H$3,0,0,'Données projet'!$E$11+1,1))</f>
        <v>496.33873798282525</v>
      </c>
      <c r="BJ12" s="62">
        <f t="shared" si="38"/>
        <v>280.25465074992246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0.59333333333333338</v>
      </c>
      <c r="BY12" s="13">
        <f>IF('Données projet'!$A$114&gt;35,BY11+BX12-CG11,IF(A12&lt;'Données projet'!$A$114,$BV$205^A12,IF(A12='Données projet'!$A$114,'Données projet'!$B$114,BY11+BX12-CG11)))</f>
        <v>3.7122225452242148</v>
      </c>
      <c r="BZ12" s="14">
        <f>BY12*VLOOKUP('Données projet'!$B$12,Paramètres!$A$1:$I$89,3,0)*VLOOKUP('Données projet'!$B$12,Paramètres!$A$1:$I$89,5,0)</f>
        <v>3.2429976155078744</v>
      </c>
      <c r="CA12" s="14">
        <f t="shared" si="39"/>
        <v>1.3032403161984112</v>
      </c>
      <c r="CB12" s="22">
        <f t="shared" si="10"/>
        <v>7.9180310643884466</v>
      </c>
      <c r="CC12" s="62">
        <f t="shared" si="11"/>
        <v>197.27598981694453</v>
      </c>
      <c r="CD12" s="62">
        <f ca="1">AVERAGE(OFFSET($CC$3,0,0,'Données projet'!$E$12+1,1))-AVERAGE(OFFSET($H$3,0,0,'Données projet'!$E$12+1,1))</f>
        <v>298.28891728374822</v>
      </c>
      <c r="CE12" s="62">
        <f t="shared" si="40"/>
        <v>275.07405533331371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4.3703703703703702</v>
      </c>
      <c r="CT12" s="13">
        <f>IF('Données projet'!$A$140&gt;35,CT11+CS12-DB11,IF(A12&lt;'Données projet'!$A$140,$CQ$205^A12,IF(A12='Données projet'!$A$140,'Données projet'!$B$140,CT11+CS12-DB11)))</f>
        <v>4.9048681315240179</v>
      </c>
      <c r="CU12" s="18">
        <f>CT12*VLOOKUP('Données projet'!$B$13,Paramètres!$A$1:$I$89,3,0)*VLOOKUP('Données projet'!$B$13,Paramètres!$A$1:$I$89,5,0)</f>
        <v>2.9331111426513625</v>
      </c>
      <c r="CV12" s="14">
        <f t="shared" si="41"/>
        <v>1.192569079504352</v>
      </c>
      <c r="CW12" s="22">
        <f t="shared" si="13"/>
        <v>7.1855597202545356</v>
      </c>
      <c r="CX12" s="62">
        <f t="shared" si="14"/>
        <v>196.5435184728106</v>
      </c>
      <c r="CY12" s="62">
        <f ca="1">AVERAGE(OFFSET($CX$3,0,0,'Données projet'!$E$13+1,1))-AVERAGE(OFFSET($H$3,0,0,'Données projet'!$E$13+1,1))</f>
        <v>320.46614113586043</v>
      </c>
      <c r="CZ12" s="62">
        <f t="shared" si="42"/>
        <v>250.7806929924491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1.4</v>
      </c>
      <c r="DO12" s="13">
        <f>IF('Données projet'!$A$166&gt;35,DO11+DN12-DW11,IF(A12&lt;'Données projet'!$A$166,$DL$205^A12,IF(A12='Données projet'!$A$166,'Données projet'!$B$166,DO11+DN12-DW11)))</f>
        <v>4.4794130829695789</v>
      </c>
      <c r="DP12" s="18">
        <f>DO12*VLOOKUP('Données projet'!$B$14,Paramètres!$A$1:$I$89,3,0)*VLOOKUP('Données projet'!$B$14,Paramètres!$A$1:$I$89,5,0)</f>
        <v>2.096365322829763</v>
      </c>
      <c r="DQ12" s="14">
        <f t="shared" si="43"/>
        <v>0.88633985278862137</v>
      </c>
      <c r="DR12" s="22">
        <f t="shared" si="16"/>
        <v>5.1948781808686864</v>
      </c>
      <c r="DS12" s="62">
        <f t="shared" si="17"/>
        <v>194.55283693342477</v>
      </c>
      <c r="DT12" s="62">
        <f ca="1">AVERAGE(OFFSET($DS$3,0,0,'Données projet'!$E$14+1,1))-AVERAGE(OFFSET($H$3,0,0,'Données projet'!$E$14+1,1))</f>
        <v>429.87867712133851</v>
      </c>
      <c r="DU12" s="62">
        <f t="shared" si="44"/>
        <v>182.81277865988014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2.0940170940170941</v>
      </c>
      <c r="EJ12" s="13">
        <f>IF('Données projet'!$A$192&gt;35,EJ11+EI12-ER11,IF(A12&lt;'Données projet'!$A$192,$EG$205^A12,IF(A12='Données projet'!$A$192,'Données projet'!$B$192,EJ11+EI12-ER11)))</f>
        <v>7.9112095657214336</v>
      </c>
      <c r="EK12" s="18">
        <f>EJ12*VLOOKUP('Données projet'!$B$15,Paramètres!$A$1:$I$89,3,0)*VLOOKUP('Données projet'!$B$15,Paramètres!$A$1:$I$89,5,0)</f>
        <v>5.3068393766859385</v>
      </c>
      <c r="EL12" s="14">
        <f t="shared" si="45"/>
        <v>2.0138035589946082</v>
      </c>
      <c r="EM12" s="22">
        <f t="shared" si="19"/>
        <v>12.750119779643619</v>
      </c>
      <c r="EN12" s="62">
        <f t="shared" si="20"/>
        <v>202.1080785321997</v>
      </c>
      <c r="EO12" s="62">
        <f ca="1">AVERAGE(OFFSET($EN$3,0,0,'Données projet'!$E$15+1,1))-AVERAGE(OFFSET($H$3,0,0,'Données projet'!$E$15+1,1))</f>
        <v>296.18088377871669</v>
      </c>
      <c r="EP12" s="62">
        <f t="shared" si="46"/>
        <v>252.23833925792056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2.0940170940170941</v>
      </c>
      <c r="FE12" s="13">
        <f>IF('Données projet'!$A$218&gt;35,FE11+FD12-FM11,IF(A12&lt;'Données projet'!$A$218,$FB$205^A12,IF(A12='Données projet'!$A$218,'Données projet'!$B$218,FE11+FD12-FM11)))</f>
        <v>7.9112095657214336</v>
      </c>
      <c r="FF12" s="18">
        <f>FE12*VLOOKUP('Données projet'!$B$16,Paramètres!$A$1:$I$89,3,0)*VLOOKUP('Données projet'!$B$16,Paramètres!$A$1:$I$89,5,0)</f>
        <v>6.7878178073889908</v>
      </c>
      <c r="FG12" s="14">
        <f t="shared" si="47"/>
        <v>2.5030461046725803</v>
      </c>
      <c r="FH12" s="22">
        <f t="shared" si="22"/>
        <v>16.181587980173902</v>
      </c>
      <c r="FI12" s="62">
        <f t="shared" si="23"/>
        <v>205.53954673272997</v>
      </c>
      <c r="FJ12" s="62">
        <f ca="1">AVERAGE(OFFSET($FI$3,0,0,'Données projet'!$E$16+1,1))-AVERAGE(OFFSET($H$3,0,0,'Données projet'!$E$16+1,1))</f>
        <v>359.20464555327072</v>
      </c>
      <c r="FK12" s="62">
        <f t="shared" si="48"/>
        <v>305.54154052071863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2.1</v>
      </c>
      <c r="N13" s="14">
        <f>IF('Données projet'!$A$36&gt;35,N12+M13-V12,IF(A13&lt;'Données projet'!$A$36,$K$205^A13,IF(A13='Données projet'!$A$36,'Données projet'!$B$36,N12+M13-V12)))</f>
        <v>6.4807406984078657</v>
      </c>
      <c r="O13" s="14">
        <f>N13*VLOOKUP('Données projet'!$B$9,Paramètres!$A$1:$I$89,3,0)*VLOOKUP('Données projet'!$B$9,Paramètres!$A$1:$I$89,5,0)</f>
        <v>6.5714710681855761</v>
      </c>
      <c r="P13" s="14">
        <f t="shared" si="33"/>
        <v>2.4324209676242781</v>
      </c>
      <c r="Q13" s="22">
        <f t="shared" si="2"/>
        <v>15.681778629035497</v>
      </c>
      <c r="R13" s="62">
        <f t="shared" si="0"/>
        <v>207.62044061408039</v>
      </c>
      <c r="S13" s="62">
        <f ca="1">AVERAGE(OFFSET($R$3,0,0,'Données projet'!$E$9+1,1))-AVERAGE(OFFSET($H$3,0,0,'Données projet'!$E$9+1,1))</f>
        <v>516.30971934066179</v>
      </c>
      <c r="T13" s="62">
        <f t="shared" si="34"/>
        <v>290.84286505723571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6.9758692877662263</v>
      </c>
      <c r="AK13" s="14">
        <f t="shared" si="35"/>
        <v>2.5642215932468222</v>
      </c>
      <c r="AL13" s="22">
        <f t="shared" si="4"/>
        <v>16.61565828443106</v>
      </c>
      <c r="AM13" s="62">
        <f t="shared" si="5"/>
        <v>208.55432026947594</v>
      </c>
      <c r="AN13" s="62">
        <f ca="1">AVERAGE(OFFSET($AM$3,0,0,'Données projet'!$E$10+1,1))-AVERAGE(OFFSET($H$3,0,0,'Données projet'!$E$10+1,1))</f>
        <v>542.90832990875208</v>
      </c>
      <c r="AO13" s="62">
        <f t="shared" si="36"/>
        <v>304.94365539329362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6.2681724035000874</v>
      </c>
      <c r="BF13" s="14">
        <f t="shared" si="37"/>
        <v>2.3329519459947301</v>
      </c>
      <c r="BG13" s="22">
        <f t="shared" si="7"/>
        <v>14.98029157537014</v>
      </c>
      <c r="BH13" s="62">
        <f t="shared" si="8"/>
        <v>206.91895356041502</v>
      </c>
      <c r="BI13" s="62">
        <f ca="1">AVERAGE(OFFSET($BH$3,0,0,'Données projet'!$E$11+1,1))-AVERAGE(OFFSET($H$3,0,0,'Données projet'!$E$11+1,1))</f>
        <v>496.33873798282525</v>
      </c>
      <c r="BJ13" s="62">
        <f t="shared" si="38"/>
        <v>280.25465074992246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0.59333333333333338</v>
      </c>
      <c r="BY13" s="13">
        <f>IF('Données projet'!$A$114&gt;35,BY12+BX13-CG12,IF(A13&lt;'Données projet'!$A$114,$BV$205^A13,IF(A13='Données projet'!$A$114,'Données projet'!$B$114,BY12+BX13-CG12)))</f>
        <v>4.2946390736274225</v>
      </c>
      <c r="BZ13" s="14">
        <f>BY13*VLOOKUP('Données projet'!$B$12,Paramètres!$A$1:$I$89,3,0)*VLOOKUP('Données projet'!$B$12,Paramètres!$A$1:$I$89,5,0)</f>
        <v>3.7517966947209165</v>
      </c>
      <c r="CA13" s="14">
        <f t="shared" si="39"/>
        <v>1.4823470970863373</v>
      </c>
      <c r="CB13" s="22">
        <f t="shared" si="10"/>
        <v>9.1161337707309666</v>
      </c>
      <c r="CC13" s="62">
        <f t="shared" si="11"/>
        <v>201.05479575577584</v>
      </c>
      <c r="CD13" s="62">
        <f ca="1">AVERAGE(OFFSET($CC$3,0,0,'Données projet'!$E$12+1,1))-AVERAGE(OFFSET($H$3,0,0,'Données projet'!$E$12+1,1))</f>
        <v>298.28891728374822</v>
      </c>
      <c r="CE13" s="62">
        <f t="shared" si="40"/>
        <v>275.07405533331371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4.3703703703703702</v>
      </c>
      <c r="CT13" s="13">
        <f>IF('Données projet'!$A$140&gt;35,CT12+CS13-DB12,IF(A13&lt;'Données projet'!$A$140,$CQ$205^A13,IF(A13='Données projet'!$A$140,'Données projet'!$B$140,CT12+CS13-DB12)))</f>
        <v>5.8528003047504482</v>
      </c>
      <c r="CU13" s="18">
        <f>CT13*VLOOKUP('Données projet'!$B$13,Paramètres!$A$1:$I$89,3,0)*VLOOKUP('Données projet'!$B$13,Paramètres!$A$1:$I$89,5,0)</f>
        <v>3.499974582240768</v>
      </c>
      <c r="CV13" s="14">
        <f t="shared" si="41"/>
        <v>1.3940803381250744</v>
      </c>
      <c r="CW13" s="22">
        <f t="shared" si="13"/>
        <v>8.5238123196371749</v>
      </c>
      <c r="CX13" s="62">
        <f t="shared" si="14"/>
        <v>200.46247430468208</v>
      </c>
      <c r="CY13" s="62">
        <f ca="1">AVERAGE(OFFSET($CX$3,0,0,'Données projet'!$E$13+1,1))-AVERAGE(OFFSET($H$3,0,0,'Données projet'!$E$13+1,1))</f>
        <v>320.46614113586043</v>
      </c>
      <c r="CZ13" s="62">
        <f t="shared" si="42"/>
        <v>250.7806929924491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1.4</v>
      </c>
      <c r="DO13" s="13">
        <f>IF('Données projet'!$A$166&gt;35,DO12+DN13-DW12,IF(A13&lt;'Données projet'!$A$166,$DL$205^A13,IF(A13='Données projet'!$A$166,'Données projet'!$B$166,DO12+DN13-DW12)))</f>
        <v>5.291502622129185</v>
      </c>
      <c r="DP13" s="18">
        <f>DO13*VLOOKUP('Données projet'!$B$14,Paramètres!$A$1:$I$89,3,0)*VLOOKUP('Données projet'!$B$14,Paramètres!$A$1:$I$89,5,0)</f>
        <v>2.4764232271564586</v>
      </c>
      <c r="DQ13" s="14">
        <f t="shared" si="43"/>
        <v>1.026917887868104</v>
      </c>
      <c r="DR13" s="22">
        <f t="shared" si="16"/>
        <v>6.1016524420011136</v>
      </c>
      <c r="DS13" s="62">
        <f t="shared" si="17"/>
        <v>198.04031442704601</v>
      </c>
      <c r="DT13" s="62">
        <f ca="1">AVERAGE(OFFSET($DS$3,0,0,'Données projet'!$E$14+1,1))-AVERAGE(OFFSET($H$3,0,0,'Données projet'!$E$14+1,1))</f>
        <v>429.87867712133851</v>
      </c>
      <c r="DU13" s="62">
        <f t="shared" si="44"/>
        <v>182.81277865988014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2.0940170940170941</v>
      </c>
      <c r="EJ13" s="13">
        <f>IF('Données projet'!$A$192&gt;35,EJ12+EI13-ER12,IF(A13&lt;'Données projet'!$A$192,$EG$205^A13,IF(A13='Données projet'!$A$192,'Données projet'!$B$192,EJ12+EI13-ER12)))</f>
        <v>9.9551464761266271</v>
      </c>
      <c r="EK13" s="18">
        <f>EJ13*VLOOKUP('Données projet'!$B$15,Paramètres!$A$1:$I$89,3,0)*VLOOKUP('Données projet'!$B$15,Paramètres!$A$1:$I$89,5,0)</f>
        <v>6.677912256185742</v>
      </c>
      <c r="EL13" s="14">
        <f t="shared" si="45"/>
        <v>2.46720135448524</v>
      </c>
      <c r="EM13" s="22">
        <f t="shared" si="19"/>
        <v>15.927739538585294</v>
      </c>
      <c r="EN13" s="62">
        <f t="shared" si="20"/>
        <v>207.86640152363017</v>
      </c>
      <c r="EO13" s="62">
        <f ca="1">AVERAGE(OFFSET($EN$3,0,0,'Données projet'!$E$15+1,1))-AVERAGE(OFFSET($H$3,0,0,'Données projet'!$E$15+1,1))</f>
        <v>296.18088377871669</v>
      </c>
      <c r="EP13" s="62">
        <f t="shared" si="46"/>
        <v>252.23833925792056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2.0940170940170941</v>
      </c>
      <c r="FE13" s="13">
        <f>IF('Données projet'!$A$218&gt;35,FE12+FD13-FM12,IF(A13&lt;'Données projet'!$A$218,$FB$205^A13,IF(A13='Données projet'!$A$218,'Données projet'!$B$218,FE12+FD13-FM12)))</f>
        <v>9.9551464761266271</v>
      </c>
      <c r="FF13" s="18">
        <f>FE13*VLOOKUP('Données projet'!$B$16,Paramètres!$A$1:$I$89,3,0)*VLOOKUP('Données projet'!$B$16,Paramètres!$A$1:$I$89,5,0)</f>
        <v>8.5415156765166476</v>
      </c>
      <c r="FG13" s="14">
        <f t="shared" si="47"/>
        <v>3.0665944114580497</v>
      </c>
      <c r="FH13" s="22">
        <f t="shared" si="22"/>
        <v>20.217458403222597</v>
      </c>
      <c r="FI13" s="62">
        <f t="shared" si="23"/>
        <v>212.15612038826748</v>
      </c>
      <c r="FJ13" s="62">
        <f ca="1">AVERAGE(OFFSET($FI$3,0,0,'Données projet'!$E$16+1,1))-AVERAGE(OFFSET($H$3,0,0,'Données projet'!$E$16+1,1))</f>
        <v>359.20464555327072</v>
      </c>
      <c r="FK13" s="62">
        <f t="shared" si="48"/>
        <v>305.54154052071863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2.1</v>
      </c>
      <c r="N14" s="14">
        <f>IF('Données projet'!$A$36&gt;35,N13+M14-V13,IF(A14&lt;'Données projet'!$A$36,$K$205^A14,IF(A14='Données projet'!$A$36,'Données projet'!$B$36,N13+M14-V13)))</f>
        <v>7.8124474610620815</v>
      </c>
      <c r="O14" s="14">
        <f>N14*VLOOKUP('Données projet'!$B$9,Paramètres!$A$1:$I$89,3,0)*VLOOKUP('Données projet'!$B$9,Paramètres!$A$1:$I$89,5,0)</f>
        <v>7.921821725516951</v>
      </c>
      <c r="P14" s="14">
        <f t="shared" si="33"/>
        <v>2.869154216054651</v>
      </c>
      <c r="Q14" s="22">
        <f t="shared" si="2"/>
        <v>18.794283098237205</v>
      </c>
      <c r="R14" s="62">
        <f t="shared" si="0"/>
        <v>213.29008170735133</v>
      </c>
      <c r="S14" s="62">
        <f ca="1">AVERAGE(OFFSET($R$3,0,0,'Données projet'!$E$9+1,1))-AVERAGE(OFFSET($H$3,0,0,'Données projet'!$E$9+1,1))</f>
        <v>516.30971934066179</v>
      </c>
      <c r="T14" s="62">
        <f t="shared" si="34"/>
        <v>290.84286505723571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8.4093184470872249</v>
      </c>
      <c r="AK14" s="14">
        <f t="shared" si="35"/>
        <v>3.0246192139792929</v>
      </c>
      <c r="AL14" s="22">
        <f t="shared" si="4"/>
        <v>19.914108093024186</v>
      </c>
      <c r="AM14" s="62">
        <f t="shared" si="5"/>
        <v>214.40990670213833</v>
      </c>
      <c r="AN14" s="62">
        <f ca="1">AVERAGE(OFFSET($AM$3,0,0,'Données projet'!$E$10+1,1))-AVERAGE(OFFSET($H$3,0,0,'Données projet'!$E$10+1,1))</f>
        <v>542.90832990875208</v>
      </c>
      <c r="AO14" s="62">
        <f t="shared" si="36"/>
        <v>304.94365539329362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7.5561991843392455</v>
      </c>
      <c r="BF14" s="14">
        <f t="shared" si="37"/>
        <v>2.7518258561310041</v>
      </c>
      <c r="BG14" s="22">
        <f t="shared" si="7"/>
        <v>17.953143612152349</v>
      </c>
      <c r="BH14" s="62">
        <f t="shared" si="8"/>
        <v>212.44894222126649</v>
      </c>
      <c r="BI14" s="62">
        <f ca="1">AVERAGE(OFFSET($BH$3,0,0,'Données projet'!$E$11+1,1))-AVERAGE(OFFSET($H$3,0,0,'Données projet'!$E$11+1,1))</f>
        <v>496.33873798282525</v>
      </c>
      <c r="BJ14" s="62">
        <f t="shared" si="38"/>
        <v>280.25465074992246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0.59333333333333338</v>
      </c>
      <c r="BY14" s="13">
        <f>IF('Données projet'!$A$114&gt;35,BY13+BX14-CG13,IF(A14&lt;'Données projet'!$A$114,$BV$205^A14,IF(A14='Données projet'!$A$114,'Données projet'!$B$114,BY13+BX14-CG13)))</f>
        <v>4.9684318620540591</v>
      </c>
      <c r="BZ14" s="14">
        <f>BY14*VLOOKUP('Données projet'!$B$12,Paramètres!$A$1:$I$89,3,0)*VLOOKUP('Données projet'!$B$12,Paramètres!$A$1:$I$89,5,0)</f>
        <v>4.3404220746904265</v>
      </c>
      <c r="CA14" s="14">
        <f t="shared" si="39"/>
        <v>1.6860688615358612</v>
      </c>
      <c r="CB14" s="22">
        <f t="shared" si="10"/>
        <v>10.496138380594116</v>
      </c>
      <c r="CC14" s="62">
        <f t="shared" si="11"/>
        <v>204.99193698970825</v>
      </c>
      <c r="CD14" s="62">
        <f ca="1">AVERAGE(OFFSET($CC$3,0,0,'Données projet'!$E$12+1,1))-AVERAGE(OFFSET($H$3,0,0,'Données projet'!$E$12+1,1))</f>
        <v>298.28891728374822</v>
      </c>
      <c r="CE14" s="62">
        <f t="shared" si="40"/>
        <v>275.07405533331371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4.3703703703703702</v>
      </c>
      <c r="CT14" s="13">
        <f>IF('Données projet'!$A$140&gt;35,CT13+CS14-DB13,IF(A14&lt;'Données projet'!$A$140,$CQ$205^A14,IF(A14='Données projet'!$A$140,'Données projet'!$B$140,CT13+CS14-DB13)))</f>
        <v>6.9839332044678839</v>
      </c>
      <c r="CU14" s="18">
        <f>CT14*VLOOKUP('Données projet'!$B$13,Paramètres!$A$1:$I$89,3,0)*VLOOKUP('Données projet'!$B$13,Paramètres!$A$1:$I$89,5,0)</f>
        <v>4.1763920562717951</v>
      </c>
      <c r="CV14" s="14">
        <f t="shared" si="41"/>
        <v>1.629641437588379</v>
      </c>
      <c r="CW14" s="22">
        <f t="shared" si="13"/>
        <v>10.112175001806468</v>
      </c>
      <c r="CX14" s="62">
        <f t="shared" si="14"/>
        <v>204.6079736109206</v>
      </c>
      <c r="CY14" s="62">
        <f ca="1">AVERAGE(OFFSET($CX$3,0,0,'Données projet'!$E$13+1,1))-AVERAGE(OFFSET($H$3,0,0,'Données projet'!$E$13+1,1))</f>
        <v>320.46614113586043</v>
      </c>
      <c r="CZ14" s="62">
        <f t="shared" si="42"/>
        <v>250.7806929924491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1.4</v>
      </c>
      <c r="DO14" s="13">
        <f>IF('Données projet'!$A$166&gt;35,DO13+DN14-DW13,IF(A14&lt;'Données projet'!$A$166,$DL$205^A14,IF(A14='Données projet'!$A$166,'Données projet'!$B$166,DO13+DN14-DW13)))</f>
        <v>6.2508189089445931</v>
      </c>
      <c r="DP14" s="18">
        <f>DO14*VLOOKUP('Données projet'!$B$14,Paramètres!$A$1:$I$89,3,0)*VLOOKUP('Données projet'!$B$14,Paramètres!$A$1:$I$89,5,0)</f>
        <v>2.9253832493860692</v>
      </c>
      <c r="DQ14" s="14">
        <f t="shared" si="43"/>
        <v>1.1897923184945451</v>
      </c>
      <c r="DR14" s="22">
        <f t="shared" si="16"/>
        <v>7.1672641140587361</v>
      </c>
      <c r="DS14" s="62">
        <f t="shared" si="17"/>
        <v>201.66306272317286</v>
      </c>
      <c r="DT14" s="62">
        <f ca="1">AVERAGE(OFFSET($DS$3,0,0,'Données projet'!$E$14+1,1))-AVERAGE(OFFSET($H$3,0,0,'Données projet'!$E$14+1,1))</f>
        <v>429.87867712133851</v>
      </c>
      <c r="DU14" s="62">
        <f t="shared" si="44"/>
        <v>182.81277865988014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2.0940170940170941</v>
      </c>
      <c r="EJ14" s="13">
        <f>IF('Données projet'!$A$192&gt;35,EJ13+EI14-ER13,IF(A14&lt;'Données projet'!$A$192,$EG$205^A14,IF(A14='Données projet'!$A$192,'Données projet'!$B$192,EJ13+EI14-ER13)))</f>
        <v>12.527154101763314</v>
      </c>
      <c r="EK14" s="18">
        <f>EJ14*VLOOKUP('Données projet'!$B$15,Paramètres!$A$1:$I$89,3,0)*VLOOKUP('Données projet'!$B$15,Paramètres!$A$1:$I$89,5,0)</f>
        <v>8.4032149714628304</v>
      </c>
      <c r="EL14" s="14">
        <f t="shared" si="45"/>
        <v>3.0226793951108037</v>
      </c>
      <c r="EM14" s="22">
        <f t="shared" si="19"/>
        <v>19.900099355115746</v>
      </c>
      <c r="EN14" s="62">
        <f t="shared" si="20"/>
        <v>214.39589796422987</v>
      </c>
      <c r="EO14" s="62">
        <f ca="1">AVERAGE(OFFSET($EN$3,0,0,'Données projet'!$E$15+1,1))-AVERAGE(OFFSET($H$3,0,0,'Données projet'!$E$15+1,1))</f>
        <v>296.18088377871669</v>
      </c>
      <c r="EP14" s="62">
        <f t="shared" si="46"/>
        <v>252.23833925792056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2.0940170940170941</v>
      </c>
      <c r="FE14" s="13">
        <f>IF('Données projet'!$A$218&gt;35,FE13+FD14-FM13,IF(A14&lt;'Données projet'!$A$218,$FB$205^A14,IF(A14='Données projet'!$A$218,'Données projet'!$B$218,FE13+FD14-FM13)))</f>
        <v>12.527154101763314</v>
      </c>
      <c r="FF14" s="18">
        <f>FE14*VLOOKUP('Données projet'!$B$16,Paramètres!$A$1:$I$89,3,0)*VLOOKUP('Données projet'!$B$16,Paramètres!$A$1:$I$89,5,0)</f>
        <v>10.748298219312924</v>
      </c>
      <c r="FG14" s="14">
        <f t="shared" si="47"/>
        <v>3.7570227998720243</v>
      </c>
      <c r="FH14" s="22">
        <f t="shared" si="22"/>
        <v>25.263434108413779</v>
      </c>
      <c r="FI14" s="62">
        <f t="shared" si="23"/>
        <v>219.75923271752791</v>
      </c>
      <c r="FJ14" s="62">
        <f ca="1">AVERAGE(OFFSET($FI$3,0,0,'Données projet'!$E$16+1,1))-AVERAGE(OFFSET($H$3,0,0,'Données projet'!$E$16+1,1))</f>
        <v>359.20464555327072</v>
      </c>
      <c r="FK14" s="62">
        <f t="shared" si="48"/>
        <v>305.54154052071863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2.1</v>
      </c>
      <c r="N15" s="14">
        <f>IF('Données projet'!$A$36&gt;35,N14+M15-V14,IF(A15&lt;'Données projet'!$A$36,$K$205^A15,IF(A15='Données projet'!$A$36,'Données projet'!$B$36,N14+M15-V14)))</f>
        <v>9.4178024044149407</v>
      </c>
      <c r="O15" s="14">
        <f>N15*VLOOKUP('Données projet'!$B$9,Paramètres!$A$1:$I$89,3,0)*VLOOKUP('Données projet'!$B$9,Paramètres!$A$1:$I$89,5,0)</f>
        <v>9.5496516380767513</v>
      </c>
      <c r="P15" s="14">
        <f t="shared" si="33"/>
        <v>3.3843014943027487</v>
      </c>
      <c r="Q15" s="22">
        <f t="shared" si="2"/>
        <v>22.526635038894295</v>
      </c>
      <c r="R15" s="62">
        <f t="shared" si="0"/>
        <v>219.55641249162716</v>
      </c>
      <c r="S15" s="62">
        <f ca="1">AVERAGE(OFFSET($R$3,0,0,'Données projet'!$E$9+1,1))-AVERAGE(OFFSET($H$3,0,0,'Données projet'!$E$9+1,1))</f>
        <v>516.30971934066179</v>
      </c>
      <c r="T15" s="62">
        <f t="shared" si="34"/>
        <v>290.84286505723571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10.137322508112241</v>
      </c>
      <c r="AK15" s="14">
        <f t="shared" si="35"/>
        <v>3.5676797253661268</v>
      </c>
      <c r="AL15" s="22">
        <f t="shared" si="4"/>
        <v>23.869545556641487</v>
      </c>
      <c r="AM15" s="62">
        <f t="shared" si="5"/>
        <v>220.89932300937437</v>
      </c>
      <c r="AN15" s="62">
        <f ca="1">AVERAGE(OFFSET($AM$3,0,0,'Données projet'!$E$10+1,1))-AVERAGE(OFFSET($H$3,0,0,'Données projet'!$E$10+1,1))</f>
        <v>542.90832990875208</v>
      </c>
      <c r="AO15" s="62">
        <f t="shared" si="36"/>
        <v>304.94365539329362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9.1088984855501316</v>
      </c>
      <c r="BF15" s="14">
        <f t="shared" si="37"/>
        <v>3.2459072101643005</v>
      </c>
      <c r="BG15" s="22">
        <f t="shared" si="7"/>
        <v>21.517953253369303</v>
      </c>
      <c r="BH15" s="62">
        <f t="shared" si="8"/>
        <v>218.54773070610219</v>
      </c>
      <c r="BI15" s="62">
        <f ca="1">AVERAGE(OFFSET($BH$3,0,0,'Données projet'!$E$11+1,1))-AVERAGE(OFFSET($H$3,0,0,'Données projet'!$E$11+1,1))</f>
        <v>496.33873798282525</v>
      </c>
      <c r="BJ15" s="62">
        <f t="shared" si="38"/>
        <v>280.25465074992246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0.59333333333333338</v>
      </c>
      <c r="BY15" s="13">
        <f>IF('Données projet'!$A$114&gt;35,BY14+BX15-CG14,IF(A15&lt;'Données projet'!$A$114,$BV$205^A15,IF(A15='Données projet'!$A$114,'Données projet'!$B$114,BY14+BX15-CG14)))</f>
        <v>5.7479370779868049</v>
      </c>
      <c r="BZ15" s="14">
        <f>BY15*VLOOKUP('Données projet'!$B$12,Paramètres!$A$1:$I$89,3,0)*VLOOKUP('Données projet'!$B$12,Paramètres!$A$1:$I$89,5,0)</f>
        <v>5.0213978313292733</v>
      </c>
      <c r="CA15" s="14">
        <f t="shared" si="39"/>
        <v>1.9177884932811105</v>
      </c>
      <c r="CB15" s="22">
        <f t="shared" si="10"/>
        <v>12.085749515363085</v>
      </c>
      <c r="CC15" s="62">
        <f t="shared" si="11"/>
        <v>209.11552696809596</v>
      </c>
      <c r="CD15" s="62">
        <f ca="1">AVERAGE(OFFSET($CC$3,0,0,'Données projet'!$E$12+1,1))-AVERAGE(OFFSET($H$3,0,0,'Données projet'!$E$12+1,1))</f>
        <v>298.28891728374822</v>
      </c>
      <c r="CE15" s="62">
        <f t="shared" si="40"/>
        <v>275.07405533331371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4.3703703703703702</v>
      </c>
      <c r="CT15" s="13">
        <f>IF('Données projet'!$A$140&gt;35,CT14+CS15-DB14,IF(A15&lt;'Données projet'!$A$140,$CQ$205^A15,IF(A15='Données projet'!$A$140,'Données projet'!$B$140,CT14+CS15-DB14)))</f>
        <v>8.3336728514178713</v>
      </c>
      <c r="CU15" s="18">
        <f>CT15*VLOOKUP('Données projet'!$B$13,Paramètres!$A$1:$I$89,3,0)*VLOOKUP('Données projet'!$B$13,Paramètres!$A$1:$I$89,5,0)</f>
        <v>4.983536365147887</v>
      </c>
      <c r="CV15" s="14">
        <f t="shared" si="41"/>
        <v>1.9050058611951031</v>
      </c>
      <c r="CW15" s="22">
        <f t="shared" si="13"/>
        <v>11.997544377547372</v>
      </c>
      <c r="CX15" s="62">
        <f t="shared" si="14"/>
        <v>209.02732183028024</v>
      </c>
      <c r="CY15" s="62">
        <f ca="1">AVERAGE(OFFSET($CX$3,0,0,'Données projet'!$E$13+1,1))-AVERAGE(OFFSET($H$3,0,0,'Données projet'!$E$13+1,1))</f>
        <v>320.46614113586043</v>
      </c>
      <c r="CZ15" s="62">
        <f t="shared" si="42"/>
        <v>250.7806929924491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0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0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1.4</v>
      </c>
      <c r="DO15" s="13">
        <f>IF('Données projet'!$A$166&gt;35,DO14+DN15-DW14,IF(A15&lt;'Données projet'!$A$166,$DL$205^A15,IF(A15='Données projet'!$A$166,'Données projet'!$B$166,DO14+DN15-DW14)))</f>
        <v>7.3840532307432287</v>
      </c>
      <c r="DP15" s="18">
        <f>DO15*VLOOKUP('Données projet'!$B$14,Paramètres!$A$1:$I$89,3,0)*VLOOKUP('Données projet'!$B$14,Paramètres!$A$1:$I$89,5,0)</f>
        <v>3.455736911987831</v>
      </c>
      <c r="DQ15" s="14">
        <f t="shared" si="43"/>
        <v>1.3784994670678521</v>
      </c>
      <c r="DR15" s="22">
        <f t="shared" si="16"/>
        <v>8.4196283601886481</v>
      </c>
      <c r="DS15" s="62">
        <f t="shared" si="17"/>
        <v>205.44940581292153</v>
      </c>
      <c r="DT15" s="62">
        <f ca="1">AVERAGE(OFFSET($DS$3,0,0,'Données projet'!$E$14+1,1))-AVERAGE(OFFSET($H$3,0,0,'Données projet'!$E$14+1,1))</f>
        <v>429.87867712133851</v>
      </c>
      <c r="DU15" s="62">
        <f t="shared" si="44"/>
        <v>182.81277865988014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2.0940170940170941</v>
      </c>
      <c r="EJ15" s="13">
        <f>IF('Données projet'!$A$192&gt;35,EJ14+EI15-ER14,IF(A15&lt;'Données projet'!$A$192,$EG$205^A15,IF(A15='Données projet'!$A$192,'Données projet'!$B$192,EJ14+EI15-ER14)))</f>
        <v>15.763664579487328</v>
      </c>
      <c r="EK15" s="18">
        <f>EJ15*VLOOKUP('Données projet'!$B$15,Paramètres!$A$1:$I$89,3,0)*VLOOKUP('Données projet'!$B$15,Paramètres!$A$1:$I$89,5,0)</f>
        <v>10.5742661999201</v>
      </c>
      <c r="EL15" s="14">
        <f t="shared" si="45"/>
        <v>3.7032205373175491</v>
      </c>
      <c r="EM15" s="22">
        <f t="shared" si="19"/>
        <v>24.86662273402224</v>
      </c>
      <c r="EN15" s="62">
        <f t="shared" si="20"/>
        <v>221.8964001867551</v>
      </c>
      <c r="EO15" s="62">
        <f ca="1">AVERAGE(OFFSET($EN$3,0,0,'Données projet'!$E$15+1,1))-AVERAGE(OFFSET($H$3,0,0,'Données projet'!$E$15+1,1))</f>
        <v>296.18088377871669</v>
      </c>
      <c r="EP15" s="62">
        <f t="shared" si="46"/>
        <v>252.23833925792056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2.0940170940170941</v>
      </c>
      <c r="FE15" s="13">
        <f>IF('Données projet'!$A$218&gt;35,FE14+FD15-FM14,IF(A15&lt;'Données projet'!$A$218,$FB$205^A15,IF(A15='Données projet'!$A$218,'Données projet'!$B$218,FE14+FD15-FM14)))</f>
        <v>15.763664579487328</v>
      </c>
      <c r="FF15" s="18">
        <f>FE15*VLOOKUP('Données projet'!$B$16,Paramètres!$A$1:$I$89,3,0)*VLOOKUP('Données projet'!$B$16,Paramètres!$A$1:$I$89,5,0)</f>
        <v>13.525224209200129</v>
      </c>
      <c r="FG15" s="14">
        <f t="shared" si="47"/>
        <v>4.6028976854643693</v>
      </c>
      <c r="FH15" s="22">
        <f t="shared" si="22"/>
        <v>31.573145633207336</v>
      </c>
      <c r="FI15" s="62">
        <f t="shared" si="23"/>
        <v>228.6029230859402</v>
      </c>
      <c r="FJ15" s="62">
        <f ca="1">AVERAGE(OFFSET($FI$3,0,0,'Données projet'!$E$16+1,1))-AVERAGE(OFFSET($H$3,0,0,'Données projet'!$E$16+1,1))</f>
        <v>359.20464555327072</v>
      </c>
      <c r="FK15" s="62">
        <f t="shared" si="48"/>
        <v>305.54154052071863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2.1</v>
      </c>
      <c r="N16" s="14">
        <f>IF('Données projet'!$A$36&gt;35,N15+M16-V15,IF(A16&lt;'Données projet'!$A$36,$K$205^A16,IF(A16='Données projet'!$A$36,'Données projet'!$B$36,N15+M16-V15)))</f>
        <v>11.35303662145153</v>
      </c>
      <c r="O16" s="14">
        <f>N16*VLOOKUP('Données projet'!$B$9,Paramètres!$A$1:$I$89,3,0)*VLOOKUP('Données projet'!$B$9,Paramètres!$A$1:$I$89,5,0)</f>
        <v>11.511979134151852</v>
      </c>
      <c r="P16" s="14">
        <f t="shared" si="33"/>
        <v>3.9919417855793822</v>
      </c>
      <c r="Q16" s="22">
        <f t="shared" si="2"/>
        <v>27.002662268531896</v>
      </c>
      <c r="R16" s="62">
        <f t="shared" si="0"/>
        <v>226.54366252015072</v>
      </c>
      <c r="S16" s="62">
        <f ca="1">AVERAGE(OFFSET($R$3,0,0,'Données projet'!$E$9+1,1))-AVERAGE(OFFSET($H$3,0,0,'Données projet'!$E$9+1,1))</f>
        <v>516.30971934066179</v>
      </c>
      <c r="T16" s="62">
        <f t="shared" si="34"/>
        <v>290.84286505723571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12.220408619330426</v>
      </c>
      <c r="AK16" s="14">
        <f t="shared" si="35"/>
        <v>4.2082449797185175</v>
      </c>
      <c r="AL16" s="22">
        <f t="shared" si="4"/>
        <v>28.613238351676909</v>
      </c>
      <c r="AM16" s="62">
        <f t="shared" si="5"/>
        <v>228.15423860329571</v>
      </c>
      <c r="AN16" s="62">
        <f ca="1">AVERAGE(OFFSET($AM$3,0,0,'Données projet'!$E$10+1,1))-AVERAGE(OFFSET($H$3,0,0,'Données projet'!$E$10+1,1))</f>
        <v>542.90832990875208</v>
      </c>
      <c r="AO16" s="62">
        <f t="shared" si="36"/>
        <v>304.94365539329362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10.98065702026792</v>
      </c>
      <c r="BF16" s="14">
        <f t="shared" si="37"/>
        <v>3.8286992592655618</v>
      </c>
      <c r="BG16" s="22">
        <f t="shared" si="7"/>
        <v>25.792962186854144</v>
      </c>
      <c r="BH16" s="62">
        <f t="shared" si="8"/>
        <v>225.33396243847295</v>
      </c>
      <c r="BI16" s="62">
        <f ca="1">AVERAGE(OFFSET($BH$3,0,0,'Données projet'!$E$11+1,1))-AVERAGE(OFFSET($H$3,0,0,'Données projet'!$E$11+1,1))</f>
        <v>496.33873798282525</v>
      </c>
      <c r="BJ16" s="62">
        <f t="shared" si="38"/>
        <v>280.25465074992246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0.59333333333333338</v>
      </c>
      <c r="BY16" s="13">
        <f>IF('Données projet'!$A$114&gt;35,BY15+BX16-CG15,IF(A16&lt;'Données projet'!$A$114,$BV$205^A16,IF(A16='Données projet'!$A$114,'Données projet'!$B$114,BY15+BX16-CG15)))</f>
        <v>6.6497401131383391</v>
      </c>
      <c r="BZ16" s="14">
        <f>BY16*VLOOKUP('Données projet'!$B$12,Paramètres!$A$1:$I$89,3,0)*VLOOKUP('Données projet'!$B$12,Paramètres!$A$1:$I$89,5,0)</f>
        <v>5.8092129628376536</v>
      </c>
      <c r="CA16" s="14">
        <f t="shared" si="39"/>
        <v>2.1813537921643222</v>
      </c>
      <c r="CB16" s="22">
        <f t="shared" si="10"/>
        <v>13.916903764961774</v>
      </c>
      <c r="CC16" s="62">
        <f t="shared" si="11"/>
        <v>213.45790401658058</v>
      </c>
      <c r="CD16" s="62">
        <f ca="1">AVERAGE(OFFSET($CC$3,0,0,'Données projet'!$E$12+1,1))-AVERAGE(OFFSET($H$3,0,0,'Données projet'!$E$12+1,1))</f>
        <v>298.28891728374822</v>
      </c>
      <c r="CE16" s="62">
        <f t="shared" si="40"/>
        <v>275.07405533331371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4.3703703703703702</v>
      </c>
      <c r="CT16" s="13">
        <f>IF('Données projet'!$A$140&gt;35,CT15+CS16-DB15,IF(A16&lt;'Données projet'!$A$140,$CQ$205^A16,IF(A16='Données projet'!$A$140,'Données projet'!$B$140,CT15+CS16-DB15)))</f>
        <v>9.944267959210924</v>
      </c>
      <c r="CU16" s="18">
        <f>CT16*VLOOKUP('Données projet'!$B$13,Paramètres!$A$1:$I$89,3,0)*VLOOKUP('Données projet'!$B$13,Paramètres!$A$1:$I$89,5,0)</f>
        <v>5.9466722396081328</v>
      </c>
      <c r="CV16" s="14">
        <f t="shared" si="41"/>
        <v>2.2268992721234029</v>
      </c>
      <c r="CW16" s="22">
        <f t="shared" si="13"/>
        <v>14.235637049599092</v>
      </c>
      <c r="CX16" s="62">
        <f t="shared" si="14"/>
        <v>213.7766373012179</v>
      </c>
      <c r="CY16" s="62">
        <f ca="1">AVERAGE(OFFSET($CX$3,0,0,'Données projet'!$E$13+1,1))-AVERAGE(OFFSET($H$3,0,0,'Données projet'!$E$13+1,1))</f>
        <v>320.46614113586043</v>
      </c>
      <c r="CZ16" s="62">
        <f t="shared" si="42"/>
        <v>250.7806929924491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0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0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1.4</v>
      </c>
      <c r="DO16" s="13">
        <f>IF('Données projet'!$A$166&gt;35,DO15+DN16-DW15,IF(A16&lt;'Données projet'!$A$166,$DL$205^A16,IF(A16='Données projet'!$A$166,'Données projet'!$B$166,DO15+DN16-DW15)))</f>
        <v>8.7227358380880595</v>
      </c>
      <c r="DP16" s="18">
        <f>DO16*VLOOKUP('Données projet'!$B$14,Paramètres!$A$1:$I$89,3,0)*VLOOKUP('Données projet'!$B$14,Paramètres!$A$1:$I$89,5,0)</f>
        <v>4.0822403722252121</v>
      </c>
      <c r="DQ16" s="14">
        <f t="shared" si="43"/>
        <v>1.5971365348120328</v>
      </c>
      <c r="DR16" s="22">
        <f t="shared" si="16"/>
        <v>9.891581446423201</v>
      </c>
      <c r="DS16" s="62">
        <f t="shared" si="17"/>
        <v>209.43258169804201</v>
      </c>
      <c r="DT16" s="62">
        <f ca="1">AVERAGE(OFFSET($DS$3,0,0,'Données projet'!$E$14+1,1))-AVERAGE(OFFSET($H$3,0,0,'Données projet'!$E$14+1,1))</f>
        <v>429.87867712133851</v>
      </c>
      <c r="DU16" s="62">
        <f t="shared" si="44"/>
        <v>182.81277865988014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2.0940170940170941</v>
      </c>
      <c r="EJ16" s="13">
        <f>IF('Données projet'!$A$192&gt;35,EJ15+EI16-ER15,IF(A16&lt;'Données projet'!$A$192,$EG$205^A16,IF(A16='Données projet'!$A$192,'Données projet'!$B$192,EJ15+EI16-ER15)))</f>
        <v>19.836358597968047</v>
      </c>
      <c r="EK16" s="18">
        <f>EJ16*VLOOKUP('Données projet'!$B$15,Paramètres!$A$1:$I$89,3,0)*VLOOKUP('Données projet'!$B$15,Paramètres!$A$1:$I$89,5,0)</f>
        <v>13.306229347516966</v>
      </c>
      <c r="EL16" s="14">
        <f t="shared" si="45"/>
        <v>4.536982112688718</v>
      </c>
      <c r="EM16" s="22">
        <f t="shared" si="19"/>
        <v>31.076926626524898</v>
      </c>
      <c r="EN16" s="62">
        <f t="shared" si="20"/>
        <v>230.61792687814372</v>
      </c>
      <c r="EO16" s="62">
        <f ca="1">AVERAGE(OFFSET($EN$3,0,0,'Données projet'!$E$15+1,1))-AVERAGE(OFFSET($H$3,0,0,'Données projet'!$E$15+1,1))</f>
        <v>296.18088377871669</v>
      </c>
      <c r="EP16" s="62">
        <f t="shared" si="46"/>
        <v>252.23833925792056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2.0940170940170941</v>
      </c>
      <c r="FE16" s="13">
        <f>IF('Données projet'!$A$218&gt;35,FE15+FD16-FM15,IF(A16&lt;'Données projet'!$A$218,$FB$205^A16,IF(A16='Données projet'!$A$218,'Données projet'!$B$218,FE15+FD16-FM15)))</f>
        <v>19.836358597968047</v>
      </c>
      <c r="FF16" s="18">
        <f>FE16*VLOOKUP('Données projet'!$B$16,Paramètres!$A$1:$I$89,3,0)*VLOOKUP('Données projet'!$B$16,Paramètres!$A$1:$I$89,5,0)</f>
        <v>17.019595677056586</v>
      </c>
      <c r="FG16" s="14">
        <f t="shared" si="47"/>
        <v>5.6392170693174748</v>
      </c>
      <c r="FH16" s="22">
        <f t="shared" si="22"/>
        <v>39.464098866601489</v>
      </c>
      <c r="FI16" s="62">
        <f t="shared" si="23"/>
        <v>239.0050991182203</v>
      </c>
      <c r="FJ16" s="62">
        <f ca="1">AVERAGE(OFFSET($FI$3,0,0,'Données projet'!$E$16+1,1))-AVERAGE(OFFSET($H$3,0,0,'Données projet'!$E$16+1,1))</f>
        <v>359.20464555327072</v>
      </c>
      <c r="FK16" s="62">
        <f t="shared" si="48"/>
        <v>305.54154052071863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2.1</v>
      </c>
      <c r="N17" s="14">
        <f>IF('Données projet'!$A$36&gt;35,N16+M17-V16,IF(A17&lt;'Données projet'!$A$36,$K$205^A17,IF(A17='Données projet'!$A$36,'Données projet'!$B$36,N16+M17-V16)))</f>
        <v>13.685935953338433</v>
      </c>
      <c r="O17" s="14">
        <f>N17*VLOOKUP('Données projet'!$B$9,Paramètres!$A$1:$I$89,3,0)*VLOOKUP('Données projet'!$B$9,Paramètres!$A$1:$I$89,5,0)</f>
        <v>13.877539056685173</v>
      </c>
      <c r="P17" s="14">
        <f t="shared" si="33"/>
        <v>4.7086819085950955</v>
      </c>
      <c r="Q17" s="22">
        <f t="shared" si="2"/>
        <v>32.371001514529802</v>
      </c>
      <c r="R17" s="62">
        <f t="shared" si="0"/>
        <v>234.400863286803</v>
      </c>
      <c r="S17" s="62">
        <f ca="1">AVERAGE(OFFSET($R$3,0,0,'Données projet'!$E$9+1,1))-AVERAGE(OFFSET($H$3,0,0,'Données projet'!$E$9+1,1))</f>
        <v>516.30971934066179</v>
      </c>
      <c r="T17" s="62">
        <f t="shared" si="34"/>
        <v>290.84286505723571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14.731541460173487</v>
      </c>
      <c r="AK17" s="14">
        <f t="shared" si="35"/>
        <v>4.9638216355053304</v>
      </c>
      <c r="AL17" s="22">
        <f t="shared" si="4"/>
        <v>34.302757391640604</v>
      </c>
      <c r="AM17" s="62">
        <f t="shared" si="5"/>
        <v>236.33261916391379</v>
      </c>
      <c r="AN17" s="62">
        <f ca="1">AVERAGE(OFFSET($AM$3,0,0,'Données projet'!$E$10+1,1))-AVERAGE(OFFSET($H$3,0,0,'Données projet'!$E$10+1,1))</f>
        <v>542.90832990875208</v>
      </c>
      <c r="AO17" s="62">
        <f t="shared" si="36"/>
        <v>304.94365539329362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13.237037254068934</v>
      </c>
      <c r="BF17" s="14">
        <f t="shared" si="37"/>
        <v>4.5161297192961545</v>
      </c>
      <c r="BG17" s="22">
        <f t="shared" si="7"/>
        <v>30.920099145277529</v>
      </c>
      <c r="BH17" s="62">
        <f t="shared" si="8"/>
        <v>232.94996091755073</v>
      </c>
      <c r="BI17" s="62">
        <f ca="1">AVERAGE(OFFSET($BH$3,0,0,'Données projet'!$E$11+1,1))-AVERAGE(OFFSET($H$3,0,0,'Données projet'!$E$11+1,1))</f>
        <v>496.33873798282525</v>
      </c>
      <c r="BJ17" s="62">
        <f t="shared" si="38"/>
        <v>280.25465074992246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0.59333333333333338</v>
      </c>
      <c r="BY17" s="13">
        <f>IF('Données projet'!$A$114&gt;35,BY16+BX17-CG16,IF(A17&lt;'Données projet'!$A$114,$BV$205^A17,IF(A17='Données projet'!$A$114,'Données projet'!$B$114,BY16+BX17-CG16)))</f>
        <v>7.6930284678357443</v>
      </c>
      <c r="BZ17" s="14">
        <f>BY17*VLOOKUP('Données projet'!$B$12,Paramètres!$A$1:$I$89,3,0)*VLOOKUP('Données projet'!$B$12,Paramètres!$A$1:$I$89,5,0)</f>
        <v>6.7206296695013066</v>
      </c>
      <c r="CA17" s="14">
        <f t="shared" si="39"/>
        <v>2.4811413684356656</v>
      </c>
      <c r="CB17" s="22">
        <f t="shared" si="10"/>
        <v>16.02641789107356</v>
      </c>
      <c r="CC17" s="62">
        <f t="shared" si="11"/>
        <v>218.05627966334674</v>
      </c>
      <c r="CD17" s="62">
        <f ca="1">AVERAGE(OFFSET($CC$3,0,0,'Données projet'!$E$12+1,1))-AVERAGE(OFFSET($H$3,0,0,'Données projet'!$E$12+1,1))</f>
        <v>298.28891728374822</v>
      </c>
      <c r="CE17" s="62">
        <f t="shared" si="40"/>
        <v>275.07405533331371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4.3703703703703702</v>
      </c>
      <c r="CT17" s="13">
        <f>IF('Données projet'!$A$140&gt;35,CT16+CS17-DB16,IF(A17&lt;'Données projet'!$A$140,$CQ$205^A17,IF(A17='Données projet'!$A$140,'Données projet'!$B$140,CT16+CS17-DB16)))</f>
        <v>11.866132377366407</v>
      </c>
      <c r="CU17" s="18">
        <f>CT17*VLOOKUP('Données projet'!$B$13,Paramètres!$A$1:$I$89,3,0)*VLOOKUP('Données projet'!$B$13,Paramètres!$A$1:$I$89,5,0)</f>
        <v>7.0959471616651122</v>
      </c>
      <c r="CV17" s="14">
        <f t="shared" si="41"/>
        <v>2.6031837849951125</v>
      </c>
      <c r="CW17" s="22">
        <f t="shared" si="13"/>
        <v>16.892653065433223</v>
      </c>
      <c r="CX17" s="62">
        <f t="shared" si="14"/>
        <v>218.92251483770642</v>
      </c>
      <c r="CY17" s="62">
        <f ca="1">AVERAGE(OFFSET($CX$3,0,0,'Données projet'!$E$13+1,1))-AVERAGE(OFFSET($H$3,0,0,'Données projet'!$E$13+1,1))</f>
        <v>320.46614113586043</v>
      </c>
      <c r="CZ17" s="62">
        <f t="shared" si="42"/>
        <v>250.7806929924491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0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0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1.4</v>
      </c>
      <c r="DO17" s="13">
        <f>IF('Données projet'!$A$166&gt;35,DO16+DN17-DW16,IF(A17&lt;'Données projet'!$A$166,$DL$205^A17,IF(A17='Données projet'!$A$166,'Données projet'!$B$166,DO16+DN17-DW16)))</f>
        <v>10.304113218507704</v>
      </c>
      <c r="DP17" s="18">
        <f>DO17*VLOOKUP('Données projet'!$B$14,Paramètres!$A$1:$I$89,3,0)*VLOOKUP('Données projet'!$B$14,Paramètres!$A$1:$I$89,5,0)</f>
        <v>4.8223249862616049</v>
      </c>
      <c r="DQ17" s="14">
        <f t="shared" si="43"/>
        <v>1.8504505600260996</v>
      </c>
      <c r="DR17" s="22">
        <f t="shared" si="16"/>
        <v>11.621750743117751</v>
      </c>
      <c r="DS17" s="62">
        <f t="shared" si="17"/>
        <v>213.65161251539095</v>
      </c>
      <c r="DT17" s="62">
        <f ca="1">AVERAGE(OFFSET($DS$3,0,0,'Données projet'!$E$14+1,1))-AVERAGE(OFFSET($H$3,0,0,'Données projet'!$E$14+1,1))</f>
        <v>429.87867712133851</v>
      </c>
      <c r="DU17" s="62">
        <f t="shared" si="44"/>
        <v>182.81277865988014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2.0940170940170941</v>
      </c>
      <c r="EJ17" s="13">
        <f>IF('Données projet'!$A$192&gt;35,EJ16+EI17-ER16,IF(A17&lt;'Données projet'!$A$192,$EG$205^A17,IF(A17='Données projet'!$A$192,'Données projet'!$B$192,EJ16+EI17-ER16)))</f>
        <v>24.961272199308482</v>
      </c>
      <c r="EK17" s="18">
        <f>EJ17*VLOOKUP('Données projet'!$B$15,Paramètres!$A$1:$I$89,3,0)*VLOOKUP('Données projet'!$B$15,Paramètres!$A$1:$I$89,5,0)</f>
        <v>16.74402139129613</v>
      </c>
      <c r="EL17" s="14">
        <f t="shared" si="45"/>
        <v>5.5584609351317997</v>
      </c>
      <c r="EM17" s="22">
        <f t="shared" si="19"/>
        <v>38.84349005186197</v>
      </c>
      <c r="EN17" s="62">
        <f t="shared" si="20"/>
        <v>240.87335182413517</v>
      </c>
      <c r="EO17" s="62">
        <f ca="1">AVERAGE(OFFSET($EN$3,0,0,'Données projet'!$E$15+1,1))-AVERAGE(OFFSET($H$3,0,0,'Données projet'!$E$15+1,1))</f>
        <v>296.18088377871669</v>
      </c>
      <c r="EP17" s="62">
        <f t="shared" si="46"/>
        <v>252.23833925792056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2.0940170940170941</v>
      </c>
      <c r="FE17" s="13">
        <f>IF('Données projet'!$A$218&gt;35,FE16+FD17-FM16,IF(A17&lt;'Données projet'!$A$218,$FB$205^A17,IF(A17='Données projet'!$A$218,'Données projet'!$B$218,FE16+FD17-FM16)))</f>
        <v>24.961272199308482</v>
      </c>
      <c r="FF17" s="18">
        <f>FE17*VLOOKUP('Données projet'!$B$16,Paramètres!$A$1:$I$89,3,0)*VLOOKUP('Données projet'!$B$16,Paramètres!$A$1:$I$89,5,0)</f>
        <v>21.416771547006682</v>
      </c>
      <c r="FG17" s="14">
        <f t="shared" si="47"/>
        <v>6.9088585773492603</v>
      </c>
      <c r="FH17" s="22">
        <f t="shared" si="22"/>
        <v>49.333805799919929</v>
      </c>
      <c r="FI17" s="62">
        <f t="shared" si="23"/>
        <v>251.36366757219312</v>
      </c>
      <c r="FJ17" s="62">
        <f ca="1">AVERAGE(OFFSET($FI$3,0,0,'Données projet'!$E$16+1,1))-AVERAGE(OFFSET($H$3,0,0,'Données projet'!$E$16+1,1))</f>
        <v>359.20464555327072</v>
      </c>
      <c r="FK17" s="62">
        <f t="shared" si="48"/>
        <v>305.54154052071863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2.1</v>
      </c>
      <c r="N18" s="14">
        <f>IF('Données projet'!$A$36&gt;35,N17+M18-V17,IF(A18&lt;'Données projet'!$A$36,$K$205^A18,IF(A18='Données projet'!$A$36,'Données projet'!$B$36,N17+M18-V17)))</f>
        <v>16.498215337821566</v>
      </c>
      <c r="O18" s="14">
        <f>N18*VLOOKUP('Données projet'!$B$9,Paramètres!$A$1:$I$89,3,0)*VLOOKUP('Données projet'!$B$9,Paramètres!$A$1:$I$89,5,0)</f>
        <v>16.729190352551068</v>
      </c>
      <c r="P18" s="14">
        <f t="shared" si="33"/>
        <v>5.5541103821765283</v>
      </c>
      <c r="Q18" s="22">
        <f t="shared" si="2"/>
        <v>38.810082112983899</v>
      </c>
      <c r="R18" s="62">
        <f t="shared" si="0"/>
        <v>243.30683204586495</v>
      </c>
      <c r="S18" s="62">
        <f ca="1">AVERAGE(OFFSET($R$3,0,0,'Données projet'!$E$9+1,1))-AVERAGE(OFFSET($H$3,0,0,'Données projet'!$E$9+1,1))</f>
        <v>516.30971934066179</v>
      </c>
      <c r="T18" s="62">
        <f t="shared" si="34"/>
        <v>290.84286505723571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17.758678989631132</v>
      </c>
      <c r="AK18" s="14">
        <f t="shared" si="35"/>
        <v>5.8550596146042126</v>
      </c>
      <c r="AL18" s="22">
        <f t="shared" si="4"/>
        <v>41.127261402376554</v>
      </c>
      <c r="AM18" s="62">
        <f t="shared" si="5"/>
        <v>245.62401133525759</v>
      </c>
      <c r="AN18" s="62">
        <f ca="1">AVERAGE(OFFSET($AM$3,0,0,'Données projet'!$E$10+1,1))-AVERAGE(OFFSET($H$3,0,0,'Données projet'!$E$10+1,1))</f>
        <v>542.90832990875208</v>
      </c>
      <c r="AO18" s="62">
        <f t="shared" si="36"/>
        <v>304.94365539329362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15.957073874741019</v>
      </c>
      <c r="BF18" s="14">
        <f t="shared" si="37"/>
        <v>5.3269860755326848</v>
      </c>
      <c r="BG18" s="22">
        <f t="shared" si="7"/>
        <v>37.069737746726702</v>
      </c>
      <c r="BH18" s="62">
        <f t="shared" si="8"/>
        <v>241.56648767960775</v>
      </c>
      <c r="BI18" s="62">
        <f ca="1">AVERAGE(OFFSET($BH$3,0,0,'Données projet'!$E$11+1,1))-AVERAGE(OFFSET($H$3,0,0,'Données projet'!$E$11+1,1))</f>
        <v>496.33873798282525</v>
      </c>
      <c r="BJ18" s="62">
        <f t="shared" si="38"/>
        <v>280.25465074992246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>
        <f>VLOOKUP(A18,'Données projet'!$A$113:$I$133,2,0)</f>
        <v>8.9</v>
      </c>
      <c r="BW18" s="13">
        <f>VLOOKUP(A18,'Données projet'!$A$113:$I$133,9,0)</f>
        <v>0.59333333333333338</v>
      </c>
      <c r="BX18" s="13">
        <f t="array" ref="BX18">INDEX(BW:BW,MIN(IF(ISNUMBER(BW18:BW214),ROW(BW18:BW214),"")))</f>
        <v>0.59333333333333338</v>
      </c>
      <c r="BY18" s="13">
        <f>IF('Données projet'!$A$114&gt;35,BY17+BX18-CG17,IF(A18&lt;'Données projet'!$A$114,$BV$205^A18,IF(A18='Données projet'!$A$114,'Données projet'!$B$114,BY17+BX18-CG17)))</f>
        <v>8.9</v>
      </c>
      <c r="BZ18" s="14">
        <f>BY18*VLOOKUP('Données projet'!$B$12,Paramètres!$A$1:$I$89,3,0)*VLOOKUP('Données projet'!$B$12,Paramètres!$A$1:$I$89,5,0)</f>
        <v>7.7750400000000015</v>
      </c>
      <c r="CA18" s="14">
        <f t="shared" si="39"/>
        <v>2.8221293181675109</v>
      </c>
      <c r="CB18" s="22">
        <f t="shared" si="10"/>
        <v>18.456736562475083</v>
      </c>
      <c r="CC18" s="62">
        <f t="shared" si="11"/>
        <v>222.95348649535612</v>
      </c>
      <c r="CD18" s="62">
        <f ca="1">AVERAGE(OFFSET($CC$3,0,0,'Données projet'!$E$12+1,1))-AVERAGE(OFFSET($H$3,0,0,'Données projet'!$E$12+1,1))</f>
        <v>298.28891728374822</v>
      </c>
      <c r="CE18" s="62">
        <f t="shared" si="40"/>
        <v>275.07405533331371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4.3703703703703702</v>
      </c>
      <c r="CT18" s="13">
        <f>IF('Données projet'!$A$140&gt;35,CT17+CS18-DB17,IF(A18&lt;'Données projet'!$A$140,$CQ$205^A18,IF(A18='Données projet'!$A$140,'Données projet'!$B$140,CT17+CS18-DB17)))</f>
        <v>14.159423114374338</v>
      </c>
      <c r="CU18" s="18">
        <f>CT18*VLOOKUP('Données projet'!$B$13,Paramètres!$A$1:$I$89,3,0)*VLOOKUP('Données projet'!$B$13,Paramètres!$A$1:$I$89,5,0)</f>
        <v>8.4673350223958543</v>
      </c>
      <c r="CV18" s="14">
        <f t="shared" si="41"/>
        <v>3.0430499948027987</v>
      </c>
      <c r="CW18" s="22">
        <f t="shared" si="13"/>
        <v>20.047253904954317</v>
      </c>
      <c r="CX18" s="62">
        <f t="shared" si="14"/>
        <v>224.54400383783536</v>
      </c>
      <c r="CY18" s="62">
        <f ca="1">AVERAGE(OFFSET($CX$3,0,0,'Données projet'!$E$13+1,1))-AVERAGE(OFFSET($H$3,0,0,'Données projet'!$E$13+1,1))</f>
        <v>320.46614113586043</v>
      </c>
      <c r="CZ18" s="62">
        <f t="shared" si="42"/>
        <v>250.7806929924491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0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0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1.4</v>
      </c>
      <c r="DO18" s="13">
        <f>IF('Données projet'!$A$166&gt;35,DO17+DN18-DW17,IF(A18&lt;'Données projet'!$A$166,$DL$205^A18,IF(A18='Données projet'!$A$166,'Données projet'!$B$166,DO17+DN18-DW17)))</f>
        <v>12.172184414459773</v>
      </c>
      <c r="DP18" s="18">
        <f>DO18*VLOOKUP('Données projet'!$B$14,Paramètres!$A$1:$I$89,3,0)*VLOOKUP('Données projet'!$B$14,Paramètres!$A$1:$I$89,5,0)</f>
        <v>5.6965823059671736</v>
      </c>
      <c r="DQ18" s="14">
        <f t="shared" si="43"/>
        <v>2.1439414855686696</v>
      </c>
      <c r="DR18" s="22">
        <f t="shared" si="16"/>
        <v>13.655578936924925</v>
      </c>
      <c r="DS18" s="62">
        <f t="shared" si="17"/>
        <v>218.15232886980596</v>
      </c>
      <c r="DT18" s="62">
        <f ca="1">AVERAGE(OFFSET($DS$3,0,0,'Données projet'!$E$14+1,1))-AVERAGE(OFFSET($H$3,0,0,'Données projet'!$E$14+1,1))</f>
        <v>429.87867712133851</v>
      </c>
      <c r="DU18" s="62">
        <f t="shared" si="44"/>
        <v>182.81277865988014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31.410256410256409</v>
      </c>
      <c r="EH18" s="13">
        <f>VLOOKUP(A18,'Données projet'!$A$191:$I$211,9,0)</f>
        <v>2.0940170940170941</v>
      </c>
      <c r="EI18" s="13">
        <f t="array" ref="EI18">INDEX(EH:EH,MIN(IF(ISNUMBER(EH18:EH214),ROW(EH18:EH214),"")))</f>
        <v>2.0940170940170941</v>
      </c>
      <c r="EJ18" s="13">
        <f>IF('Données projet'!$A$192&gt;35,EJ17+EI18-ER17,IF(A18&lt;'Données projet'!$A$192,$EG$205^A18,IF(A18='Données projet'!$A$192,'Données projet'!$B$192,EJ17+EI18-ER17)))</f>
        <v>31.410256410256409</v>
      </c>
      <c r="EK18" s="18">
        <f>EJ18*VLOOKUP('Données projet'!$B$15,Paramètres!$A$1:$I$89,3,0)*VLOOKUP('Données projet'!$B$15,Paramètres!$A$1:$I$89,5,0)</f>
        <v>21.07</v>
      </c>
      <c r="EL18" s="14">
        <f t="shared" si="45"/>
        <v>6.8099206036050086</v>
      </c>
      <c r="EM18" s="22">
        <f t="shared" si="19"/>
        <v>48.557528384612056</v>
      </c>
      <c r="EN18" s="62">
        <f t="shared" si="20"/>
        <v>253.0542783174931</v>
      </c>
      <c r="EO18" s="62">
        <f ca="1">AVERAGE(OFFSET($EN$3,0,0,'Données projet'!$E$15+1,1))-AVERAGE(OFFSET($H$3,0,0,'Données projet'!$E$15+1,1))</f>
        <v>296.18088377871669</v>
      </c>
      <c r="EP18" s="62">
        <f t="shared" si="46"/>
        <v>252.23833925792056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31.410256410256409</v>
      </c>
      <c r="FC18" s="13">
        <f>VLOOKUP(A18,'Données projet'!$A$217:$I$237,9,0)</f>
        <v>2.0940170940170941</v>
      </c>
      <c r="FD18" s="13">
        <f t="array" ref="FD18">INDEX(FC:FC,MIN(IF(ISNUMBER(FC18:FC214),ROW(FC18:FC214),"")))</f>
        <v>2.0940170940170941</v>
      </c>
      <c r="FE18" s="13">
        <f>IF('Données projet'!$A$218&gt;35,FE17+FD18-FM17,IF(A18&lt;'Données projet'!$A$218,$FB$205^A18,IF(A18='Données projet'!$A$218,'Données projet'!$B$218,FE17+FD18-FM17)))</f>
        <v>31.410256410256409</v>
      </c>
      <c r="FF18" s="18">
        <f>FE18*VLOOKUP('Données projet'!$B$16,Paramètres!$A$1:$I$89,3,0)*VLOOKUP('Données projet'!$B$16,Paramètres!$A$1:$I$89,5,0)</f>
        <v>26.95</v>
      </c>
      <c r="FG18" s="14">
        <f t="shared" si="47"/>
        <v>8.4643535184201717</v>
      </c>
      <c r="FH18" s="22">
        <f t="shared" si="22"/>
        <v>61.679999044581791</v>
      </c>
      <c r="FI18" s="62">
        <f t="shared" si="23"/>
        <v>266.17674897746281</v>
      </c>
      <c r="FJ18" s="62">
        <f ca="1">AVERAGE(OFFSET($FI$3,0,0,'Données projet'!$E$16+1,1))-AVERAGE(OFFSET($H$3,0,0,'Données projet'!$E$16+1,1))</f>
        <v>359.20464555327072</v>
      </c>
      <c r="FK18" s="62">
        <f t="shared" si="48"/>
        <v>305.54154052071863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2.1</v>
      </c>
      <c r="N19" s="14">
        <f>IF('Données projet'!$A$36&gt;35,N18+M19-V18,IF(A19&lt;'Données projet'!$A$36,$K$205^A19,IF(A19='Données projet'!$A$36,'Données projet'!$B$36,N18+M19-V18)))</f>
        <v>19.888381054913147</v>
      </c>
      <c r="O19" s="14">
        <f>N19*VLOOKUP('Données projet'!$B$9,Paramètres!$A$1:$I$89,3,0)*VLOOKUP('Données projet'!$B$9,Paramètres!$A$1:$I$89,5,0)</f>
        <v>20.166818389681932</v>
      </c>
      <c r="P19" s="14">
        <f t="shared" si="33"/>
        <v>6.5513327797938032</v>
      </c>
      <c r="Q19" s="22">
        <f t="shared" si="2"/>
        <v>46.534113286836906</v>
      </c>
      <c r="R19" s="62">
        <f t="shared" si="0"/>
        <v>253.47615920895097</v>
      </c>
      <c r="S19" s="62">
        <f ca="1">AVERAGE(OFFSET($R$3,0,0,'Données projet'!$E$9+1,1))-AVERAGE(OFFSET($H$3,0,0,'Données projet'!$E$9+1,1))</f>
        <v>516.30971934066179</v>
      </c>
      <c r="T19" s="62">
        <f t="shared" si="34"/>
        <v>290.84286505723571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21.407853367508512</v>
      </c>
      <c r="AK19" s="14">
        <f t="shared" si="35"/>
        <v>6.906316464991046</v>
      </c>
      <c r="AL19" s="22">
        <f t="shared" si="4"/>
        <v>49.313845791603399</v>
      </c>
      <c r="AM19" s="62">
        <f t="shared" si="5"/>
        <v>256.25589171371746</v>
      </c>
      <c r="AN19" s="62">
        <f ca="1">AVERAGE(OFFSET($AM$3,0,0,'Données projet'!$E$10+1,1))-AVERAGE(OFFSET($H$3,0,0,'Données projet'!$E$10+1,1))</f>
        <v>542.90832990875208</v>
      </c>
      <c r="AO19" s="62">
        <f t="shared" si="36"/>
        <v>304.94365539329362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19.236042156311996</v>
      </c>
      <c r="BF19" s="14">
        <f t="shared" si="37"/>
        <v>6.2834290449348904</v>
      </c>
      <c r="BG19" s="22">
        <f t="shared" si="7"/>
        <v>44.446412342171662</v>
      </c>
      <c r="BH19" s="62">
        <f t="shared" si="8"/>
        <v>251.38845826428573</v>
      </c>
      <c r="BI19" s="62">
        <f ca="1">AVERAGE(OFFSET($BH$3,0,0,'Données projet'!$E$11+1,1))-AVERAGE(OFFSET($H$3,0,0,'Données projet'!$E$11+1,1))</f>
        <v>496.33873798282525</v>
      </c>
      <c r="BJ19" s="62">
        <f t="shared" si="38"/>
        <v>280.25465074992246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9.56</v>
      </c>
      <c r="BY19" s="13">
        <f>IF('Données projet'!$A$114&gt;35,BY18+BX19-CG18,IF(A19&lt;'Données projet'!$A$114,$BV$205^A19,IF(A19='Données projet'!$A$114,'Données projet'!$B$114,BY18+BX19-CG18)))</f>
        <v>18.46</v>
      </c>
      <c r="BZ19" s="14">
        <f>BY19*VLOOKUP('Données projet'!$B$12,Paramètres!$A$1:$I$89,3,0)*VLOOKUP('Données projet'!$B$12,Paramètres!$A$1:$I$89,5,0)</f>
        <v>16.126656000000004</v>
      </c>
      <c r="CA19" s="14">
        <f t="shared" si="39"/>
        <v>5.3769776072289268</v>
      </c>
      <c r="CB19" s="22">
        <f t="shared" si="10"/>
        <v>37.452161865923721</v>
      </c>
      <c r="CC19" s="62">
        <f t="shared" si="11"/>
        <v>244.39420778803779</v>
      </c>
      <c r="CD19" s="62">
        <f ca="1">AVERAGE(OFFSET($CC$3,0,0,'Données projet'!$E$12+1,1))-AVERAGE(OFFSET($H$3,0,0,'Données projet'!$E$12+1,1))</f>
        <v>298.28891728374822</v>
      </c>
      <c r="CE19" s="62">
        <f t="shared" si="40"/>
        <v>275.07405533331371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4.3703703703703702</v>
      </c>
      <c r="CT19" s="13">
        <f>IF('Données projet'!$A$140&gt;35,CT18+CS19-DB18,IF(A19&lt;'Données projet'!$A$140,$CQ$205^A19,IF(A19='Données projet'!$A$140,'Données projet'!$B$140,CT18+CS19-DB18)))</f>
        <v>16.895923335078734</v>
      </c>
      <c r="CU19" s="18">
        <f>CT19*VLOOKUP('Données projet'!$B$13,Paramètres!$A$1:$I$89,3,0)*VLOOKUP('Données projet'!$B$13,Paramètres!$A$1:$I$89,5,0)</f>
        <v>10.103762154377083</v>
      </c>
      <c r="CV19" s="14">
        <f t="shared" si="41"/>
        <v>3.5572414534253478</v>
      </c>
      <c r="CW19" s="22">
        <f t="shared" si="13"/>
        <v>23.79291461692257</v>
      </c>
      <c r="CX19" s="62">
        <f t="shared" si="14"/>
        <v>230.73496053903662</v>
      </c>
      <c r="CY19" s="62">
        <f ca="1">AVERAGE(OFFSET($CX$3,0,0,'Données projet'!$E$13+1,1))-AVERAGE(OFFSET($H$3,0,0,'Données projet'!$E$13+1,1))</f>
        <v>320.46614113586043</v>
      </c>
      <c r="CZ19" s="62">
        <f t="shared" si="42"/>
        <v>250.7806929924491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0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0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1.4</v>
      </c>
      <c r="DO19" s="13">
        <f>IF('Données projet'!$A$166&gt;35,DO18+DN19-DW18,IF(A19&lt;'Données projet'!$A$166,$DL$205^A19,IF(A19='Données projet'!$A$166,'Données projet'!$B$166,DO18+DN19-DW18)))</f>
        <v>14.378925219250942</v>
      </c>
      <c r="DP19" s="18">
        <f>DO19*VLOOKUP('Données projet'!$B$14,Paramètres!$A$1:$I$89,3,0)*VLOOKUP('Données projet'!$B$14,Paramètres!$A$1:$I$89,5,0)</f>
        <v>6.7293370026094408</v>
      </c>
      <c r="DQ19" s="14">
        <f t="shared" si="43"/>
        <v>2.4839815733728994</v>
      </c>
      <c r="DR19" s="22">
        <f t="shared" si="16"/>
        <v>16.04652985316924</v>
      </c>
      <c r="DS19" s="62">
        <f t="shared" si="17"/>
        <v>222.98857577528329</v>
      </c>
      <c r="DT19" s="62">
        <f ca="1">AVERAGE(OFFSET($DS$3,0,0,'Données projet'!$E$14+1,1))-AVERAGE(OFFSET($H$3,0,0,'Données projet'!$E$14+1,1))</f>
        <v>429.87867712133851</v>
      </c>
      <c r="DU19" s="62">
        <f t="shared" si="44"/>
        <v>182.81277865988014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6.2820512820512819</v>
      </c>
      <c r="EJ19" s="13">
        <f>IF('Données projet'!$A$192&gt;35,EJ18+EI19-ER18,IF(A19&lt;'Données projet'!$A$192,$EG$205^A19,IF(A19='Données projet'!$A$192,'Données projet'!$B$192,EJ18+EI19-ER18)))</f>
        <v>37.692307692307693</v>
      </c>
      <c r="EK19" s="18">
        <f>EJ19*VLOOKUP('Données projet'!$B$15,Paramètres!$A$1:$I$89,3,0)*VLOOKUP('Données projet'!$B$15,Paramètres!$A$1:$I$89,5,0)</f>
        <v>25.284000000000002</v>
      </c>
      <c r="EL19" s="14">
        <f t="shared" si="45"/>
        <v>8.0003059834643206</v>
      </c>
      <c r="EM19" s="22">
        <f t="shared" si="19"/>
        <v>57.970166254533687</v>
      </c>
      <c r="EN19" s="62">
        <f t="shared" si="20"/>
        <v>264.91221217664776</v>
      </c>
      <c r="EO19" s="62">
        <f ca="1">AVERAGE(OFFSET($EN$3,0,0,'Données projet'!$E$15+1,1))-AVERAGE(OFFSET($H$3,0,0,'Données projet'!$E$15+1,1))</f>
        <v>296.18088377871669</v>
      </c>
      <c r="EP19" s="62">
        <f t="shared" si="46"/>
        <v>252.23833925792056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6.2820512820512819</v>
      </c>
      <c r="FE19" s="13">
        <f>IF('Données projet'!$A$218&gt;35,FE18+FD19-FM18,IF(A19&lt;'Données projet'!$A$218,$FB$205^A19,IF(A19='Données projet'!$A$218,'Données projet'!$B$218,FE18+FD19-FM18)))</f>
        <v>37.692307692307693</v>
      </c>
      <c r="FF19" s="18">
        <f>FE19*VLOOKUP('Données projet'!$B$16,Paramètres!$A$1:$I$89,3,0)*VLOOKUP('Données projet'!$B$16,Paramètres!$A$1:$I$89,5,0)</f>
        <v>32.340000000000003</v>
      </c>
      <c r="FG19" s="14">
        <f t="shared" si="47"/>
        <v>9.9439365069434373</v>
      </c>
      <c r="FH19" s="22">
        <f t="shared" si="22"/>
        <v>73.64452274959315</v>
      </c>
      <c r="FI19" s="62">
        <f t="shared" si="23"/>
        <v>280.5865686717072</v>
      </c>
      <c r="FJ19" s="62">
        <f ca="1">AVERAGE(OFFSET($FI$3,0,0,'Données projet'!$E$16+1,1))-AVERAGE(OFFSET($H$3,0,0,'Données projet'!$E$16+1,1))</f>
        <v>359.20464555327072</v>
      </c>
      <c r="FK19" s="62">
        <f t="shared" si="48"/>
        <v>305.54154052071863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2.1</v>
      </c>
      <c r="N20" s="14">
        <f>IF('Données projet'!$A$36&gt;35,N19+M20-V19,IF(A20&lt;'Données projet'!$A$36,$K$205^A20,IF(A20='Données projet'!$A$36,'Données projet'!$B$36,N19+M20-V19)))</f>
        <v>23.975181126327602</v>
      </c>
      <c r="O20" s="14">
        <f>N20*VLOOKUP('Données projet'!$B$9,Paramètres!$A$1:$I$89,3,0)*VLOOKUP('Données projet'!$B$9,Paramètres!$A$1:$I$89,5,0)</f>
        <v>24.31083366209619</v>
      </c>
      <c r="P20" s="14">
        <f t="shared" si="33"/>
        <v>7.7276032052466093</v>
      </c>
      <c r="Q20" s="22">
        <f t="shared" si="2"/>
        <v>55.800277543955367</v>
      </c>
      <c r="R20" s="62">
        <f t="shared" si="0"/>
        <v>265.16640185982811</v>
      </c>
      <c r="S20" s="62">
        <f ca="1">AVERAGE(OFFSET($R$3,0,0,'Données projet'!$E$9+1,1))-AVERAGE(OFFSET($H$3,0,0,'Données projet'!$E$9+1,1))</f>
        <v>516.30971934066179</v>
      </c>
      <c r="T20" s="62">
        <f t="shared" si="34"/>
        <v>290.84286505723571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25.80688496437903</v>
      </c>
      <c r="AK20" s="14">
        <f t="shared" si="35"/>
        <v>8.146323052908933</v>
      </c>
      <c r="AL20" s="22">
        <f t="shared" si="4"/>
        <v>59.135170630109862</v>
      </c>
      <c r="AM20" s="62">
        <f t="shared" si="5"/>
        <v>268.50129494598258</v>
      </c>
      <c r="AN20" s="62">
        <f ca="1">AVERAGE(OFFSET($AM$3,0,0,'Données projet'!$E$10+1,1))-AVERAGE(OFFSET($H$3,0,0,'Données projet'!$E$10+1,1))</f>
        <v>542.90832990875208</v>
      </c>
      <c r="AO20" s="62">
        <f t="shared" si="36"/>
        <v>304.94365539329362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23.188795185384055</v>
      </c>
      <c r="BF20" s="14">
        <f t="shared" si="37"/>
        <v>7.4115982288884323</v>
      </c>
      <c r="BG20" s="22">
        <f t="shared" si="7"/>
        <v>53.29568519652458</v>
      </c>
      <c r="BH20" s="62">
        <f t="shared" si="8"/>
        <v>262.66180951239733</v>
      </c>
      <c r="BI20" s="62">
        <f ca="1">AVERAGE(OFFSET($BH$3,0,0,'Données projet'!$E$11+1,1))-AVERAGE(OFFSET($H$3,0,0,'Données projet'!$E$11+1,1))</f>
        <v>496.33873798282525</v>
      </c>
      <c r="BJ20" s="62">
        <f t="shared" si="38"/>
        <v>280.25465074992246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9.56</v>
      </c>
      <c r="BY20" s="13">
        <f>IF('Données projet'!$A$114&gt;35,BY19+BX20-CG19,IF(A20&lt;'Données projet'!$A$114,$BV$205^A20,IF(A20='Données projet'!$A$114,'Données projet'!$B$114,BY19+BX20-CG19)))</f>
        <v>28.020000000000003</v>
      </c>
      <c r="BZ20" s="14">
        <f>BY20*VLOOKUP('Données projet'!$B$12,Paramètres!$A$1:$I$89,3,0)*VLOOKUP('Données projet'!$B$12,Paramètres!$A$1:$I$89,5,0)</f>
        <v>24.478272000000008</v>
      </c>
      <c r="CA20" s="14">
        <f t="shared" si="39"/>
        <v>7.7746123010725245</v>
      </c>
      <c r="CB20" s="22">
        <f t="shared" si="10"/>
        <v>56.173773491034659</v>
      </c>
      <c r="CC20" s="62">
        <f t="shared" si="11"/>
        <v>265.53989780690739</v>
      </c>
      <c r="CD20" s="62">
        <f ca="1">AVERAGE(OFFSET($CC$3,0,0,'Données projet'!$E$12+1,1))-AVERAGE(OFFSET($H$3,0,0,'Données projet'!$E$12+1,1))</f>
        <v>298.28891728374822</v>
      </c>
      <c r="CE20" s="62">
        <f t="shared" si="40"/>
        <v>275.07405533331371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4.3703703703703702</v>
      </c>
      <c r="CT20" s="13">
        <f>IF('Données projet'!$A$140&gt;35,CT19+CS20-DB19,IF(A20&lt;'Données projet'!$A$140,$CQ$205^A20,IF(A20='Données projet'!$A$140,'Données projet'!$B$140,CT19+CS20-DB19)))</f>
        <v>20.161289272799031</v>
      </c>
      <c r="CU20" s="18">
        <f>CT20*VLOOKUP('Données projet'!$B$13,Paramètres!$A$1:$I$89,3,0)*VLOOKUP('Données projet'!$B$13,Paramètres!$A$1:$I$89,5,0)</f>
        <v>12.056450985133822</v>
      </c>
      <c r="CV20" s="14">
        <f t="shared" si="41"/>
        <v>4.1583170764789594</v>
      </c>
      <c r="CW20" s="22">
        <f t="shared" si="13"/>
        <v>28.240721040642256</v>
      </c>
      <c r="CX20" s="62">
        <f t="shared" si="14"/>
        <v>237.60684535651498</v>
      </c>
      <c r="CY20" s="62">
        <f ca="1">AVERAGE(OFFSET($CX$3,0,0,'Données projet'!$E$13+1,1))-AVERAGE(OFFSET($H$3,0,0,'Données projet'!$E$13+1,1))</f>
        <v>320.46614113586043</v>
      </c>
      <c r="CZ20" s="62">
        <f t="shared" si="42"/>
        <v>250.7806929924491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0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0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1.4</v>
      </c>
      <c r="DO20" s="13">
        <f>IF('Données projet'!$A$166&gt;35,DO19+DN20-DW19,IF(A20&lt;'Données projet'!$A$166,$DL$205^A20,IF(A20='Données projet'!$A$166,'Données projet'!$B$166,DO19+DN20-DW19)))</f>
        <v>16.985734312010656</v>
      </c>
      <c r="DP20" s="18">
        <f>DO20*VLOOKUP('Données projet'!$B$14,Paramètres!$A$1:$I$89,3,0)*VLOOKUP('Données projet'!$B$14,Paramètres!$A$1:$I$89,5,0)</f>
        <v>7.9493236580209867</v>
      </c>
      <c r="DQ20" s="14">
        <f t="shared" si="43"/>
        <v>2.8779537587144066</v>
      </c>
      <c r="DR20" s="22">
        <f t="shared" si="16"/>
        <v>18.857508167480809</v>
      </c>
      <c r="DS20" s="62">
        <f t="shared" si="17"/>
        <v>228.22363248335353</v>
      </c>
      <c r="DT20" s="62">
        <f ca="1">AVERAGE(OFFSET($DS$3,0,0,'Données projet'!$E$14+1,1))-AVERAGE(OFFSET($H$3,0,0,'Données projet'!$E$14+1,1))</f>
        <v>429.87867712133851</v>
      </c>
      <c r="DU20" s="62">
        <f t="shared" si="44"/>
        <v>182.81277865988014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6.2820512820512819</v>
      </c>
      <c r="EJ20" s="13">
        <f>IF('Données projet'!$A$192&gt;35,EJ19+EI20-ER19,IF(A20&lt;'Données projet'!$A$192,$EG$205^A20,IF(A20='Données projet'!$A$192,'Données projet'!$B$192,EJ19+EI20-ER19)))</f>
        <v>43.974358974358978</v>
      </c>
      <c r="EK20" s="18">
        <f>EJ20*VLOOKUP('Données projet'!$B$15,Paramètres!$A$1:$I$89,3,0)*VLOOKUP('Données projet'!$B$15,Paramètres!$A$1:$I$89,5,0)</f>
        <v>29.498000000000005</v>
      </c>
      <c r="EL20" s="14">
        <f t="shared" si="45"/>
        <v>9.1677081835777017</v>
      </c>
      <c r="EM20" s="22">
        <f t="shared" si="19"/>
        <v>67.342775086397836</v>
      </c>
      <c r="EN20" s="62">
        <f t="shared" si="20"/>
        <v>276.70889940227056</v>
      </c>
      <c r="EO20" s="62">
        <f ca="1">AVERAGE(OFFSET($EN$3,0,0,'Données projet'!$E$15+1,1))-AVERAGE(OFFSET($H$3,0,0,'Données projet'!$E$15+1,1))</f>
        <v>296.18088377871669</v>
      </c>
      <c r="EP20" s="62">
        <f t="shared" si="46"/>
        <v>252.23833925792056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6.2820512820512819</v>
      </c>
      <c r="FE20" s="13">
        <f>IF('Données projet'!$A$218&gt;35,FE19+FD20-FM19,IF(A20&lt;'Données projet'!$A$218,$FB$205^A20,IF(A20='Données projet'!$A$218,'Données projet'!$B$218,FE19+FD20-FM19)))</f>
        <v>43.974358974358978</v>
      </c>
      <c r="FF20" s="18">
        <f>FE20*VLOOKUP('Données projet'!$B$16,Paramètres!$A$1:$I$89,3,0)*VLOOKUP('Données projet'!$B$16,Paramètres!$A$1:$I$89,5,0)</f>
        <v>37.730000000000011</v>
      </c>
      <c r="FG20" s="14">
        <f t="shared" si="47"/>
        <v>11.394952678073276</v>
      </c>
      <c r="FH20" s="22">
        <f t="shared" si="22"/>
        <v>85.55929258097764</v>
      </c>
      <c r="FI20" s="62">
        <f t="shared" si="23"/>
        <v>294.92541689685038</v>
      </c>
      <c r="FJ20" s="62">
        <f ca="1">AVERAGE(OFFSET($FI$3,0,0,'Données projet'!$E$16+1,1))-AVERAGE(OFFSET($H$3,0,0,'Données projet'!$E$16+1,1))</f>
        <v>359.20464555327072</v>
      </c>
      <c r="FK20" s="62">
        <f t="shared" si="48"/>
        <v>305.54154052071863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2.1</v>
      </c>
      <c r="N21" s="14">
        <f>IF('Données projet'!$A$36&gt;35,N20+M21-V20,IF(A21&lt;'Données projet'!$A$36,$K$205^A21,IF(A21='Données projet'!$A$36,'Données projet'!$B$36,N20+M21-V20)))</f>
        <v>28.901764726506816</v>
      </c>
      <c r="O21" s="14">
        <f>N21*VLOOKUP('Données projet'!$B$9,Paramètres!$A$1:$I$89,3,0)*VLOOKUP('Données projet'!$B$9,Paramètres!$A$1:$I$89,5,0)</f>
        <v>29.306389432677911</v>
      </c>
      <c r="P21" s="14">
        <f t="shared" si="33"/>
        <v>9.1150691477493808</v>
      </c>
      <c r="Q21" s="22">
        <f t="shared" si="2"/>
        <v>66.917373694244205</v>
      </c>
      <c r="R21" s="62">
        <f t="shared" si="0"/>
        <v>278.6867268862473</v>
      </c>
      <c r="S21" s="62">
        <f ca="1">AVERAGE(OFFSET($R$3,0,0,'Données projet'!$E$9+1,1))-AVERAGE(OFFSET($H$3,0,0,'Données projet'!$E$9+1,1))</f>
        <v>516.30971934066179</v>
      </c>
      <c r="T21" s="62">
        <f t="shared" si="34"/>
        <v>290.84286505723571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31.109859551611933</v>
      </c>
      <c r="AK21" s="14">
        <f t="shared" si="35"/>
        <v>9.6089687778941872</v>
      </c>
      <c r="AL21" s="22">
        <f t="shared" si="4"/>
        <v>70.918626007223153</v>
      </c>
      <c r="AM21" s="62">
        <f t="shared" si="5"/>
        <v>282.68797919922628</v>
      </c>
      <c r="AN21" s="62">
        <f ca="1">AVERAGE(OFFSET($AM$3,0,0,'Données projet'!$E$10+1,1))-AVERAGE(OFFSET($H$3,0,0,'Données projet'!$E$10+1,1))</f>
        <v>542.90832990875208</v>
      </c>
      <c r="AO21" s="62">
        <f t="shared" si="36"/>
        <v>304.94365539329362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27.953786843477392</v>
      </c>
      <c r="BF21" s="14">
        <f t="shared" si="37"/>
        <v>8.7423265089215931</v>
      </c>
      <c r="BG21" s="22">
        <f t="shared" si="7"/>
        <v>63.912397422094891</v>
      </c>
      <c r="BH21" s="62">
        <f t="shared" si="8"/>
        <v>275.68175061409801</v>
      </c>
      <c r="BI21" s="62">
        <f ca="1">AVERAGE(OFFSET($BH$3,0,0,'Données projet'!$E$11+1,1))-AVERAGE(OFFSET($H$3,0,0,'Données projet'!$E$11+1,1))</f>
        <v>496.33873798282525</v>
      </c>
      <c r="BJ21" s="62">
        <f t="shared" si="38"/>
        <v>280.25465074992246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9.56</v>
      </c>
      <c r="BY21" s="13">
        <f>IF('Données projet'!$A$114&gt;35,BY20+BX21-CG20,IF(A21&lt;'Données projet'!$A$114,$BV$205^A21,IF(A21='Données projet'!$A$114,'Données projet'!$B$114,BY20+BX21-CG20)))</f>
        <v>37.580000000000005</v>
      </c>
      <c r="BZ21" s="14">
        <f>BY21*VLOOKUP('Données projet'!$B$12,Paramètres!$A$1:$I$89,3,0)*VLOOKUP('Données projet'!$B$12,Paramètres!$A$1:$I$89,5,0)</f>
        <v>32.829888000000011</v>
      </c>
      <c r="CA21" s="14">
        <f t="shared" si="39"/>
        <v>10.076917609255906</v>
      </c>
      <c r="CB21" s="22">
        <f t="shared" si="10"/>
        <v>74.729353102787385</v>
      </c>
      <c r="CC21" s="62">
        <f t="shared" si="11"/>
        <v>286.49870629479051</v>
      </c>
      <c r="CD21" s="62">
        <f ca="1">AVERAGE(OFFSET($CC$3,0,0,'Données projet'!$E$12+1,1))-AVERAGE(OFFSET($H$3,0,0,'Données projet'!$E$12+1,1))</f>
        <v>298.28891728374822</v>
      </c>
      <c r="CE21" s="62">
        <f t="shared" si="40"/>
        <v>275.07405533331371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4.3703703703703702</v>
      </c>
      <c r="CT21" s="13">
        <f>IF('Données projet'!$A$140&gt;35,CT20+CS21-DB20,IF(A21&lt;'Données projet'!$A$140,$CQ$205^A21,IF(A21='Données projet'!$A$140,'Données projet'!$B$140,CT20+CS21-DB20)))</f>
        <v>24.057731387639919</v>
      </c>
      <c r="CU21" s="18">
        <f>CT21*VLOOKUP('Données projet'!$B$13,Paramètres!$A$1:$I$89,3,0)*VLOOKUP('Données projet'!$B$13,Paramètres!$A$1:$I$89,5,0)</f>
        <v>14.386523369808673</v>
      </c>
      <c r="CV21" s="14">
        <f t="shared" si="41"/>
        <v>4.8609578896833261</v>
      </c>
      <c r="CW21" s="22">
        <f t="shared" si="13"/>
        <v>33.522696526948565</v>
      </c>
      <c r="CX21" s="62">
        <f t="shared" si="14"/>
        <v>245.29204971895166</v>
      </c>
      <c r="CY21" s="62">
        <f ca="1">AVERAGE(OFFSET($CX$3,0,0,'Données projet'!$E$13+1,1))-AVERAGE(OFFSET($H$3,0,0,'Données projet'!$E$13+1,1))</f>
        <v>320.46614113586043</v>
      </c>
      <c r="CZ21" s="62">
        <f t="shared" si="42"/>
        <v>250.7806929924491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0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0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1.4</v>
      </c>
      <c r="DO21" s="13">
        <f>IF('Données projet'!$A$166&gt;35,DO20+DN21-DW20,IF(A21&lt;'Données projet'!$A$166,$DL$205^A21,IF(A21='Données projet'!$A$166,'Données projet'!$B$166,DO20+DN21-DW20)))</f>
        <v>20.065141567879031</v>
      </c>
      <c r="DP21" s="18">
        <f>DO21*VLOOKUP('Données projet'!$B$14,Paramètres!$A$1:$I$89,3,0)*VLOOKUP('Données projet'!$B$14,Paramètres!$A$1:$I$89,5,0)</f>
        <v>9.3904862537673868</v>
      </c>
      <c r="DQ21" s="14">
        <f t="shared" si="43"/>
        <v>3.3344119481738947</v>
      </c>
      <c r="DR21" s="22">
        <f t="shared" si="16"/>
        <v>22.162531035047731</v>
      </c>
      <c r="DS21" s="62">
        <f t="shared" si="17"/>
        <v>233.93188422705083</v>
      </c>
      <c r="DT21" s="62">
        <f ca="1">AVERAGE(OFFSET($DS$3,0,0,'Données projet'!$E$14+1,1))-AVERAGE(OFFSET($H$3,0,0,'Données projet'!$E$14+1,1))</f>
        <v>429.87867712133851</v>
      </c>
      <c r="DU21" s="62">
        <f t="shared" si="44"/>
        <v>182.81277865988014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6.2820512820512819</v>
      </c>
      <c r="EJ21" s="13">
        <f>IF('Données projet'!$A$192&gt;35,EJ20+EI21-ER20,IF(A21&lt;'Données projet'!$A$192,$EG$205^A21,IF(A21='Données projet'!$A$192,'Données projet'!$B$192,EJ20+EI21-ER20)))</f>
        <v>50.256410256410263</v>
      </c>
      <c r="EK21" s="18">
        <f>EJ21*VLOOKUP('Données projet'!$B$15,Paramètres!$A$1:$I$89,3,0)*VLOOKUP('Données projet'!$B$15,Paramètres!$A$1:$I$89,5,0)</f>
        <v>33.712000000000003</v>
      </c>
      <c r="EL21" s="14">
        <f t="shared" si="45"/>
        <v>10.315789350263621</v>
      </c>
      <c r="EM21" s="22">
        <f t="shared" si="19"/>
        <v>76.681733118375817</v>
      </c>
      <c r="EN21" s="62">
        <f t="shared" si="20"/>
        <v>288.45108631037891</v>
      </c>
      <c r="EO21" s="62">
        <f ca="1">AVERAGE(OFFSET($EN$3,0,0,'Données projet'!$E$15+1,1))-AVERAGE(OFFSET($H$3,0,0,'Données projet'!$E$15+1,1))</f>
        <v>296.18088377871669</v>
      </c>
      <c r="EP21" s="62">
        <f t="shared" si="46"/>
        <v>252.23833925792056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6.2820512820512819</v>
      </c>
      <c r="FE21" s="13">
        <f>IF('Données projet'!$A$218&gt;35,FE20+FD21-FM20,IF(A21&lt;'Données projet'!$A$218,$FB$205^A21,IF(A21='Données projet'!$A$218,'Données projet'!$B$218,FE20+FD21-FM20)))</f>
        <v>50.256410256410263</v>
      </c>
      <c r="FF21" s="18">
        <f>FE21*VLOOKUP('Données projet'!$B$16,Paramètres!$A$1:$I$89,3,0)*VLOOKUP('Données projet'!$B$16,Paramètres!$A$1:$I$89,5,0)</f>
        <v>43.120000000000012</v>
      </c>
      <c r="FG21" s="14">
        <f t="shared" si="47"/>
        <v>12.821953876519785</v>
      </c>
      <c r="FH21" s="22">
        <f t="shared" si="22"/>
        <v>97.432236334938651</v>
      </c>
      <c r="FI21" s="62">
        <f t="shared" si="23"/>
        <v>309.20158952694175</v>
      </c>
      <c r="FJ21" s="62">
        <f ca="1">AVERAGE(OFFSET($FI$3,0,0,'Données projet'!$E$16+1,1))-AVERAGE(OFFSET($H$3,0,0,'Données projet'!$E$16+1,1))</f>
        <v>359.20464555327072</v>
      </c>
      <c r="FK21" s="62">
        <f t="shared" si="48"/>
        <v>305.54154052071863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2.1</v>
      </c>
      <c r="N22" s="14">
        <f>IF('Données projet'!$A$36&gt;35,N21+M22-V21,IF(A22&lt;'Données projet'!$A$36,$K$205^A22,IF(A22='Données projet'!$A$36,'Données projet'!$B$36,N21+M22-V21)))</f>
        <v>34.840696297767764</v>
      </c>
      <c r="O22" s="14">
        <f>N22*VLOOKUP('Données projet'!$B$9,Paramètres!$A$1:$I$89,3,0)*VLOOKUP('Données projet'!$B$9,Paramètres!$A$1:$I$89,5,0)</f>
        <v>35.328466045936516</v>
      </c>
      <c r="P22" s="14">
        <f t="shared" si="33"/>
        <v>10.751650073316766</v>
      </c>
      <c r="Q22" s="22">
        <f t="shared" si="2"/>
        <v>80.256202241032796</v>
      </c>
      <c r="R22" s="62">
        <f t="shared" si="0"/>
        <v>294.40829648405634</v>
      </c>
      <c r="S22" s="62">
        <f ca="1">AVERAGE(OFFSET($R$3,0,0,'Données projet'!$E$9+1,1))-AVERAGE(OFFSET($H$3,0,0,'Données projet'!$E$9+1,1))</f>
        <v>516.30971934066179</v>
      </c>
      <c r="T22" s="62">
        <f t="shared" si="34"/>
        <v>290.84286505723571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37.502525494917215</v>
      </c>
      <c r="AK22" s="14">
        <f t="shared" si="35"/>
        <v>11.334227770598273</v>
      </c>
      <c r="AL22" s="22">
        <f t="shared" si="4"/>
        <v>85.057345270772814</v>
      </c>
      <c r="AM22" s="62">
        <f t="shared" si="5"/>
        <v>299.20943951379633</v>
      </c>
      <c r="AN22" s="62">
        <f ca="1">AVERAGE(OFFSET($AM$3,0,0,'Données projet'!$E$10+1,1))-AVERAGE(OFFSET($H$3,0,0,'Données projet'!$E$10+1,1))</f>
        <v>542.90832990875208</v>
      </c>
      <c r="AO22" s="62">
        <f t="shared" si="36"/>
        <v>304.94365539329362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33.697921459200977</v>
      </c>
      <c r="BF22" s="14">
        <f t="shared" si="37"/>
        <v>10.31198270984201</v>
      </c>
      <c r="BG22" s="22">
        <f t="shared" si="7"/>
        <v>76.650583094416518</v>
      </c>
      <c r="BH22" s="62">
        <f t="shared" si="8"/>
        <v>290.80267733744006</v>
      </c>
      <c r="BI22" s="62">
        <f ca="1">AVERAGE(OFFSET($BH$3,0,0,'Données projet'!$E$11+1,1))-AVERAGE(OFFSET($H$3,0,0,'Données projet'!$E$11+1,1))</f>
        <v>496.33873798282525</v>
      </c>
      <c r="BJ22" s="62">
        <f t="shared" si="38"/>
        <v>280.25465074992246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9.56</v>
      </c>
      <c r="BY22" s="13">
        <f>IF('Données projet'!$A$114&gt;35,BY21+BX22-CG21,IF(A22&lt;'Données projet'!$A$114,$BV$205^A22,IF(A22='Données projet'!$A$114,'Données projet'!$B$114,BY21+BX22-CG21)))</f>
        <v>47.140000000000008</v>
      </c>
      <c r="BZ22" s="14">
        <f>BY22*VLOOKUP('Données projet'!$B$12,Paramètres!$A$1:$I$89,3,0)*VLOOKUP('Données projet'!$B$12,Paramètres!$A$1:$I$89,5,0)</f>
        <v>41.181504000000011</v>
      </c>
      <c r="CA22" s="14">
        <f t="shared" si="39"/>
        <v>12.311272152851107</v>
      </c>
      <c r="CB22" s="22">
        <f t="shared" si="10"/>
        <v>93.166585132882361</v>
      </c>
      <c r="CC22" s="62">
        <f t="shared" si="11"/>
        <v>307.3186793759059</v>
      </c>
      <c r="CD22" s="62">
        <f ca="1">AVERAGE(OFFSET($CC$3,0,0,'Données projet'!$E$12+1,1))-AVERAGE(OFFSET($H$3,0,0,'Données projet'!$E$12+1,1))</f>
        <v>298.28891728374822</v>
      </c>
      <c r="CE22" s="62">
        <f t="shared" si="40"/>
        <v>275.07405533331371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4.3703703703703702</v>
      </c>
      <c r="CT22" s="13">
        <f>IF('Données projet'!$A$140&gt;35,CT21+CS22-DB21,IF(A22&lt;'Données projet'!$A$140,$CQ$205^A22,IF(A22='Données projet'!$A$140,'Données projet'!$B$140,CT21+CS22-DB21)))</f>
        <v>28.707213694944539</v>
      </c>
      <c r="CU22" s="18">
        <f>CT22*VLOOKUP('Données projet'!$B$13,Paramètres!$A$1:$I$89,3,0)*VLOOKUP('Données projet'!$B$13,Paramètres!$A$1:$I$89,5,0)</f>
        <v>17.166913789576835</v>
      </c>
      <c r="CV22" s="14">
        <f t="shared" si="41"/>
        <v>5.6823256068972627</v>
      </c>
      <c r="CW22" s="22">
        <f t="shared" si="13"/>
        <v>39.79575861552572</v>
      </c>
      <c r="CX22" s="62">
        <f t="shared" si="14"/>
        <v>253.94785285854925</v>
      </c>
      <c r="CY22" s="62">
        <f ca="1">AVERAGE(OFFSET($CX$3,0,0,'Données projet'!$E$13+1,1))-AVERAGE(OFFSET($H$3,0,0,'Données projet'!$E$13+1,1))</f>
        <v>320.46614113586043</v>
      </c>
      <c r="CZ22" s="62">
        <f t="shared" si="42"/>
        <v>250.7806929924491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0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0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1.4</v>
      </c>
      <c r="DO22" s="13">
        <f>IF('Données projet'!$A$166&gt;35,DO21+DN22-DW21,IF(A22&lt;'Données projet'!$A$166,$DL$205^A22,IF(A22='Données projet'!$A$166,'Données projet'!$B$166,DO21+DN22-DW21)))</f>
        <v>23.702826074133306</v>
      </c>
      <c r="DP22" s="18">
        <f>DO22*VLOOKUP('Données projet'!$B$14,Paramètres!$A$1:$I$89,3,0)*VLOOKUP('Données projet'!$B$14,Paramètres!$A$1:$I$89,5,0)</f>
        <v>11.092922602694387</v>
      </c>
      <c r="DQ22" s="14">
        <f t="shared" si="43"/>
        <v>3.8632667416767035</v>
      </c>
      <c r="DR22" s="22">
        <f t="shared" si="16"/>
        <v>26.048696441446314</v>
      </c>
      <c r="DS22" s="62">
        <f t="shared" si="17"/>
        <v>240.20079068446984</v>
      </c>
      <c r="DT22" s="62">
        <f ca="1">AVERAGE(OFFSET($DS$3,0,0,'Données projet'!$E$14+1,1))-AVERAGE(OFFSET($H$3,0,0,'Données projet'!$E$14+1,1))</f>
        <v>429.87867712133851</v>
      </c>
      <c r="DU22" s="62">
        <f t="shared" si="44"/>
        <v>182.81277865988014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6.2820512820512819</v>
      </c>
      <c r="EJ22" s="13">
        <f>IF('Données projet'!$A$192&gt;35,EJ21+EI22-ER21,IF(A22&lt;'Données projet'!$A$192,$EG$205^A22,IF(A22='Données projet'!$A$192,'Données projet'!$B$192,EJ21+EI22-ER21)))</f>
        <v>56.538461538461547</v>
      </c>
      <c r="EK22" s="18">
        <f>EJ22*VLOOKUP('Données projet'!$B$15,Paramètres!$A$1:$I$89,3,0)*VLOOKUP('Données projet'!$B$15,Paramètres!$A$1:$I$89,5,0)</f>
        <v>37.926000000000009</v>
      </c>
      <c r="EL22" s="14">
        <f t="shared" si="45"/>
        <v>11.447241207652395</v>
      </c>
      <c r="EM22" s="22">
        <f t="shared" si="19"/>
        <v>85.991728436661276</v>
      </c>
      <c r="EN22" s="62">
        <f t="shared" si="20"/>
        <v>300.14382267968483</v>
      </c>
      <c r="EO22" s="62">
        <f ca="1">AVERAGE(OFFSET($EN$3,0,0,'Données projet'!$E$15+1,1))-AVERAGE(OFFSET($H$3,0,0,'Données projet'!$E$15+1,1))</f>
        <v>296.18088377871669</v>
      </c>
      <c r="EP22" s="62">
        <f t="shared" si="46"/>
        <v>252.23833925792056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6.2820512820512819</v>
      </c>
      <c r="FE22" s="13">
        <f>IF('Données projet'!$A$218&gt;35,FE21+FD22-FM21,IF(A22&lt;'Données projet'!$A$218,$FB$205^A22,IF(A22='Données projet'!$A$218,'Données projet'!$B$218,FE21+FD22-FM21)))</f>
        <v>56.538461538461547</v>
      </c>
      <c r="FF22" s="18">
        <f>FE22*VLOOKUP('Données projet'!$B$16,Paramètres!$A$1:$I$89,3,0)*VLOOKUP('Données projet'!$B$16,Paramètres!$A$1:$I$89,5,0)</f>
        <v>48.510000000000012</v>
      </c>
      <c r="FG22" s="14">
        <f t="shared" si="47"/>
        <v>14.228285766048993</v>
      </c>
      <c r="FH22" s="22">
        <f t="shared" si="22"/>
        <v>109.26918104253535</v>
      </c>
      <c r="FI22" s="62">
        <f t="shared" si="23"/>
        <v>323.42127528555886</v>
      </c>
      <c r="FJ22" s="62">
        <f ca="1">AVERAGE(OFFSET($FI$3,0,0,'Données projet'!$E$16+1,1))-AVERAGE(OFFSET($H$3,0,0,'Données projet'!$E$16+1,1))</f>
        <v>359.20464555327072</v>
      </c>
      <c r="FK22" s="62">
        <f t="shared" si="48"/>
        <v>305.54154052071863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42</v>
      </c>
      <c r="L23" s="13">
        <f>VLOOKUP(A23,'Données projet'!$A$35:$I$55,9,0)</f>
        <v>2.1</v>
      </c>
      <c r="M23" s="13">
        <f t="array" ref="M23">INDEX(L:L,MIN(IF(ISNUMBER(L23:L219),ROW(L23:L219),"")))</f>
        <v>2.1</v>
      </c>
      <c r="N23" s="14">
        <f>IF('Données projet'!$A$36&gt;35,N22+M23-V22,IF(A23&lt;'Données projet'!$A$36,$K$205^A23,IF(A23='Données projet'!$A$36,'Données projet'!$B$36,N22+M23-V22)))</f>
        <v>42</v>
      </c>
      <c r="O23" s="14">
        <f>N23*VLOOKUP('Données projet'!$B$9,Paramètres!$A$1:$I$89,3,0)*VLOOKUP('Données projet'!$B$9,Paramètres!$A$1:$I$89,5,0)</f>
        <v>42.588000000000001</v>
      </c>
      <c r="P23" s="14">
        <f t="shared" si="33"/>
        <v>12.682073764365764</v>
      </c>
      <c r="Q23" s="22">
        <f t="shared" si="2"/>
        <v>96.262045139603686</v>
      </c>
      <c r="R23" s="62">
        <f t="shared" si="0"/>
        <v>312.77674802649938</v>
      </c>
      <c r="S23" s="62">
        <f ca="1">AVERAGE(OFFSET($R$3,0,0,'Données projet'!$E$9+1,1))-AVERAGE(OFFSET($H$3,0,0,'Données projet'!$E$9+1,1))</f>
        <v>516.30971934066179</v>
      </c>
      <c r="T23" s="62">
        <f t="shared" si="34"/>
        <v>290.84286505723571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45.208799999999997</v>
      </c>
      <c r="AK23" s="14">
        <f t="shared" si="35"/>
        <v>13.369251386406743</v>
      </c>
      <c r="AL23" s="22">
        <f t="shared" si="4"/>
        <v>102.02343949799173</v>
      </c>
      <c r="AM23" s="62">
        <f t="shared" si="5"/>
        <v>318.53814238488746</v>
      </c>
      <c r="AN23" s="62">
        <f ca="1">AVERAGE(OFFSET($AM$3,0,0,'Données projet'!$E$10+1,1))-AVERAGE(OFFSET($H$3,0,0,'Données projet'!$E$10+1,1))</f>
        <v>542.90832990875208</v>
      </c>
      <c r="AO23" s="62">
        <f t="shared" si="36"/>
        <v>304.94365539329362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40.622399999999999</v>
      </c>
      <c r="BF23" s="14">
        <f t="shared" si="37"/>
        <v>12.163465560290264</v>
      </c>
      <c r="BG23" s="22">
        <f t="shared" si="7"/>
        <v>91.935382517505545</v>
      </c>
      <c r="BH23" s="62">
        <f t="shared" si="8"/>
        <v>308.45008540440125</v>
      </c>
      <c r="BI23" s="62">
        <f ca="1">AVERAGE(OFFSET($BH$3,0,0,'Données projet'!$E$11+1,1))-AVERAGE(OFFSET($H$3,0,0,'Données projet'!$E$11+1,1))</f>
        <v>496.33873798282525</v>
      </c>
      <c r="BJ23" s="62">
        <f t="shared" si="38"/>
        <v>280.25465074992246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56.7</v>
      </c>
      <c r="BW23" s="13">
        <f>VLOOKUP(A23,'Données projet'!$A$113:$I$133,9,0)</f>
        <v>9.56</v>
      </c>
      <c r="BX23" s="13">
        <f t="array" ref="BX23">INDEX(BW:BW,MIN(IF(ISNUMBER(BW23:BW219),ROW(BW23:BW219),"")))</f>
        <v>9.56</v>
      </c>
      <c r="BY23" s="13">
        <f>IF('Données projet'!$A$114&gt;35,BY22+BX23-CG22,IF(A23&lt;'Données projet'!$A$114,$BV$205^A23,IF(A23='Données projet'!$A$114,'Données projet'!$B$114,BY22+BX23-CG22)))</f>
        <v>56.70000000000001</v>
      </c>
      <c r="BZ23" s="14">
        <f>BY23*VLOOKUP('Données projet'!$B$12,Paramètres!$A$1:$I$89,3,0)*VLOOKUP('Données projet'!$B$12,Paramètres!$A$1:$I$89,5,0)</f>
        <v>49.533120000000018</v>
      </c>
      <c r="CA23" s="14">
        <f t="shared" si="39"/>
        <v>14.493120113047395</v>
      </c>
      <c r="CB23" s="22">
        <f t="shared" si="10"/>
        <v>111.5123681968909</v>
      </c>
      <c r="CC23" s="62">
        <f t="shared" si="11"/>
        <v>328.02707108378661</v>
      </c>
      <c r="CD23" s="62">
        <f ca="1">AVERAGE(OFFSET($CC$3,0,0,'Données projet'!$E$12+1,1))-AVERAGE(OFFSET($H$3,0,0,'Données projet'!$E$12+1,1))</f>
        <v>298.28891728374822</v>
      </c>
      <c r="CE23" s="62">
        <f t="shared" si="40"/>
        <v>275.07405533331371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4.3703703703703702</v>
      </c>
      <c r="CT23" s="13">
        <f>IF('Données projet'!$A$140&gt;35,CT22+CS23-DB22,IF(A23&lt;'Données projet'!$A$140,$CQ$205^A23,IF(A23='Données projet'!$A$140,'Données projet'!$B$140,CT22+CS23-DB22)))</f>
        <v>34.255271407286948</v>
      </c>
      <c r="CU23" s="18">
        <f>CT23*VLOOKUP('Données projet'!$B$13,Paramètres!$A$1:$I$89,3,0)*VLOOKUP('Données projet'!$B$13,Paramètres!$A$1:$I$89,5,0)</f>
        <v>20.484652301557595</v>
      </c>
      <c r="CV23" s="14">
        <f t="shared" si="41"/>
        <v>6.6424817979453561</v>
      </c>
      <c r="CW23" s="22">
        <f t="shared" si="13"/>
        <v>47.246425223300974</v>
      </c>
      <c r="CX23" s="62">
        <f t="shared" si="14"/>
        <v>263.76112811019669</v>
      </c>
      <c r="CY23" s="62">
        <f ca="1">AVERAGE(OFFSET($CX$3,0,0,'Données projet'!$E$13+1,1))-AVERAGE(OFFSET($H$3,0,0,'Données projet'!$E$13+1,1))</f>
        <v>320.46614113586043</v>
      </c>
      <c r="CZ23" s="62">
        <f t="shared" si="42"/>
        <v>250.7806929924491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0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0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28</v>
      </c>
      <c r="DM23" s="13">
        <f>VLOOKUP(A23,'Données projet'!$A$165:$I$185,9,0)</f>
        <v>1.4</v>
      </c>
      <c r="DN23" s="13">
        <f t="array" ref="DN23">INDEX(DM:DM,MIN(IF(ISNUMBER(DM23:DM219),ROW(DM23:DM219),"")))</f>
        <v>1.4</v>
      </c>
      <c r="DO23" s="13">
        <f>IF('Données projet'!$A$166&gt;35,DO22+DN23-DW22,IF(A23&lt;'Données projet'!$A$166,$DL$205^A23,IF(A23='Données projet'!$A$166,'Données projet'!$B$166,DO22+DN23-DW22)))</f>
        <v>28</v>
      </c>
      <c r="DP23" s="18">
        <f>DO23*VLOOKUP('Données projet'!$B$14,Paramètres!$A$1:$I$89,3,0)*VLOOKUP('Données projet'!$B$14,Paramètres!$A$1:$I$89,5,0)</f>
        <v>13.104000000000001</v>
      </c>
      <c r="DQ23" s="14">
        <f t="shared" si="43"/>
        <v>4.4760006109979793</v>
      </c>
      <c r="DR23" s="22">
        <f t="shared" si="16"/>
        <v>30.618501064154817</v>
      </c>
      <c r="DS23" s="62">
        <f t="shared" si="17"/>
        <v>247.13320395105055</v>
      </c>
      <c r="DT23" s="62">
        <f ca="1">AVERAGE(OFFSET($DS$3,0,0,'Données projet'!$E$14+1,1))-AVERAGE(OFFSET($H$3,0,0,'Données projet'!$E$14+1,1))</f>
        <v>429.87867712133851</v>
      </c>
      <c r="DU23" s="62">
        <f t="shared" si="44"/>
        <v>182.81277865988014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62.820512820512818</v>
      </c>
      <c r="EH23" s="13">
        <f>VLOOKUP(A23,'Données projet'!$A$191:$I$211,9,0)</f>
        <v>6.2820512820512819</v>
      </c>
      <c r="EI23" s="13">
        <f t="array" ref="EI23">INDEX(EH:EH,MIN(IF(ISNUMBER(EH23:EH219),ROW(EH23:EH219),"")))</f>
        <v>6.2820512820512819</v>
      </c>
      <c r="EJ23" s="13">
        <f>IF('Données projet'!$A$192&gt;35,EJ22+EI23-ER22,IF(A23&lt;'Données projet'!$A$192,$EG$205^A23,IF(A23='Données projet'!$A$192,'Données projet'!$B$192,EJ22+EI23-ER22)))</f>
        <v>62.820512820512832</v>
      </c>
      <c r="EK23" s="18">
        <f>EJ23*VLOOKUP('Données projet'!$B$15,Paramètres!$A$1:$I$89,3,0)*VLOOKUP('Données projet'!$B$15,Paramètres!$A$1:$I$89,5,0)</f>
        <v>42.140000000000008</v>
      </c>
      <c r="EL23" s="14">
        <f t="shared" si="45"/>
        <v>12.564122227768271</v>
      </c>
      <c r="EM23" s="22">
        <f t="shared" si="19"/>
        <v>95.276346213363084</v>
      </c>
      <c r="EN23" s="62">
        <f t="shared" si="20"/>
        <v>311.79104910025882</v>
      </c>
      <c r="EO23" s="62">
        <f ca="1">AVERAGE(OFFSET($EN$3,0,0,'Données projet'!$E$15+1,1))-AVERAGE(OFFSET($H$3,0,0,'Données projet'!$E$15+1,1))</f>
        <v>296.18088377871669</v>
      </c>
      <c r="EP23" s="62">
        <f t="shared" si="46"/>
        <v>252.23833925792056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62.820512820512818</v>
      </c>
      <c r="FC23" s="13">
        <f>VLOOKUP(A23,'Données projet'!$A$217:$I$237,9,0)</f>
        <v>6.2820512820512819</v>
      </c>
      <c r="FD23" s="13">
        <f t="array" ref="FD23">INDEX(FC:FC,MIN(IF(ISNUMBER(FC23:FC219),ROW(FC23:FC219),"")))</f>
        <v>6.2820512820512819</v>
      </c>
      <c r="FE23" s="13">
        <f>IF('Données projet'!$A$218&gt;35,FE22+FD23-FM22,IF(A23&lt;'Données projet'!$A$218,$FB$205^A23,IF(A23='Données projet'!$A$218,'Données projet'!$B$218,FE22+FD23-FM22)))</f>
        <v>62.820512820512832</v>
      </c>
      <c r="FF23" s="18">
        <f>FE23*VLOOKUP('Données projet'!$B$16,Paramètres!$A$1:$I$89,3,0)*VLOOKUP('Données projet'!$B$16,Paramètres!$A$1:$I$89,5,0)</f>
        <v>53.900000000000013</v>
      </c>
      <c r="FG23" s="14">
        <f t="shared" si="47"/>
        <v>15.616506913189822</v>
      </c>
      <c r="FH23" s="22">
        <f t="shared" si="22"/>
        <v>121.0745828738056</v>
      </c>
      <c r="FI23" s="62">
        <f t="shared" si="23"/>
        <v>337.58928576070133</v>
      </c>
      <c r="FJ23" s="62">
        <f ca="1">AVERAGE(OFFSET($FI$3,0,0,'Données projet'!$E$16+1,1))-AVERAGE(OFFSET($H$3,0,0,'Données projet'!$E$16+1,1))</f>
        <v>359.20464555327072</v>
      </c>
      <c r="FK23" s="62">
        <f t="shared" si="48"/>
        <v>305.54154052071863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5.6</v>
      </c>
      <c r="N24" s="14">
        <f>IF('Données projet'!$A$36&gt;35,N23+M24-V23,IF(A24&lt;'Données projet'!$A$36,$K$205^A24,IF(A24='Données projet'!$A$36,'Données projet'!$B$36,N23+M24-V23)))</f>
        <v>47.6</v>
      </c>
      <c r="O24" s="14">
        <f>N24*VLOOKUP('Données projet'!$B$9,Paramètres!$A$1:$I$89,3,0)*VLOOKUP('Données projet'!$B$9,Paramètres!$A$1:$I$89,5,0)</f>
        <v>48.266400000000004</v>
      </c>
      <c r="P24" s="14">
        <f t="shared" si="33"/>
        <v>14.165134590154434</v>
      </c>
      <c r="Q24" s="22">
        <f t="shared" si="2"/>
        <v>108.73492274451898</v>
      </c>
      <c r="R24" s="62">
        <f t="shared" si="0"/>
        <v>327.59245112039338</v>
      </c>
      <c r="S24" s="62">
        <f ca="1">AVERAGE(OFFSET($R$3,0,0,'Données projet'!$E$9+1,1))-AVERAGE(OFFSET($H$3,0,0,'Données projet'!$E$9+1,1))</f>
        <v>516.30971934066179</v>
      </c>
      <c r="T24" s="62">
        <f t="shared" si="34"/>
        <v>290.84286505723571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51.236640000000001</v>
      </c>
      <c r="AK24" s="14">
        <f t="shared" si="35"/>
        <v>14.932671799321549</v>
      </c>
      <c r="AL24" s="22">
        <f t="shared" si="4"/>
        <v>115.24488471715169</v>
      </c>
      <c r="AM24" s="62">
        <f t="shared" si="5"/>
        <v>334.10241309302609</v>
      </c>
      <c r="AN24" s="62">
        <f ca="1">AVERAGE(OFFSET($AM$3,0,0,'Données projet'!$E$10+1,1))-AVERAGE(OFFSET($H$3,0,0,'Données projet'!$E$10+1,1))</f>
        <v>542.90832990875208</v>
      </c>
      <c r="AO24" s="62">
        <f t="shared" si="36"/>
        <v>304.94365539329362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46.038720000000005</v>
      </c>
      <c r="BF24" s="14">
        <f t="shared" si="37"/>
        <v>13.585879560828786</v>
      </c>
      <c r="BG24" s="22">
        <f t="shared" si="7"/>
        <v>103.84617756844348</v>
      </c>
      <c r="BH24" s="62">
        <f t="shared" si="8"/>
        <v>322.70370594431785</v>
      </c>
      <c r="BI24" s="62">
        <f ca="1">AVERAGE(OFFSET($BH$3,0,0,'Données projet'!$E$11+1,1))-AVERAGE(OFFSET($H$3,0,0,'Données projet'!$E$11+1,1))</f>
        <v>496.33873798282525</v>
      </c>
      <c r="BJ24" s="62">
        <f t="shared" si="38"/>
        <v>280.25465074992246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10.119999999999999</v>
      </c>
      <c r="BY24" s="13">
        <f>IF('Données projet'!$A$114&gt;35,BY23+BX24-CG23,IF(A24&lt;'Données projet'!$A$114,$BV$205^A24,IF(A24='Données projet'!$A$114,'Données projet'!$B$114,BY23+BX24-CG23)))</f>
        <v>66.820000000000007</v>
      </c>
      <c r="BZ24" s="14">
        <f>BY24*VLOOKUP('Données projet'!$B$12,Paramètres!$A$1:$I$89,3,0)*VLOOKUP('Données projet'!$B$12,Paramètres!$A$1:$I$89,5,0)</f>
        <v>58.373952000000017</v>
      </c>
      <c r="CA24" s="14">
        <f t="shared" si="39"/>
        <v>16.756497986444543</v>
      </c>
      <c r="CB24" s="22">
        <f t="shared" si="10"/>
        <v>130.85220039305761</v>
      </c>
      <c r="CC24" s="62">
        <f t="shared" si="11"/>
        <v>349.709728768932</v>
      </c>
      <c r="CD24" s="62">
        <f ca="1">AVERAGE(OFFSET($CC$3,0,0,'Données projet'!$E$12+1,1))-AVERAGE(OFFSET($H$3,0,0,'Données projet'!$E$12+1,1))</f>
        <v>298.28891728374822</v>
      </c>
      <c r="CE24" s="62">
        <f t="shared" si="40"/>
        <v>275.07405533331371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4.3703703703703702</v>
      </c>
      <c r="CT24" s="13">
        <f>IF('Données projet'!$A$140&gt;35,CT23+CS24-DB23,IF(A24&lt;'Données projet'!$A$140,$CQ$205^A24,IF(A24='Données projet'!$A$140,'Données projet'!$B$140,CT23+CS24-DB23)))</f>
        <v>40.875566387466414</v>
      </c>
      <c r="CU24" s="18">
        <f>CT24*VLOOKUP('Données projet'!$B$13,Paramètres!$A$1:$I$89,3,0)*VLOOKUP('Données projet'!$B$13,Paramètres!$A$1:$I$89,5,0)</f>
        <v>24.443588699704918</v>
      </c>
      <c r="CV24" s="14">
        <f t="shared" si="41"/>
        <v>7.7648778842379169</v>
      </c>
      <c r="CW24" s="22">
        <f t="shared" si="13"/>
        <v>56.096412633700432</v>
      </c>
      <c r="CX24" s="62">
        <f t="shared" si="14"/>
        <v>274.95394100957481</v>
      </c>
      <c r="CY24" s="62">
        <f ca="1">AVERAGE(OFFSET($CX$3,0,0,'Données projet'!$E$13+1,1))-AVERAGE(OFFSET($H$3,0,0,'Données projet'!$E$13+1,1))</f>
        <v>320.46614113586043</v>
      </c>
      <c r="CZ24" s="62">
        <f t="shared" si="42"/>
        <v>250.7806929924491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0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0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9.3000000000000007</v>
      </c>
      <c r="DO24" s="13">
        <f>IF('Données projet'!$A$166&gt;35,DO23+DN24-DW23,IF(A24&lt;'Données projet'!$A$166,$DL$205^A24,IF(A24='Données projet'!$A$166,'Données projet'!$B$166,DO23+DN24-DW23)))</f>
        <v>37.299999999999997</v>
      </c>
      <c r="DP24" s="18">
        <f>DO24*VLOOKUP('Données projet'!$B$14,Paramètres!$A$1:$I$89,3,0)*VLOOKUP('Données projet'!$B$14,Paramètres!$A$1:$I$89,5,0)</f>
        <v>17.456399999999999</v>
      </c>
      <c r="DQ24" s="14">
        <f t="shared" si="43"/>
        <v>5.7669106730837063</v>
      </c>
      <c r="DR24" s="22">
        <f t="shared" si="16"/>
        <v>40.447266088954116</v>
      </c>
      <c r="DS24" s="62">
        <f t="shared" si="17"/>
        <v>259.30479446482849</v>
      </c>
      <c r="DT24" s="62">
        <f ca="1">AVERAGE(OFFSET($DS$3,0,0,'Données projet'!$E$14+1,1))-AVERAGE(OFFSET($H$3,0,0,'Données projet'!$E$14+1,1))</f>
        <v>429.87867712133851</v>
      </c>
      <c r="DU24" s="62">
        <f t="shared" si="44"/>
        <v>182.81277865988014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6.9230769230769225</v>
      </c>
      <c r="EJ24" s="13">
        <f>IF('Données projet'!$A$192&gt;35,EJ23+EI24-ER23,IF(A24&lt;'Données projet'!$A$192,$EG$205^A24,IF(A24='Données projet'!$A$192,'Données projet'!$B$192,EJ23+EI24-ER23)))</f>
        <v>69.743589743589752</v>
      </c>
      <c r="EK24" s="18">
        <f>EJ24*VLOOKUP('Données projet'!$B$15,Paramètres!$A$1:$I$89,3,0)*VLOOKUP('Données projet'!$B$15,Paramètres!$A$1:$I$89,5,0)</f>
        <v>46.784000000000006</v>
      </c>
      <c r="EL24" s="14">
        <f t="shared" si="45"/>
        <v>13.780027496603347</v>
      </c>
      <c r="EM24" s="22">
        <f t="shared" si="19"/>
        <v>105.48234788991751</v>
      </c>
      <c r="EN24" s="62">
        <f t="shared" si="20"/>
        <v>324.33987626579187</v>
      </c>
      <c r="EO24" s="62">
        <f ca="1">AVERAGE(OFFSET($EN$3,0,0,'Données projet'!$E$15+1,1))-AVERAGE(OFFSET($H$3,0,0,'Données projet'!$E$15+1,1))</f>
        <v>296.18088377871669</v>
      </c>
      <c r="EP24" s="62">
        <f t="shared" si="46"/>
        <v>252.23833925792056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6.9230769230769225</v>
      </c>
      <c r="FE24" s="13">
        <f>IF('Données projet'!$A$218&gt;35,FE23+FD24-FM23,IF(A24&lt;'Données projet'!$A$218,$FB$205^A24,IF(A24='Données projet'!$A$218,'Données projet'!$B$218,FE23+FD24-FM23)))</f>
        <v>69.743589743589752</v>
      </c>
      <c r="FF24" s="18">
        <f>FE24*VLOOKUP('Données projet'!$B$16,Paramètres!$A$1:$I$89,3,0)*VLOOKUP('Données projet'!$B$16,Paramètres!$A$1:$I$89,5,0)</f>
        <v>59.840000000000011</v>
      </c>
      <c r="FG24" s="14">
        <f t="shared" si="47"/>
        <v>17.127809707950977</v>
      </c>
      <c r="FH24" s="22">
        <f t="shared" si="22"/>
        <v>134.05226857468128</v>
      </c>
      <c r="FI24" s="62">
        <f t="shared" si="23"/>
        <v>352.90979695055569</v>
      </c>
      <c r="FJ24" s="62">
        <f ca="1">AVERAGE(OFFSET($FI$3,0,0,'Données projet'!$E$16+1,1))-AVERAGE(OFFSET($H$3,0,0,'Données projet'!$E$16+1,1))</f>
        <v>359.20464555327072</v>
      </c>
      <c r="FK24" s="62">
        <f t="shared" si="48"/>
        <v>305.54154052071863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5.6</v>
      </c>
      <c r="N25" s="14">
        <f>IF('Données projet'!$A$36&gt;35,N24+M25-V24,IF(A25&lt;'Données projet'!$A$36,$K$205^A25,IF(A25='Données projet'!$A$36,'Données projet'!$B$36,N24+M25-V24)))</f>
        <v>53.2</v>
      </c>
      <c r="O25" s="14">
        <f>N25*VLOOKUP('Données projet'!$B$9,Paramètres!$A$1:$I$89,3,0)*VLOOKUP('Données projet'!$B$9,Paramètres!$A$1:$I$89,5,0)</f>
        <v>53.944800000000008</v>
      </c>
      <c r="P25" s="14">
        <f t="shared" si="33"/>
        <v>15.627975445731321</v>
      </c>
      <c r="Q25" s="22">
        <f t="shared" si="2"/>
        <v>121.17258390131538</v>
      </c>
      <c r="R25" s="62">
        <f t="shared" si="0"/>
        <v>342.35349780478379</v>
      </c>
      <c r="S25" s="62">
        <f ca="1">AVERAGE(OFFSET($R$3,0,0,'Données projet'!$E$9+1,1))-AVERAGE(OFFSET($H$3,0,0,'Données projet'!$E$9+1,1))</f>
        <v>516.30971934066179</v>
      </c>
      <c r="T25" s="62">
        <f t="shared" si="34"/>
        <v>290.84286505723571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57.264479999999999</v>
      </c>
      <c r="AK25" s="14">
        <f t="shared" si="35"/>
        <v>16.474776623807379</v>
      </c>
      <c r="AL25" s="22">
        <f t="shared" si="4"/>
        <v>128.42920528646451</v>
      </c>
      <c r="AM25" s="62">
        <f t="shared" si="5"/>
        <v>349.6101191899329</v>
      </c>
      <c r="AN25" s="62">
        <f ca="1">AVERAGE(OFFSET($AM$3,0,0,'Données projet'!$E$10+1,1))-AVERAGE(OFFSET($H$3,0,0,'Données projet'!$E$10+1,1))</f>
        <v>542.90832990875208</v>
      </c>
      <c r="AO25" s="62">
        <f t="shared" si="36"/>
        <v>304.94365539329362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51.455040000000004</v>
      </c>
      <c r="BF25" s="14">
        <f t="shared" si="37"/>
        <v>14.988900446655085</v>
      </c>
      <c r="BG25" s="22">
        <f t="shared" si="7"/>
        <v>115.72319627792427</v>
      </c>
      <c r="BH25" s="62">
        <f t="shared" si="8"/>
        <v>336.90411018139264</v>
      </c>
      <c r="BI25" s="62">
        <f ca="1">AVERAGE(OFFSET($BH$3,0,0,'Données projet'!$E$11+1,1))-AVERAGE(OFFSET($H$3,0,0,'Données projet'!$E$11+1,1))</f>
        <v>496.33873798282525</v>
      </c>
      <c r="BJ25" s="62">
        <f t="shared" si="38"/>
        <v>280.25465074992246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10.119999999999999</v>
      </c>
      <c r="BY25" s="13">
        <f>IF('Données projet'!$A$114&gt;35,BY24+BX25-CG24,IF(A25&lt;'Données projet'!$A$114,$BV$205^A25,IF(A25='Données projet'!$A$114,'Données projet'!$B$114,BY24+BX25-CG24)))</f>
        <v>76.940000000000012</v>
      </c>
      <c r="BZ25" s="14">
        <f>BY25*VLOOKUP('Données projet'!$B$12,Paramètres!$A$1:$I$89,3,0)*VLOOKUP('Données projet'!$B$12,Paramètres!$A$1:$I$89,5,0)</f>
        <v>67.214784000000023</v>
      </c>
      <c r="CA25" s="14">
        <f t="shared" si="39"/>
        <v>18.980164347676503</v>
      </c>
      <c r="CB25" s="22">
        <f t="shared" si="10"/>
        <v>150.12286837220327</v>
      </c>
      <c r="CC25" s="62">
        <f t="shared" si="11"/>
        <v>371.30378227567167</v>
      </c>
      <c r="CD25" s="62">
        <f ca="1">AVERAGE(OFFSET($CC$3,0,0,'Données projet'!$E$12+1,1))-AVERAGE(OFFSET($H$3,0,0,'Données projet'!$E$12+1,1))</f>
        <v>298.28891728374822</v>
      </c>
      <c r="CE25" s="62">
        <f t="shared" si="40"/>
        <v>275.07405533331371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4.3703703703703702</v>
      </c>
      <c r="CT25" s="13">
        <f>IF('Données projet'!$A$140&gt;35,CT24+CS25-DB24,IF(A25&lt;'Données projet'!$A$140,$CQ$205^A25,IF(A25='Données projet'!$A$140,'Données projet'!$B$140,CT24+CS25-DB24)))</f>
        <v>48.775323004469058</v>
      </c>
      <c r="CU25" s="18">
        <f>CT25*VLOOKUP('Données projet'!$B$13,Paramètres!$A$1:$I$89,3,0)*VLOOKUP('Données projet'!$B$13,Paramètres!$A$1:$I$89,5,0)</f>
        <v>29.167643156672497</v>
      </c>
      <c r="CV25" s="14">
        <f t="shared" si="41"/>
        <v>9.0769279301265016</v>
      </c>
      <c r="CW25" s="22">
        <f t="shared" si="13"/>
        <v>66.60929464284159</v>
      </c>
      <c r="CX25" s="62">
        <f t="shared" si="14"/>
        <v>287.79020854631</v>
      </c>
      <c r="CY25" s="62">
        <f ca="1">AVERAGE(OFFSET($CX$3,0,0,'Données projet'!$E$13+1,1))-AVERAGE(OFFSET($H$3,0,0,'Données projet'!$E$13+1,1))</f>
        <v>320.46614113586043</v>
      </c>
      <c r="CZ25" s="62">
        <f t="shared" si="42"/>
        <v>250.7806929924491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0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0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9.3000000000000007</v>
      </c>
      <c r="DO25" s="13">
        <f>IF('Données projet'!$A$166&gt;35,DO24+DN25-DW24,IF(A25&lt;'Données projet'!$A$166,$DL$205^A25,IF(A25='Données projet'!$A$166,'Données projet'!$B$166,DO24+DN25-DW24)))</f>
        <v>46.599999999999994</v>
      </c>
      <c r="DP25" s="18">
        <f>DO25*VLOOKUP('Données projet'!$B$14,Paramètres!$A$1:$I$89,3,0)*VLOOKUP('Données projet'!$B$14,Paramètres!$A$1:$I$89,5,0)</f>
        <v>21.808799999999994</v>
      </c>
      <c r="DQ25" s="14">
        <f t="shared" si="43"/>
        <v>7.0204846906618394</v>
      </c>
      <c r="DR25" s="22">
        <f t="shared" si="16"/>
        <v>50.211004169569357</v>
      </c>
      <c r="DS25" s="62">
        <f t="shared" si="17"/>
        <v>271.39191807303774</v>
      </c>
      <c r="DT25" s="62">
        <f ca="1">AVERAGE(OFFSET($DS$3,0,0,'Données projet'!$E$14+1,1))-AVERAGE(OFFSET($H$3,0,0,'Données projet'!$E$14+1,1))</f>
        <v>429.87867712133851</v>
      </c>
      <c r="DU25" s="62">
        <f t="shared" si="44"/>
        <v>182.81277865988014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6.9230769230769225</v>
      </c>
      <c r="EJ25" s="13">
        <f>IF('Données projet'!$A$192&gt;35,EJ24+EI25-ER24,IF(A25&lt;'Données projet'!$A$192,$EG$205^A25,IF(A25='Données projet'!$A$192,'Données projet'!$B$192,EJ24+EI25-ER24)))</f>
        <v>76.666666666666671</v>
      </c>
      <c r="EK25" s="18">
        <f>EJ25*VLOOKUP('Données projet'!$B$15,Paramètres!$A$1:$I$89,3,0)*VLOOKUP('Données projet'!$B$15,Paramètres!$A$1:$I$89,5,0)</f>
        <v>51.428000000000004</v>
      </c>
      <c r="EL25" s="14">
        <f t="shared" si="45"/>
        <v>14.981940313719676</v>
      </c>
      <c r="EM25" s="22">
        <f t="shared" si="19"/>
        <v>115.66397937972845</v>
      </c>
      <c r="EN25" s="62">
        <f t="shared" si="20"/>
        <v>336.84489328319682</v>
      </c>
      <c r="EO25" s="62">
        <f ca="1">AVERAGE(OFFSET($EN$3,0,0,'Données projet'!$E$15+1,1))-AVERAGE(OFFSET($H$3,0,0,'Données projet'!$E$15+1,1))</f>
        <v>296.18088377871669</v>
      </c>
      <c r="EP25" s="62">
        <f t="shared" si="46"/>
        <v>252.23833925792056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6.9230769230769225</v>
      </c>
      <c r="FE25" s="13">
        <f>IF('Données projet'!$A$218&gt;35,FE24+FD25-FM24,IF(A25&lt;'Données projet'!$A$218,$FB$205^A25,IF(A25='Données projet'!$A$218,'Données projet'!$B$218,FE24+FD25-FM24)))</f>
        <v>76.666666666666671</v>
      </c>
      <c r="FF25" s="18">
        <f>FE25*VLOOKUP('Données projet'!$B$16,Paramètres!$A$1:$I$89,3,0)*VLOOKUP('Données projet'!$B$16,Paramètres!$A$1:$I$89,5,0)</f>
        <v>65.780000000000015</v>
      </c>
      <c r="FG25" s="14">
        <f t="shared" si="47"/>
        <v>18.621720661480644</v>
      </c>
      <c r="FH25" s="22">
        <f t="shared" si="22"/>
        <v>146.99966348541213</v>
      </c>
      <c r="FI25" s="62">
        <f t="shared" si="23"/>
        <v>368.18057738888052</v>
      </c>
      <c r="FJ25" s="62">
        <f ca="1">AVERAGE(OFFSET($FI$3,0,0,'Données projet'!$E$16+1,1))-AVERAGE(OFFSET($H$3,0,0,'Données projet'!$E$16+1,1))</f>
        <v>359.20464555327072</v>
      </c>
      <c r="FK25" s="62">
        <f t="shared" si="48"/>
        <v>305.54154052071863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5.6</v>
      </c>
      <c r="N26" s="14">
        <f>IF('Données projet'!$A$36&gt;35,N25+M26-V25,IF(A26&lt;'Données projet'!$A$36,$K$205^A26,IF(A26='Données projet'!$A$36,'Données projet'!$B$36,N25+M26-V25)))</f>
        <v>58.800000000000004</v>
      </c>
      <c r="O26" s="14">
        <f>N26*VLOOKUP('Données projet'!$B$9,Paramètres!$A$1:$I$89,3,0)*VLOOKUP('Données projet'!$B$9,Paramètres!$A$1:$I$89,5,0)</f>
        <v>59.623200000000011</v>
      </c>
      <c r="P26" s="14">
        <f t="shared" si="33"/>
        <v>17.072967249098898</v>
      </c>
      <c r="Q26" s="22">
        <f t="shared" si="2"/>
        <v>133.57915795884725</v>
      </c>
      <c r="R26" s="62">
        <f t="shared" si="0"/>
        <v>357.06435466839378</v>
      </c>
      <c r="S26" s="62">
        <f ca="1">AVERAGE(OFFSET($R$3,0,0,'Données projet'!$E$9+1,1))-AVERAGE(OFFSET($H$3,0,0,'Données projet'!$E$9+1,1))</f>
        <v>516.30971934066179</v>
      </c>
      <c r="T26" s="62">
        <f t="shared" si="34"/>
        <v>290.84286505723571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63.292320000000004</v>
      </c>
      <c r="AK26" s="14">
        <f t="shared" si="35"/>
        <v>17.998065245956816</v>
      </c>
      <c r="AL26" s="22">
        <f t="shared" si="4"/>
        <v>141.58075430337479</v>
      </c>
      <c r="AM26" s="62">
        <f t="shared" si="5"/>
        <v>365.06595101292129</v>
      </c>
      <c r="AN26" s="62">
        <f ca="1">AVERAGE(OFFSET($AM$3,0,0,'Données projet'!$E$10+1,1))-AVERAGE(OFFSET($H$3,0,0,'Données projet'!$E$10+1,1))</f>
        <v>542.90832990875208</v>
      </c>
      <c r="AO26" s="62">
        <f t="shared" si="36"/>
        <v>304.94365539329362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56.87136000000001</v>
      </c>
      <c r="BF26" s="14">
        <f t="shared" si="37"/>
        <v>16.374802181791551</v>
      </c>
      <c r="BG26" s="22">
        <f t="shared" si="7"/>
        <v>127.57039913328697</v>
      </c>
      <c r="BH26" s="62">
        <f t="shared" si="8"/>
        <v>351.05559584283344</v>
      </c>
      <c r="BI26" s="62">
        <f ca="1">AVERAGE(OFFSET($BH$3,0,0,'Données projet'!$E$11+1,1))-AVERAGE(OFFSET($H$3,0,0,'Données projet'!$E$11+1,1))</f>
        <v>496.33873798282525</v>
      </c>
      <c r="BJ26" s="62">
        <f t="shared" si="38"/>
        <v>280.25465074992246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10.119999999999999</v>
      </c>
      <c r="BY26" s="13">
        <f>IF('Données projet'!$A$114&gt;35,BY25+BX26-CG25,IF(A26&lt;'Données projet'!$A$114,$BV$205^A26,IF(A26='Données projet'!$A$114,'Données projet'!$B$114,BY25+BX26-CG25)))</f>
        <v>87.060000000000016</v>
      </c>
      <c r="BZ26" s="14">
        <f>BY26*VLOOKUP('Données projet'!$B$12,Paramètres!$A$1:$I$89,3,0)*VLOOKUP('Données projet'!$B$12,Paramètres!$A$1:$I$89,5,0)</f>
        <v>76.055616000000029</v>
      </c>
      <c r="CA26" s="14">
        <f t="shared" si="39"/>
        <v>21.169942143181231</v>
      </c>
      <c r="CB26" s="22">
        <f t="shared" si="10"/>
        <v>169.33451376604069</v>
      </c>
      <c r="CC26" s="62">
        <f t="shared" si="11"/>
        <v>392.81971047558716</v>
      </c>
      <c r="CD26" s="62">
        <f ca="1">AVERAGE(OFFSET($CC$3,0,0,'Données projet'!$E$12+1,1))-AVERAGE(OFFSET($H$3,0,0,'Données projet'!$E$12+1,1))</f>
        <v>298.28891728374822</v>
      </c>
      <c r="CE26" s="62">
        <f t="shared" si="40"/>
        <v>275.07405533331371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4.3703703703703702</v>
      </c>
      <c r="CT26" s="13">
        <f>IF('Données projet'!$A$140&gt;35,CT25+CS26-DB25,IF(A26&lt;'Données projet'!$A$140,$CQ$205^A26,IF(A26='Données projet'!$A$140,'Données projet'!$B$140,CT25+CS26-DB25)))</f>
        <v>58.201814542189823</v>
      </c>
      <c r="CU26" s="18">
        <f>CT26*VLOOKUP('Données projet'!$B$13,Paramètres!$A$1:$I$89,3,0)*VLOOKUP('Données projet'!$B$13,Paramètres!$A$1:$I$89,5,0)</f>
        <v>34.804685096229512</v>
      </c>
      <c r="CV26" s="14">
        <f t="shared" si="41"/>
        <v>10.610678220189007</v>
      </c>
      <c r="CW26" s="22">
        <f t="shared" si="13"/>
        <v>79.098424442762266</v>
      </c>
      <c r="CX26" s="62">
        <f t="shared" si="14"/>
        <v>302.58362115230875</v>
      </c>
      <c r="CY26" s="62">
        <f ca="1">AVERAGE(OFFSET($CX$3,0,0,'Données projet'!$E$13+1,1))-AVERAGE(OFFSET($H$3,0,0,'Données projet'!$E$13+1,1))</f>
        <v>320.46614113586043</v>
      </c>
      <c r="CZ26" s="62">
        <f t="shared" si="42"/>
        <v>250.7806929924491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0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0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9.3000000000000007</v>
      </c>
      <c r="DO26" s="13">
        <f>IF('Données projet'!$A$166&gt;35,DO25+DN26-DW25,IF(A26&lt;'Données projet'!$A$166,$DL$205^A26,IF(A26='Données projet'!$A$166,'Données projet'!$B$166,DO25+DN26-DW25)))</f>
        <v>55.899999999999991</v>
      </c>
      <c r="DP26" s="18">
        <f>DO26*VLOOKUP('Données projet'!$B$14,Paramètres!$A$1:$I$89,3,0)*VLOOKUP('Données projet'!$B$14,Paramètres!$A$1:$I$89,5,0)</f>
        <v>26.161199999999994</v>
      </c>
      <c r="DQ26" s="14">
        <f t="shared" si="43"/>
        <v>8.2450705120606234</v>
      </c>
      <c r="DR26" s="22">
        <f t="shared" si="16"/>
        <v>59.924254475172233</v>
      </c>
      <c r="DS26" s="62">
        <f t="shared" si="17"/>
        <v>283.40945118471871</v>
      </c>
      <c r="DT26" s="62">
        <f ca="1">AVERAGE(OFFSET($DS$3,0,0,'Données projet'!$E$14+1,1))-AVERAGE(OFFSET($H$3,0,0,'Données projet'!$E$14+1,1))</f>
        <v>429.87867712133851</v>
      </c>
      <c r="DU26" s="62">
        <f t="shared" si="44"/>
        <v>182.81277865988014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6.9230769230769225</v>
      </c>
      <c r="EJ26" s="13">
        <f>IF('Données projet'!$A$192&gt;35,EJ25+EI26-ER25,IF(A26&lt;'Données projet'!$A$192,$EG$205^A26,IF(A26='Données projet'!$A$192,'Données projet'!$B$192,EJ25+EI26-ER25)))</f>
        <v>83.589743589743591</v>
      </c>
      <c r="EK26" s="18">
        <f>EJ26*VLOOKUP('Données projet'!$B$15,Paramètres!$A$1:$I$89,3,0)*VLOOKUP('Données projet'!$B$15,Paramètres!$A$1:$I$89,5,0)</f>
        <v>56.071999999999996</v>
      </c>
      <c r="EL26" s="14">
        <f t="shared" si="45"/>
        <v>16.17126790367621</v>
      </c>
      <c r="EM26" s="22">
        <f t="shared" si="19"/>
        <v>125.82369159890273</v>
      </c>
      <c r="EN26" s="62">
        <f t="shared" si="20"/>
        <v>349.30888830844924</v>
      </c>
      <c r="EO26" s="62">
        <f ca="1">AVERAGE(OFFSET($EN$3,0,0,'Données projet'!$E$15+1,1))-AVERAGE(OFFSET($H$3,0,0,'Données projet'!$E$15+1,1))</f>
        <v>296.18088377871669</v>
      </c>
      <c r="EP26" s="62">
        <f t="shared" si="46"/>
        <v>252.23833925792056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6.9230769230769225</v>
      </c>
      <c r="FE26" s="13">
        <f>IF('Données projet'!$A$218&gt;35,FE25+FD26-FM25,IF(A26&lt;'Données projet'!$A$218,$FB$205^A26,IF(A26='Données projet'!$A$218,'Données projet'!$B$218,FE25+FD26-FM25)))</f>
        <v>83.589743589743591</v>
      </c>
      <c r="FF26" s="18">
        <f>FE26*VLOOKUP('Données projet'!$B$16,Paramètres!$A$1:$I$89,3,0)*VLOOKUP('Données projet'!$B$16,Paramètres!$A$1:$I$89,5,0)</f>
        <v>71.720000000000013</v>
      </c>
      <c r="FG26" s="14">
        <f t="shared" si="47"/>
        <v>20.099988875837436</v>
      </c>
      <c r="FH26" s="22">
        <f t="shared" si="22"/>
        <v>159.91981395875021</v>
      </c>
      <c r="FI26" s="62">
        <f t="shared" si="23"/>
        <v>383.40501066829671</v>
      </c>
      <c r="FJ26" s="62">
        <f ca="1">AVERAGE(OFFSET($FI$3,0,0,'Données projet'!$E$16+1,1))-AVERAGE(OFFSET($H$3,0,0,'Données projet'!$E$16+1,1))</f>
        <v>359.20464555327072</v>
      </c>
      <c r="FK26" s="62">
        <f t="shared" si="48"/>
        <v>305.54154052071863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5.6</v>
      </c>
      <c r="N27" s="14">
        <f>IF('Données projet'!$A$36&gt;35,N26+M27-V26,IF(A27&lt;'Données projet'!$A$36,$K$205^A27,IF(A27='Données projet'!$A$36,'Données projet'!$B$36,N26+M27-V26)))</f>
        <v>64.400000000000006</v>
      </c>
      <c r="O27" s="14">
        <f>N27*VLOOKUP('Données projet'!$B$9,Paramètres!$A$1:$I$89,3,0)*VLOOKUP('Données projet'!$B$9,Paramètres!$A$1:$I$89,5,0)</f>
        <v>65.301600000000008</v>
      </c>
      <c r="P27" s="14">
        <f t="shared" si="33"/>
        <v>18.502003309535596</v>
      </c>
      <c r="Q27" s="22">
        <f t="shared" si="2"/>
        <v>145.95794243077449</v>
      </c>
      <c r="R27" s="62">
        <f t="shared" si="0"/>
        <v>371.72865061439427</v>
      </c>
      <c r="S27" s="62">
        <f ca="1">AVERAGE(OFFSET($R$3,0,0,'Données projet'!$E$9+1,1))-AVERAGE(OFFSET($H$3,0,0,'Données projet'!$E$9+1,1))</f>
        <v>516.30971934066179</v>
      </c>
      <c r="T27" s="62">
        <f t="shared" si="34"/>
        <v>290.84286505723571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69.320160000000001</v>
      </c>
      <c r="AK27" s="14">
        <f t="shared" si="35"/>
        <v>19.50453356393022</v>
      </c>
      <c r="AL27" s="22">
        <f t="shared" si="4"/>
        <v>154.70300795717847</v>
      </c>
      <c r="AM27" s="62">
        <f t="shared" si="5"/>
        <v>380.47371614079827</v>
      </c>
      <c r="AN27" s="62">
        <f ca="1">AVERAGE(OFFSET($AM$3,0,0,'Données projet'!$E$10+1,1))-AVERAGE(OFFSET($H$3,0,0,'Données projet'!$E$10+1,1))</f>
        <v>542.90832990875208</v>
      </c>
      <c r="AO27" s="62">
        <f t="shared" si="36"/>
        <v>304.94365539329362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62.287680000000009</v>
      </c>
      <c r="BF27" s="14">
        <f t="shared" si="37"/>
        <v>17.745400652396182</v>
      </c>
      <c r="BG27" s="22">
        <f t="shared" si="7"/>
        <v>139.39094880292336</v>
      </c>
      <c r="BH27" s="62">
        <f t="shared" si="8"/>
        <v>365.16165698654316</v>
      </c>
      <c r="BI27" s="62">
        <f ca="1">AVERAGE(OFFSET($BH$3,0,0,'Données projet'!$E$11+1,1))-AVERAGE(OFFSET($H$3,0,0,'Données projet'!$E$11+1,1))</f>
        <v>496.33873798282525</v>
      </c>
      <c r="BJ27" s="62">
        <f t="shared" si="38"/>
        <v>280.25465074992246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10.119999999999999</v>
      </c>
      <c r="BY27" s="13">
        <f>IF('Données projet'!$A$114&gt;35,BY26+BX27-CG26,IF(A27&lt;'Données projet'!$A$114,$BV$205^A27,IF(A27='Données projet'!$A$114,'Données projet'!$B$114,BY26+BX27-CG26)))</f>
        <v>97.180000000000021</v>
      </c>
      <c r="BZ27" s="14">
        <f>BY27*VLOOKUP('Données projet'!$B$12,Paramètres!$A$1:$I$89,3,0)*VLOOKUP('Données projet'!$B$12,Paramètres!$A$1:$I$89,5,0)</f>
        <v>84.896448000000021</v>
      </c>
      <c r="CA27" s="14">
        <f t="shared" si="39"/>
        <v>23.330220573886617</v>
      </c>
      <c r="CB27" s="22">
        <f t="shared" si="10"/>
        <v>188.4947810995192</v>
      </c>
      <c r="CC27" s="62">
        <f t="shared" si="11"/>
        <v>414.265489283139</v>
      </c>
      <c r="CD27" s="62">
        <f ca="1">AVERAGE(OFFSET($CC$3,0,0,'Données projet'!$E$12+1,1))-AVERAGE(OFFSET($H$3,0,0,'Données projet'!$E$12+1,1))</f>
        <v>298.28891728374822</v>
      </c>
      <c r="CE27" s="62">
        <f t="shared" si="40"/>
        <v>275.07405533331371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4.3703703703703702</v>
      </c>
      <c r="CT27" s="13">
        <f>IF('Données projet'!$A$140&gt;35,CT26+CS27-DB26,IF(A27&lt;'Données projet'!$A$140,$CQ$205^A27,IF(A27='Données projet'!$A$140,'Données projet'!$B$140,CT26+CS27-DB26)))</f>
        <v>69.450103194459274</v>
      </c>
      <c r="CU27" s="18">
        <f>CT27*VLOOKUP('Données projet'!$B$13,Paramètres!$A$1:$I$89,3,0)*VLOOKUP('Données projet'!$B$13,Paramètres!$A$1:$I$89,5,0)</f>
        <v>41.531161710286646</v>
      </c>
      <c r="CV27" s="14">
        <f t="shared" si="41"/>
        <v>12.40358997659513</v>
      </c>
      <c r="CW27" s="22">
        <f t="shared" si="13"/>
        <v>93.936359187985758</v>
      </c>
      <c r="CX27" s="62">
        <f t="shared" si="14"/>
        <v>319.70706737160555</v>
      </c>
      <c r="CY27" s="62">
        <f ca="1">AVERAGE(OFFSET($CX$3,0,0,'Données projet'!$E$13+1,1))-AVERAGE(OFFSET($H$3,0,0,'Données projet'!$E$13+1,1))</f>
        <v>320.46614113586043</v>
      </c>
      <c r="CZ27" s="62">
        <f t="shared" si="42"/>
        <v>250.7806929924491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0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0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9.3000000000000007</v>
      </c>
      <c r="DO27" s="13">
        <f>IF('Données projet'!$A$166&gt;35,DO26+DN27-DW26,IF(A27&lt;'Données projet'!$A$166,$DL$205^A27,IF(A27='Données projet'!$A$166,'Données projet'!$B$166,DO26+DN27-DW26)))</f>
        <v>65.199999999999989</v>
      </c>
      <c r="DP27" s="18">
        <f>DO27*VLOOKUP('Données projet'!$B$14,Paramètres!$A$1:$I$89,3,0)*VLOOKUP('Données projet'!$B$14,Paramètres!$A$1:$I$89,5,0)</f>
        <v>30.513599999999993</v>
      </c>
      <c r="DQ27" s="14">
        <f t="shared" si="43"/>
        <v>9.4460551368326566</v>
      </c>
      <c r="DR27" s="22">
        <f t="shared" si="16"/>
        <v>69.596399363316863</v>
      </c>
      <c r="DS27" s="62">
        <f t="shared" si="17"/>
        <v>295.36710754693667</v>
      </c>
      <c r="DT27" s="62">
        <f ca="1">AVERAGE(OFFSET($DS$3,0,0,'Données projet'!$E$14+1,1))-AVERAGE(OFFSET($H$3,0,0,'Données projet'!$E$14+1,1))</f>
        <v>429.87867712133851</v>
      </c>
      <c r="DU27" s="62">
        <f t="shared" si="44"/>
        <v>182.81277865988014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6.9230769230769225</v>
      </c>
      <c r="EJ27" s="13">
        <f>IF('Données projet'!$A$192&gt;35,EJ26+EI27-ER26,IF(A27&lt;'Données projet'!$A$192,$EG$205^A27,IF(A27='Données projet'!$A$192,'Données projet'!$B$192,EJ26+EI27-ER26)))</f>
        <v>90.512820512820511</v>
      </c>
      <c r="EK27" s="18">
        <f>EJ27*VLOOKUP('Données projet'!$B$15,Paramètres!$A$1:$I$89,3,0)*VLOOKUP('Données projet'!$B$15,Paramètres!$A$1:$I$89,5,0)</f>
        <v>60.716000000000001</v>
      </c>
      <c r="EL27" s="14">
        <f t="shared" si="45"/>
        <v>17.349171104763276</v>
      </c>
      <c r="EM27" s="22">
        <f t="shared" si="19"/>
        <v>135.96350634079604</v>
      </c>
      <c r="EN27" s="62">
        <f t="shared" si="20"/>
        <v>361.73421452441585</v>
      </c>
      <c r="EO27" s="62">
        <f ca="1">AVERAGE(OFFSET($EN$3,0,0,'Données projet'!$E$15+1,1))-AVERAGE(OFFSET($H$3,0,0,'Données projet'!$E$15+1,1))</f>
        <v>296.18088377871669</v>
      </c>
      <c r="EP27" s="62">
        <f t="shared" si="46"/>
        <v>252.23833925792056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6.9230769230769225</v>
      </c>
      <c r="FE27" s="13">
        <f>IF('Données projet'!$A$218&gt;35,FE26+FD27-FM26,IF(A27&lt;'Données projet'!$A$218,$FB$205^A27,IF(A27='Données projet'!$A$218,'Données projet'!$B$218,FE26+FD27-FM26)))</f>
        <v>90.512820512820511</v>
      </c>
      <c r="FF27" s="18">
        <f>FE27*VLOOKUP('Données projet'!$B$16,Paramètres!$A$1:$I$89,3,0)*VLOOKUP('Données projet'!$B$16,Paramètres!$A$1:$I$89,5,0)</f>
        <v>77.660000000000011</v>
      </c>
      <c r="FG27" s="14">
        <f t="shared" si="47"/>
        <v>21.564057208616799</v>
      </c>
      <c r="FH27" s="22">
        <f t="shared" si="22"/>
        <v>172.81523297167428</v>
      </c>
      <c r="FI27" s="62">
        <f t="shared" si="23"/>
        <v>398.58594115529411</v>
      </c>
      <c r="FJ27" s="62">
        <f ca="1">AVERAGE(OFFSET($FI$3,0,0,'Données projet'!$E$16+1,1))-AVERAGE(OFFSET($H$3,0,0,'Données projet'!$E$16+1,1))</f>
        <v>359.20464555327072</v>
      </c>
      <c r="FK27" s="62">
        <f t="shared" si="48"/>
        <v>305.54154052071863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70</v>
      </c>
      <c r="L28" s="13">
        <f>VLOOKUP(A28,'Données projet'!$A$35:$I$55,9,0)</f>
        <v>5.6</v>
      </c>
      <c r="M28" s="13">
        <f t="array" ref="M28">INDEX(L:L,MIN(IF(ISNUMBER(L28:L224),ROW(L28:L224),"")))</f>
        <v>5.6</v>
      </c>
      <c r="N28" s="14">
        <f>IF('Données projet'!$A$36&gt;35,N27+M28-V27,IF(A28&lt;'Données projet'!$A$36,$K$205^A28,IF(A28='Données projet'!$A$36,'Données projet'!$B$36,N27+M28-V27)))</f>
        <v>70</v>
      </c>
      <c r="O28" s="14">
        <f>N28*VLOOKUP('Données projet'!$B$9,Paramètres!$A$1:$I$89,3,0)*VLOOKUP('Données projet'!$B$9,Paramètres!$A$1:$I$89,5,0)</f>
        <v>70.98</v>
      </c>
      <c r="P28" s="14">
        <f t="shared" si="33"/>
        <v>19.916628839746853</v>
      </c>
      <c r="Q28" s="22">
        <f t="shared" si="2"/>
        <v>158.31162856255909</v>
      </c>
      <c r="R28" s="62">
        <f t="shared" si="0"/>
        <v>386.34940252889123</v>
      </c>
      <c r="S28" s="62">
        <f ca="1">AVERAGE(OFFSET($R$3,0,0,'Données projet'!$E$9+1,1))-AVERAGE(OFFSET($H$3,0,0,'Données projet'!$E$9+1,1))</f>
        <v>516.30971934066179</v>
      </c>
      <c r="T28" s="62">
        <f t="shared" si="34"/>
        <v>290.84286505723571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75.347999999999999</v>
      </c>
      <c r="AK28" s="14">
        <f t="shared" si="35"/>
        <v>20.99581051771704</v>
      </c>
      <c r="AL28" s="22">
        <f t="shared" si="4"/>
        <v>167.79880331835713</v>
      </c>
      <c r="AM28" s="62">
        <f t="shared" si="5"/>
        <v>395.83657728468927</v>
      </c>
      <c r="AN28" s="62">
        <f ca="1">AVERAGE(OFFSET($AM$3,0,0,'Données projet'!$E$10+1,1))-AVERAGE(OFFSET($H$3,0,0,'Données projet'!$E$10+1,1))</f>
        <v>542.90832990875208</v>
      </c>
      <c r="AO28" s="62">
        <f t="shared" si="36"/>
        <v>304.94365539329362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67.703999999999994</v>
      </c>
      <c r="BF28" s="14">
        <f t="shared" si="37"/>
        <v>19.102177882771514</v>
      </c>
      <c r="BG28" s="22">
        <f t="shared" si="7"/>
        <v>151.18742647916039</v>
      </c>
      <c r="BH28" s="62">
        <f t="shared" si="8"/>
        <v>379.22520044549253</v>
      </c>
      <c r="BI28" s="62">
        <f ca="1">AVERAGE(OFFSET($BH$3,0,0,'Données projet'!$E$11+1,1))-AVERAGE(OFFSET($H$3,0,0,'Données projet'!$E$11+1,1))</f>
        <v>496.33873798282525</v>
      </c>
      <c r="BJ28" s="62">
        <f t="shared" si="38"/>
        <v>280.25465074992246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107.3</v>
      </c>
      <c r="BW28" s="13">
        <f>VLOOKUP(A28,'Données projet'!$A$113:$I$133,9,0)</f>
        <v>10.119999999999999</v>
      </c>
      <c r="BX28" s="13">
        <f t="array" ref="BX28">INDEX(BW:BW,MIN(IF(ISNUMBER(BW28:BW224),ROW(BW28:BW224),"")))</f>
        <v>10.119999999999999</v>
      </c>
      <c r="BY28" s="13">
        <f>IF('Données projet'!$A$114&gt;35,BY27+BX28-CG27,IF(A28&lt;'Données projet'!$A$114,$BV$205^A28,IF(A28='Données projet'!$A$114,'Données projet'!$B$114,BY27+BX28-CG27)))</f>
        <v>107.30000000000003</v>
      </c>
      <c r="BZ28" s="14">
        <f>BY28*VLOOKUP('Données projet'!$B$12,Paramètres!$A$1:$I$89,3,0)*VLOOKUP('Données projet'!$B$12,Paramètres!$A$1:$I$89,5,0)</f>
        <v>93.737280000000041</v>
      </c>
      <c r="CA28" s="14">
        <f t="shared" si="39"/>
        <v>25.464421537098321</v>
      </c>
      <c r="CB28" s="22">
        <f t="shared" si="10"/>
        <v>207.60963017711296</v>
      </c>
      <c r="CC28" s="62">
        <f t="shared" si="11"/>
        <v>435.6474041434451</v>
      </c>
      <c r="CD28" s="62">
        <f ca="1">AVERAGE(OFFSET($CC$3,0,0,'Données projet'!$E$12+1,1))-AVERAGE(OFFSET($H$3,0,0,'Données projet'!$E$12+1,1))</f>
        <v>298.28891728374822</v>
      </c>
      <c r="CE28" s="62">
        <f t="shared" si="40"/>
        <v>275.07405533331371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42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4.3703703703703702</v>
      </c>
      <c r="CT28" s="13">
        <f>IF('Données projet'!$A$140&gt;35,CT27+CS28-DB27,IF(A28&lt;'Données projet'!$A$140,$CQ$205^A28,IF(A28='Données projet'!$A$140,'Données projet'!$B$140,CT27+CS28-DB27)))</f>
        <v>82.872275918900684</v>
      </c>
      <c r="CU28" s="18">
        <f>CT28*VLOOKUP('Données projet'!$B$13,Paramètres!$A$1:$I$89,3,0)*VLOOKUP('Données projet'!$B$13,Paramètres!$A$1:$I$89,5,0)</f>
        <v>49.557620999502618</v>
      </c>
      <c r="CV28" s="14">
        <f t="shared" si="41"/>
        <v>14.49945433410293</v>
      </c>
      <c r="CW28" s="22">
        <f t="shared" si="13"/>
        <v>111.56607287269634</v>
      </c>
      <c r="CX28" s="62">
        <f t="shared" si="14"/>
        <v>339.60384683902845</v>
      </c>
      <c r="CY28" s="62">
        <f ca="1">AVERAGE(OFFSET($CX$3,0,0,'Données projet'!$E$13+1,1))-AVERAGE(OFFSET($H$3,0,0,'Données projet'!$E$13+1,1))</f>
        <v>320.46614113586043</v>
      </c>
      <c r="CZ28" s="62">
        <f t="shared" si="42"/>
        <v>250.7806929924491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0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0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9.3000000000000007</v>
      </c>
      <c r="DO28" s="13">
        <f>IF('Données projet'!$A$166&gt;35,DO27+DN28-DW27,IF(A28&lt;'Données projet'!$A$166,$DL$205^A28,IF(A28='Données projet'!$A$166,'Données projet'!$B$166,DO27+DN28-DW27)))</f>
        <v>74.499999999999986</v>
      </c>
      <c r="DP28" s="18">
        <f>DO28*VLOOKUP('Données projet'!$B$14,Paramètres!$A$1:$I$89,3,0)*VLOOKUP('Données projet'!$B$14,Paramètres!$A$1:$I$89,5,0)</f>
        <v>34.865999999999993</v>
      </c>
      <c r="DQ28" s="14">
        <f t="shared" si="43"/>
        <v>10.627193376648185</v>
      </c>
      <c r="DR28" s="22">
        <f t="shared" si="16"/>
        <v>79.233978464328899</v>
      </c>
      <c r="DS28" s="62">
        <f t="shared" si="17"/>
        <v>307.27175243066102</v>
      </c>
      <c r="DT28" s="62">
        <f ca="1">AVERAGE(OFFSET($DS$3,0,0,'Données projet'!$E$14+1,1))-AVERAGE(OFFSET($H$3,0,0,'Données projet'!$E$14+1,1))</f>
        <v>429.87867712133851</v>
      </c>
      <c r="DU28" s="62">
        <f t="shared" si="44"/>
        <v>182.81277865988014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97.435897435897431</v>
      </c>
      <c r="EH28" s="13">
        <f>VLOOKUP(A28,'Données projet'!$A$191:$I$211,9,0)</f>
        <v>6.9230769230769225</v>
      </c>
      <c r="EI28" s="13">
        <f t="array" ref="EI28">INDEX(EH:EH,MIN(IF(ISNUMBER(EH28:EH224),ROW(EH28:EH224),"")))</f>
        <v>6.9230769230769225</v>
      </c>
      <c r="EJ28" s="13">
        <f>IF('Données projet'!$A$192&gt;35,EJ27+EI28-ER27,IF(A28&lt;'Données projet'!$A$192,$EG$205^A28,IF(A28='Données projet'!$A$192,'Données projet'!$B$192,EJ27+EI28-ER27)))</f>
        <v>97.435897435897431</v>
      </c>
      <c r="EK28" s="18">
        <f>EJ28*VLOOKUP('Données projet'!$B$15,Paramètres!$A$1:$I$89,3,0)*VLOOKUP('Données projet'!$B$15,Paramètres!$A$1:$I$89,5,0)</f>
        <v>65.36</v>
      </c>
      <c r="EL28" s="14">
        <f t="shared" si="45"/>
        <v>18.516623091261007</v>
      </c>
      <c r="EM28" s="22">
        <f t="shared" si="19"/>
        <v>146.08511855061292</v>
      </c>
      <c r="EN28" s="62">
        <f t="shared" si="20"/>
        <v>374.12289251694506</v>
      </c>
      <c r="EO28" s="62">
        <f ca="1">AVERAGE(OFFSET($EN$3,0,0,'Données projet'!$E$15+1,1))-AVERAGE(OFFSET($H$3,0,0,'Données projet'!$E$15+1,1))</f>
        <v>296.18088377871669</v>
      </c>
      <c r="EP28" s="62">
        <f t="shared" si="46"/>
        <v>252.23833925792056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97.435897435897431</v>
      </c>
      <c r="FC28" s="13">
        <f>VLOOKUP(A28,'Données projet'!$A$217:$I$237,9,0)</f>
        <v>6.9230769230769225</v>
      </c>
      <c r="FD28" s="13">
        <f t="array" ref="FD28">INDEX(FC:FC,MIN(IF(ISNUMBER(FC28:FC224),ROW(FC28:FC224),"")))</f>
        <v>6.9230769230769225</v>
      </c>
      <c r="FE28" s="13">
        <f>IF('Données projet'!$A$218&gt;35,FE27+FD28-FM27,IF(A28&lt;'Données projet'!$A$218,$FB$205^A28,IF(A28='Données projet'!$A$218,'Données projet'!$B$218,FE27+FD28-FM27)))</f>
        <v>97.435897435897431</v>
      </c>
      <c r="FF28" s="18">
        <f>FE28*VLOOKUP('Données projet'!$B$16,Paramètres!$A$1:$I$89,3,0)*VLOOKUP('Données projet'!$B$16,Paramètres!$A$1:$I$89,5,0)</f>
        <v>83.600000000000009</v>
      </c>
      <c r="FG28" s="14">
        <f t="shared" si="47"/>
        <v>23.01513526146039</v>
      </c>
      <c r="FH28" s="22">
        <f t="shared" si="22"/>
        <v>185.68802724704349</v>
      </c>
      <c r="FI28" s="62">
        <f t="shared" si="23"/>
        <v>413.72580121337558</v>
      </c>
      <c r="FJ28" s="62">
        <f ca="1">AVERAGE(OFFSET($FI$3,0,0,'Données projet'!$E$16+1,1))-AVERAGE(OFFSET($H$3,0,0,'Données projet'!$E$16+1,1))</f>
        <v>359.20464555327072</v>
      </c>
      <c r="FK28" s="62">
        <f t="shared" si="48"/>
        <v>305.54154052071863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7</v>
      </c>
      <c r="N29" s="14">
        <f>IF('Données projet'!$A$36&gt;35,N28+M29-V28,IF(A29&lt;'Données projet'!$A$36,$K$205^A29,IF(A29='Données projet'!$A$36,'Données projet'!$B$36,N28+M29-V28)))</f>
        <v>77</v>
      </c>
      <c r="O29" s="14">
        <f>N29*VLOOKUP('Données projet'!$B$9,Paramètres!$A$1:$I$89,3,0)*VLOOKUP('Données projet'!$B$9,Paramètres!$A$1:$I$89,5,0)</f>
        <v>78.078000000000003</v>
      </c>
      <c r="P29" s="14">
        <f t="shared" si="33"/>
        <v>21.666582091642084</v>
      </c>
      <c r="Q29" s="22">
        <f t="shared" si="2"/>
        <v>173.72181380960993</v>
      </c>
      <c r="R29" s="62">
        <f t="shared" si="0"/>
        <v>404.00852785880011</v>
      </c>
      <c r="S29" s="62">
        <f ca="1">AVERAGE(OFFSET($R$3,0,0,'Données projet'!$E$9+1,1))-AVERAGE(OFFSET($H$3,0,0,'Données projet'!$E$9+1,1))</f>
        <v>516.30971934066179</v>
      </c>
      <c r="T29" s="62">
        <f t="shared" si="34"/>
        <v>290.84286505723571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77</v>
      </c>
      <c r="AJ29" s="14">
        <f>AI29*VLOOKUP('Données projet'!$B$10,Paramètres!$A$1:$I$89,3,0)*VLOOKUP('Données projet'!$B$10,Paramètres!$A$1:$I$89,5,0)</f>
        <v>82.882799999999989</v>
      </c>
      <c r="AK29" s="14">
        <f t="shared" si="35"/>
        <v>22.840584911380041</v>
      </c>
      <c r="AL29" s="22">
        <f t="shared" si="4"/>
        <v>184.1348953873202</v>
      </c>
      <c r="AM29" s="62">
        <f t="shared" si="5"/>
        <v>414.42160943651038</v>
      </c>
      <c r="AN29" s="62">
        <f ca="1">AVERAGE(OFFSET($AM$3,0,0,'Données projet'!$E$10+1,1))-AVERAGE(OFFSET($H$3,0,0,'Données projet'!$E$10+1,1))</f>
        <v>542.90832990875208</v>
      </c>
      <c r="AO29" s="62">
        <f t="shared" si="36"/>
        <v>304.94365539329362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77</v>
      </c>
      <c r="BE29" s="14">
        <f>BD29*VLOOKUP('Données projet'!$B$11,Paramètres!$A$1:$I$89,3,0)*VLOOKUP('Données projet'!$B$11,Paramètres!$A$1:$I$89,5,0)</f>
        <v>74.474400000000003</v>
      </c>
      <c r="BF29" s="14">
        <f t="shared" si="37"/>
        <v>20.780570274034375</v>
      </c>
      <c r="BG29" s="22">
        <f t="shared" si="7"/>
        <v>165.90240656060988</v>
      </c>
      <c r="BH29" s="62">
        <f t="shared" si="8"/>
        <v>396.18912060980006</v>
      </c>
      <c r="BI29" s="62">
        <f ca="1">AVERAGE(OFFSET($BH$3,0,0,'Données projet'!$E$11+1,1))-AVERAGE(OFFSET($H$3,0,0,'Données projet'!$E$11+1,1))</f>
        <v>496.33873798282525</v>
      </c>
      <c r="BJ29" s="62">
        <f t="shared" si="38"/>
        <v>280.25465074992246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9.64</v>
      </c>
      <c r="BY29" s="13">
        <f>IF('Données projet'!$A$114&gt;35,BY28+BX29-CG28,IF(A29&lt;'Données projet'!$A$114,$BV$205^A29,IF(A29='Données projet'!$A$114,'Données projet'!$B$114,BY28+BX29-CG28)))</f>
        <v>74.940000000000026</v>
      </c>
      <c r="BZ29" s="14">
        <f>BY29*VLOOKUP('Données projet'!$B$12,Paramètres!$A$1:$I$89,3,0)*VLOOKUP('Données projet'!$B$12,Paramètres!$A$1:$I$89,5,0)</f>
        <v>65.467584000000031</v>
      </c>
      <c r="CA29" s="14">
        <f t="shared" si="39"/>
        <v>18.543551553673169</v>
      </c>
      <c r="CB29" s="22">
        <f t="shared" si="10"/>
        <v>146.31939442264749</v>
      </c>
      <c r="CC29" s="62">
        <f t="shared" si="11"/>
        <v>376.60610847183767</v>
      </c>
      <c r="CD29" s="62">
        <f ca="1">AVERAGE(OFFSET($CC$3,0,0,'Données projet'!$E$12+1,1))-AVERAGE(OFFSET($H$3,0,0,'Données projet'!$E$12+1,1))</f>
        <v>298.28891728374822</v>
      </c>
      <c r="CE29" s="62">
        <f t="shared" si="40"/>
        <v>275.07405533331371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4.3703703703703702</v>
      </c>
      <c r="CT29" s="13">
        <f>IF('Données projet'!$A$140&gt;35,CT28+CS29-DB28,IF(A29&lt;'Données projet'!$A$140,$CQ$205^A29,IF(A29='Données projet'!$A$140,'Données projet'!$B$140,CT28+CS29-DB28)))</f>
        <v>98.888465244589028</v>
      </c>
      <c r="CU29" s="18">
        <f>CT29*VLOOKUP('Données projet'!$B$13,Paramètres!$A$1:$I$89,3,0)*VLOOKUP('Données projet'!$B$13,Paramètres!$A$1:$I$89,5,0)</f>
        <v>59.135302216264243</v>
      </c>
      <c r="CV29" s="14">
        <f t="shared" si="41"/>
        <v>16.949461920575921</v>
      </c>
      <c r="CW29" s="22">
        <f t="shared" si="13"/>
        <v>132.51429753832994</v>
      </c>
      <c r="CX29" s="62">
        <f t="shared" si="14"/>
        <v>362.80101158752012</v>
      </c>
      <c r="CY29" s="62">
        <f ca="1">AVERAGE(OFFSET($CX$3,0,0,'Données projet'!$E$13+1,1))-AVERAGE(OFFSET($H$3,0,0,'Données projet'!$E$13+1,1))</f>
        <v>320.46614113586043</v>
      </c>
      <c r="CZ29" s="62">
        <f t="shared" si="42"/>
        <v>250.7806929924491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0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0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9.3000000000000007</v>
      </c>
      <c r="DO29" s="13">
        <f>IF('Données projet'!$A$166&gt;35,DO28+DN29-DW28,IF(A29&lt;'Données projet'!$A$166,$DL$205^A29,IF(A29='Données projet'!$A$166,'Données projet'!$B$166,DO28+DN29-DW28)))</f>
        <v>83.799999999999983</v>
      </c>
      <c r="DP29" s="18">
        <f>DO29*VLOOKUP('Données projet'!$B$14,Paramètres!$A$1:$I$89,3,0)*VLOOKUP('Données projet'!$B$14,Paramètres!$A$1:$I$89,5,0)</f>
        <v>39.218399999999988</v>
      </c>
      <c r="DQ29" s="14">
        <f t="shared" si="43"/>
        <v>11.7912464178037</v>
      </c>
      <c r="DR29" s="22">
        <f t="shared" si="16"/>
        <v>88.841800844341421</v>
      </c>
      <c r="DS29" s="62">
        <f t="shared" si="17"/>
        <v>319.12851489353159</v>
      </c>
      <c r="DT29" s="62">
        <f ca="1">AVERAGE(OFFSET($DS$3,0,0,'Données projet'!$E$14+1,1))-AVERAGE(OFFSET($H$3,0,0,'Données projet'!$E$14+1,1))</f>
        <v>429.87867712133851</v>
      </c>
      <c r="DU29" s="62">
        <f t="shared" si="44"/>
        <v>182.81277865988014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6.9230769230769225</v>
      </c>
      <c r="EJ29" s="13">
        <f>IF('Données projet'!$A$192&gt;35,EJ28+EI29-ER28,IF(A29&lt;'Données projet'!$A$192,$EG$205^A29,IF(A29='Données projet'!$A$192,'Données projet'!$B$192,EJ28+EI29-ER28)))</f>
        <v>104.35897435897435</v>
      </c>
      <c r="EK29" s="18">
        <f>EJ29*VLOOKUP('Données projet'!$B$15,Paramètres!$A$1:$I$89,3,0)*VLOOKUP('Données projet'!$B$15,Paramètres!$A$1:$I$89,5,0)</f>
        <v>70.003999999999991</v>
      </c>
      <c r="EL29" s="14">
        <f t="shared" si="45"/>
        <v>19.674450909053238</v>
      </c>
      <c r="EM29" s="22">
        <f t="shared" si="19"/>
        <v>156.189968666601</v>
      </c>
      <c r="EN29" s="62">
        <f t="shared" si="20"/>
        <v>386.47668271579118</v>
      </c>
      <c r="EO29" s="62">
        <f ca="1">AVERAGE(OFFSET($EN$3,0,0,'Données projet'!$E$15+1,1))-AVERAGE(OFFSET($H$3,0,0,'Données projet'!$E$15+1,1))</f>
        <v>296.18088377871669</v>
      </c>
      <c r="EP29" s="62">
        <f t="shared" si="46"/>
        <v>252.23833925792056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6.9230769230769225</v>
      </c>
      <c r="FE29" s="13">
        <f>IF('Données projet'!$A$218&gt;35,FE28+FD29-FM28,IF(A29&lt;'Données projet'!$A$218,$FB$205^A29,IF(A29='Données projet'!$A$218,'Données projet'!$B$218,FE28+FD29-FM28)))</f>
        <v>104.35897435897435</v>
      </c>
      <c r="FF29" s="18">
        <f>FE29*VLOOKUP('Données projet'!$B$16,Paramètres!$A$1:$I$89,3,0)*VLOOKUP('Données projet'!$B$16,Paramètres!$A$1:$I$89,5,0)</f>
        <v>89.54</v>
      </c>
      <c r="FG29" s="14">
        <f t="shared" si="47"/>
        <v>24.454251006520099</v>
      </c>
      <c r="FH29" s="22">
        <f t="shared" si="22"/>
        <v>198.53998716968917</v>
      </c>
      <c r="FI29" s="62">
        <f t="shared" si="23"/>
        <v>428.82670121887935</v>
      </c>
      <c r="FJ29" s="62">
        <f ca="1">AVERAGE(OFFSET($FI$3,0,0,'Données projet'!$E$16+1,1))-AVERAGE(OFFSET($H$3,0,0,'Données projet'!$E$16+1,1))</f>
        <v>359.20464555327072</v>
      </c>
      <c r="FK29" s="62">
        <f t="shared" si="48"/>
        <v>305.54154052071863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7</v>
      </c>
      <c r="N30" s="14">
        <f>IF('Données projet'!$A$36&gt;35,N29+M30-V29,IF(A30&lt;'Données projet'!$A$36,$K$205^A30,IF(A30='Données projet'!$A$36,'Données projet'!$B$36,N29+M30-V29)))</f>
        <v>84</v>
      </c>
      <c r="O30" s="14">
        <f>N30*VLOOKUP('Données projet'!$B$9,Paramètres!$A$1:$I$89,3,0)*VLOOKUP('Données projet'!$B$9,Paramètres!$A$1:$I$89,5,0)</f>
        <v>85.176000000000002</v>
      </c>
      <c r="P30" s="14">
        <f t="shared" si="33"/>
        <v>23.398088487656441</v>
      </c>
      <c r="Q30" s="22">
        <f t="shared" si="2"/>
        <v>189.09987078266829</v>
      </c>
      <c r="R30" s="62">
        <f t="shared" si="0"/>
        <v>421.6177136552318</v>
      </c>
      <c r="S30" s="62">
        <f ca="1">AVERAGE(OFFSET($R$3,0,0,'Données projet'!$E$9+1,1))-AVERAGE(OFFSET($H$3,0,0,'Données projet'!$E$9+1,1))</f>
        <v>516.30971934066179</v>
      </c>
      <c r="T30" s="62">
        <f t="shared" si="34"/>
        <v>290.84286505723571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84</v>
      </c>
      <c r="AJ30" s="14">
        <f>AI30*VLOOKUP('Données projet'!$B$10,Paramètres!$A$1:$I$89,3,0)*VLOOKUP('Données projet'!$B$10,Paramètres!$A$1:$I$89,5,0)</f>
        <v>90.417599999999993</v>
      </c>
      <c r="AK30" s="14">
        <f t="shared" si="35"/>
        <v>24.665912907068826</v>
      </c>
      <c r="AL30" s="22">
        <f t="shared" si="4"/>
        <v>200.43711831314488</v>
      </c>
      <c r="AM30" s="62">
        <f t="shared" si="5"/>
        <v>432.95496118570838</v>
      </c>
      <c r="AN30" s="62">
        <f ca="1">AVERAGE(OFFSET($AM$3,0,0,'Données projet'!$E$10+1,1))-AVERAGE(OFFSET($H$3,0,0,'Données projet'!$E$10+1,1))</f>
        <v>542.90832990875208</v>
      </c>
      <c r="AO30" s="62">
        <f t="shared" si="36"/>
        <v>304.94365539329362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84</v>
      </c>
      <c r="BE30" s="14">
        <f>BD30*VLOOKUP('Données projet'!$B$11,Paramètres!$A$1:$I$89,3,0)*VLOOKUP('Données projet'!$B$11,Paramètres!$A$1:$I$89,5,0)</f>
        <v>81.244799999999998</v>
      </c>
      <c r="BF30" s="14">
        <f t="shared" si="37"/>
        <v>22.441270156928962</v>
      </c>
      <c r="BG30" s="22">
        <f t="shared" si="7"/>
        <v>180.58657218998462</v>
      </c>
      <c r="BH30" s="62">
        <f t="shared" si="8"/>
        <v>413.10441506254813</v>
      </c>
      <c r="BI30" s="62">
        <f ca="1">AVERAGE(OFFSET($BH$3,0,0,'Données projet'!$E$11+1,1))-AVERAGE(OFFSET($H$3,0,0,'Données projet'!$E$11+1,1))</f>
        <v>496.33873798282525</v>
      </c>
      <c r="BJ30" s="62">
        <f t="shared" si="38"/>
        <v>280.25465074992246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9.64</v>
      </c>
      <c r="BY30" s="13">
        <f>IF('Données projet'!$A$114&gt;35,BY29+BX30-CG29,IF(A30&lt;'Données projet'!$A$114,$BV$205^A30,IF(A30='Données projet'!$A$114,'Données projet'!$B$114,BY29+BX30-CG29)))</f>
        <v>84.580000000000027</v>
      </c>
      <c r="BZ30" s="14">
        <f>BY30*VLOOKUP('Données projet'!$B$12,Paramètres!$A$1:$I$89,3,0)*VLOOKUP('Données projet'!$B$12,Paramètres!$A$1:$I$89,5,0)</f>
        <v>73.889088000000029</v>
      </c>
      <c r="CA30" s="14">
        <f t="shared" si="39"/>
        <v>20.636195016757007</v>
      </c>
      <c r="CB30" s="22">
        <f t="shared" si="10"/>
        <v>164.63153458751853</v>
      </c>
      <c r="CC30" s="62">
        <f t="shared" si="11"/>
        <v>397.14937746008206</v>
      </c>
      <c r="CD30" s="62">
        <f ca="1">AVERAGE(OFFSET($CC$3,0,0,'Données projet'!$E$12+1,1))-AVERAGE(OFFSET($H$3,0,0,'Données projet'!$E$12+1,1))</f>
        <v>298.28891728374822</v>
      </c>
      <c r="CE30" s="62">
        <f t="shared" si="40"/>
        <v>275.07405533331371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>
        <f>VLOOKUP(A30,'Données projet'!$A$139:$I$159,2,0)</f>
        <v>118</v>
      </c>
      <c r="CR30" s="13">
        <f>VLOOKUP(A30,'Données projet'!$A$139:$I$159,9,0)</f>
        <v>4.3703703703703702</v>
      </c>
      <c r="CS30" s="13">
        <f t="array" ref="CS30">INDEX(CR:CR,MIN(IF(ISNUMBER(CR30:CR226),ROW(CR30:CR226),"")))</f>
        <v>4.3703703703703702</v>
      </c>
      <c r="CT30" s="13">
        <f>IF('Données projet'!$A$140&gt;35,CT29+CS30-DB29,IF(A30&lt;'Données projet'!$A$140,$CQ$205^A30,IF(A30='Données projet'!$A$140,'Données projet'!$B$140,CT29+CS30-DB29)))</f>
        <v>118</v>
      </c>
      <c r="CU30" s="18">
        <f>CT30*VLOOKUP('Données projet'!$B$13,Paramètres!$A$1:$I$89,3,0)*VLOOKUP('Données projet'!$B$13,Paramètres!$A$1:$I$89,5,0)</f>
        <v>70.564000000000007</v>
      </c>
      <c r="CV30" s="14">
        <f t="shared" si="41"/>
        <v>19.813453167086163</v>
      </c>
      <c r="CW30" s="22">
        <f t="shared" si="13"/>
        <v>157.40739759934175</v>
      </c>
      <c r="CX30" s="62">
        <f t="shared" si="14"/>
        <v>389.92524047190523</v>
      </c>
      <c r="CY30" s="62">
        <f ca="1">AVERAGE(OFFSET($CX$3,0,0,'Données projet'!$E$13+1,1))-AVERAGE(OFFSET($H$3,0,0,'Données projet'!$E$13+1,1))</f>
        <v>320.46614113586043</v>
      </c>
      <c r="CZ30" s="62">
        <f t="shared" si="42"/>
        <v>250.7806929924491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0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0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9.3000000000000007</v>
      </c>
      <c r="DO30" s="13">
        <f>IF('Données projet'!$A$166&gt;35,DO29+DN30-DW29,IF(A30&lt;'Données projet'!$A$166,$DL$205^A30,IF(A30='Données projet'!$A$166,'Données projet'!$B$166,DO29+DN30-DW29)))</f>
        <v>93.09999999999998</v>
      </c>
      <c r="DP30" s="18">
        <f>DO30*VLOOKUP('Données projet'!$B$14,Paramètres!$A$1:$I$89,3,0)*VLOOKUP('Données projet'!$B$14,Paramètres!$A$1:$I$89,5,0)</f>
        <v>43.570799999999991</v>
      </c>
      <c r="DQ30" s="14">
        <f t="shared" si="43"/>
        <v>12.940326634618197</v>
      </c>
      <c r="DR30" s="22">
        <f t="shared" si="16"/>
        <v>98.42354555529333</v>
      </c>
      <c r="DS30" s="62">
        <f t="shared" si="17"/>
        <v>330.94138842785685</v>
      </c>
      <c r="DT30" s="62">
        <f ca="1">AVERAGE(OFFSET($DS$3,0,0,'Données projet'!$E$14+1,1))-AVERAGE(OFFSET($H$3,0,0,'Données projet'!$E$14+1,1))</f>
        <v>429.87867712133851</v>
      </c>
      <c r="DU30" s="62">
        <f t="shared" si="44"/>
        <v>182.81277865988014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6.9230769230769225</v>
      </c>
      <c r="EJ30" s="13">
        <f>IF('Données projet'!$A$192&gt;35,EJ29+EI30-ER29,IF(A30&lt;'Données projet'!$A$192,$EG$205^A30,IF(A30='Données projet'!$A$192,'Données projet'!$B$192,EJ29+EI30-ER29)))</f>
        <v>111.28205128205127</v>
      </c>
      <c r="EK30" s="18">
        <f>EJ30*VLOOKUP('Données projet'!$B$15,Paramètres!$A$1:$I$89,3,0)*VLOOKUP('Données projet'!$B$15,Paramètres!$A$1:$I$89,5,0)</f>
        <v>74.647999999999996</v>
      </c>
      <c r="EL30" s="14">
        <f t="shared" si="45"/>
        <v>20.823365665696038</v>
      </c>
      <c r="EM30" s="22">
        <f t="shared" si="19"/>
        <v>166.27929520108725</v>
      </c>
      <c r="EN30" s="62">
        <f t="shared" si="20"/>
        <v>398.79713807365079</v>
      </c>
      <c r="EO30" s="62">
        <f ca="1">AVERAGE(OFFSET($EN$3,0,0,'Données projet'!$E$15+1,1))-AVERAGE(OFFSET($H$3,0,0,'Données projet'!$E$15+1,1))</f>
        <v>296.18088377871669</v>
      </c>
      <c r="EP30" s="62">
        <f t="shared" si="46"/>
        <v>252.23833925792056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6.9230769230769225</v>
      </c>
      <c r="FE30" s="13">
        <f>IF('Données projet'!$A$218&gt;35,FE29+FD30-FM29,IF(A30&lt;'Données projet'!$A$218,$FB$205^A30,IF(A30='Données projet'!$A$218,'Données projet'!$B$218,FE29+FD30-FM29)))</f>
        <v>111.28205128205127</v>
      </c>
      <c r="FF30" s="18">
        <f>FE30*VLOOKUP('Données projet'!$B$16,Paramètres!$A$1:$I$89,3,0)*VLOOKUP('Données projet'!$B$16,Paramètres!$A$1:$I$89,5,0)</f>
        <v>95.48</v>
      </c>
      <c r="FG30" s="14">
        <f t="shared" si="47"/>
        <v>25.882288311038174</v>
      </c>
      <c r="FH30" s="22">
        <f t="shared" si="22"/>
        <v>211.37265214172484</v>
      </c>
      <c r="FI30" s="62">
        <f t="shared" si="23"/>
        <v>443.89049501428838</v>
      </c>
      <c r="FJ30" s="62">
        <f ca="1">AVERAGE(OFFSET($FI$3,0,0,'Données projet'!$E$16+1,1))-AVERAGE(OFFSET($H$3,0,0,'Données projet'!$E$16+1,1))</f>
        <v>359.20464555327072</v>
      </c>
      <c r="FK30" s="62">
        <f t="shared" si="48"/>
        <v>305.54154052071863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7</v>
      </c>
      <c r="N31" s="14">
        <f>IF('Données projet'!$A$36&gt;35,N30+M31-V30,IF(A31&lt;'Données projet'!$A$36,$K$205^A31,IF(A31='Données projet'!$A$36,'Données projet'!$B$36,N30+M31-V30)))</f>
        <v>91</v>
      </c>
      <c r="O31" s="14">
        <f>N31*VLOOKUP('Données projet'!$B$9,Paramètres!$A$1:$I$89,3,0)*VLOOKUP('Données projet'!$B$9,Paramètres!$A$1:$I$89,5,0)</f>
        <v>92.274000000000001</v>
      </c>
      <c r="P31" s="14">
        <f t="shared" si="33"/>
        <v>25.112860036087575</v>
      </c>
      <c r="Q31" s="22">
        <f t="shared" si="2"/>
        <v>204.4487812295192</v>
      </c>
      <c r="R31" s="62">
        <f t="shared" si="0"/>
        <v>439.18025065150329</v>
      </c>
      <c r="S31" s="62">
        <f ca="1">AVERAGE(OFFSET($R$3,0,0,'Données projet'!$E$9+1,1))-AVERAGE(OFFSET($H$3,0,0,'Données projet'!$E$9+1,1))</f>
        <v>516.30971934066179</v>
      </c>
      <c r="T31" s="62">
        <f t="shared" si="34"/>
        <v>290.84286505723571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91</v>
      </c>
      <c r="AJ31" s="14">
        <f>AI31*VLOOKUP('Données projet'!$B$10,Paramètres!$A$1:$I$89,3,0)*VLOOKUP('Données projet'!$B$10,Paramètres!$A$1:$I$89,5,0)</f>
        <v>97.952399999999997</v>
      </c>
      <c r="AK31" s="14">
        <f t="shared" si="35"/>
        <v>26.473599278177087</v>
      </c>
      <c r="AL31" s="22">
        <f t="shared" si="4"/>
        <v>216.70861540949173</v>
      </c>
      <c r="AM31" s="62">
        <f t="shared" si="5"/>
        <v>451.44008483147582</v>
      </c>
      <c r="AN31" s="62">
        <f ca="1">AVERAGE(OFFSET($AM$3,0,0,'Données projet'!$E$10+1,1))-AVERAGE(OFFSET($H$3,0,0,'Données projet'!$E$10+1,1))</f>
        <v>542.90832990875208</v>
      </c>
      <c r="AO31" s="62">
        <f t="shared" si="36"/>
        <v>304.94365539329362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91</v>
      </c>
      <c r="BE31" s="14">
        <f>BD31*VLOOKUP('Données projet'!$B$11,Paramètres!$A$1:$I$89,3,0)*VLOOKUP('Données projet'!$B$11,Paramètres!$A$1:$I$89,5,0)</f>
        <v>88.015200000000007</v>
      </c>
      <c r="BF31" s="14">
        <f t="shared" si="37"/>
        <v>24.085919530575829</v>
      </c>
      <c r="BG31" s="22">
        <f t="shared" si="7"/>
        <v>195.24278318241954</v>
      </c>
      <c r="BH31" s="62">
        <f t="shared" si="8"/>
        <v>429.97425260440366</v>
      </c>
      <c r="BI31" s="62">
        <f ca="1">AVERAGE(OFFSET($BH$3,0,0,'Données projet'!$E$11+1,1))-AVERAGE(OFFSET($H$3,0,0,'Données projet'!$E$11+1,1))</f>
        <v>496.33873798282525</v>
      </c>
      <c r="BJ31" s="62">
        <f t="shared" si="38"/>
        <v>280.25465074992246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9.64</v>
      </c>
      <c r="BY31" s="13">
        <f>IF('Données projet'!$A$114&gt;35,BY30+BX31-CG30,IF(A31&lt;'Données projet'!$A$114,$BV$205^A31,IF(A31='Données projet'!$A$114,'Données projet'!$B$114,BY30+BX31-CG30)))</f>
        <v>94.220000000000027</v>
      </c>
      <c r="BZ31" s="14">
        <f>BY31*VLOOKUP('Données projet'!$B$12,Paramètres!$A$1:$I$89,3,0)*VLOOKUP('Données projet'!$B$12,Paramètres!$A$1:$I$89,5,0)</f>
        <v>82.310592000000028</v>
      </c>
      <c r="CA31" s="14">
        <f t="shared" si="39"/>
        <v>22.701196279680033</v>
      </c>
      <c r="CB31" s="22">
        <f t="shared" si="10"/>
        <v>182.89553125377611</v>
      </c>
      <c r="CC31" s="62">
        <f t="shared" si="11"/>
        <v>417.6270006757602</v>
      </c>
      <c r="CD31" s="62">
        <f ca="1">AVERAGE(OFFSET($CC$3,0,0,'Données projet'!$E$12+1,1))-AVERAGE(OFFSET($H$3,0,0,'Données projet'!$E$12+1,1))</f>
        <v>298.28891728374822</v>
      </c>
      <c r="CE31" s="62">
        <f t="shared" si="40"/>
        <v>275.07405533331371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9.6666666666666661</v>
      </c>
      <c r="CT31" s="13">
        <f>IF('Données projet'!$A$140&gt;35,CT30+CS31-DB30,IF(A31&lt;'Données projet'!$A$140,$CQ$205^A31,IF(A31='Données projet'!$A$140,'Données projet'!$B$140,CT30+CS31-DB30)))</f>
        <v>127.66666666666667</v>
      </c>
      <c r="CU31" s="18">
        <f>CT31*VLOOKUP('Données projet'!$B$13,Paramètres!$A$1:$I$89,3,0)*VLOOKUP('Données projet'!$B$13,Paramètres!$A$1:$I$89,5,0)</f>
        <v>76.344666666666683</v>
      </c>
      <c r="CV31" s="14">
        <f t="shared" si="41"/>
        <v>21.241018004097828</v>
      </c>
      <c r="CW31" s="22">
        <f t="shared" si="13"/>
        <v>169.96173413491485</v>
      </c>
      <c r="CX31" s="62">
        <f t="shared" si="14"/>
        <v>404.69320355689894</v>
      </c>
      <c r="CY31" s="62">
        <f ca="1">AVERAGE(OFFSET($CX$3,0,0,'Données projet'!$E$13+1,1))-AVERAGE(OFFSET($H$3,0,0,'Données projet'!$E$13+1,1))</f>
        <v>320.46614113586043</v>
      </c>
      <c r="CZ31" s="62">
        <f t="shared" si="42"/>
        <v>250.7806929924491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0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0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9.3000000000000007</v>
      </c>
      <c r="DO31" s="13">
        <f>IF('Données projet'!$A$166&gt;35,DO30+DN31-DW30,IF(A31&lt;'Données projet'!$A$166,$DL$205^A31,IF(A31='Données projet'!$A$166,'Données projet'!$B$166,DO30+DN31-DW30)))</f>
        <v>102.39999999999998</v>
      </c>
      <c r="DP31" s="18">
        <f>DO31*VLOOKUP('Données projet'!$B$14,Paramètres!$A$1:$I$89,3,0)*VLOOKUP('Données projet'!$B$14,Paramètres!$A$1:$I$89,5,0)</f>
        <v>47.923199999999987</v>
      </c>
      <c r="DQ31" s="14">
        <f t="shared" si="43"/>
        <v>14.076099961955951</v>
      </c>
      <c r="DR31" s="22">
        <f t="shared" si="16"/>
        <v>107.98211410040659</v>
      </c>
      <c r="DS31" s="62">
        <f t="shared" si="17"/>
        <v>342.71358352239065</v>
      </c>
      <c r="DT31" s="62">
        <f ca="1">AVERAGE(OFFSET($DS$3,0,0,'Données projet'!$E$14+1,1))-AVERAGE(OFFSET($H$3,0,0,'Données projet'!$E$14+1,1))</f>
        <v>429.87867712133851</v>
      </c>
      <c r="DU31" s="62">
        <f t="shared" si="44"/>
        <v>182.81277865988014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6.9230769230769225</v>
      </c>
      <c r="EJ31" s="13">
        <f>IF('Données projet'!$A$192&gt;35,EJ30+EI31-ER30,IF(A31&lt;'Données projet'!$A$192,$EG$205^A31,IF(A31='Données projet'!$A$192,'Données projet'!$B$192,EJ30+EI31-ER30)))</f>
        <v>118.20512820512819</v>
      </c>
      <c r="EK31" s="18">
        <f>EJ31*VLOOKUP('Données projet'!$B$15,Paramètres!$A$1:$I$89,3,0)*VLOOKUP('Données projet'!$B$15,Paramètres!$A$1:$I$89,5,0)</f>
        <v>79.291999999999987</v>
      </c>
      <c r="EL31" s="14">
        <f t="shared" si="45"/>
        <v>21.96398498934548</v>
      </c>
      <c r="EM31" s="22">
        <f t="shared" si="19"/>
        <v>176.35417385644334</v>
      </c>
      <c r="EN31" s="62">
        <f t="shared" si="20"/>
        <v>411.08564327842743</v>
      </c>
      <c r="EO31" s="62">
        <f ca="1">AVERAGE(OFFSET($EN$3,0,0,'Données projet'!$E$15+1,1))-AVERAGE(OFFSET($H$3,0,0,'Données projet'!$E$15+1,1))</f>
        <v>296.18088377871669</v>
      </c>
      <c r="EP31" s="62">
        <f t="shared" si="46"/>
        <v>252.23833925792056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6.9230769230769225</v>
      </c>
      <c r="FE31" s="13">
        <f>IF('Données projet'!$A$218&gt;35,FE30+FD31-FM30,IF(A31&lt;'Données projet'!$A$218,$FB$205^A31,IF(A31='Données projet'!$A$218,'Données projet'!$B$218,FE30+FD31-FM30)))</f>
        <v>118.20512820512819</v>
      </c>
      <c r="FF31" s="18">
        <f>FE31*VLOOKUP('Données projet'!$B$16,Paramètres!$A$1:$I$89,3,0)*VLOOKUP('Données projet'!$B$16,Paramètres!$A$1:$I$89,5,0)</f>
        <v>101.42</v>
      </c>
      <c r="FG31" s="14">
        <f t="shared" si="47"/>
        <v>27.300014852548706</v>
      </c>
      <c r="FH31" s="22">
        <f t="shared" si="22"/>
        <v>224.1873592015223</v>
      </c>
      <c r="FI31" s="62">
        <f t="shared" si="23"/>
        <v>458.91882862350639</v>
      </c>
      <c r="FJ31" s="62">
        <f ca="1">AVERAGE(OFFSET($FI$3,0,0,'Données projet'!$E$16+1,1))-AVERAGE(OFFSET($H$3,0,0,'Données projet'!$E$16+1,1))</f>
        <v>359.20464555327072</v>
      </c>
      <c r="FK31" s="62">
        <f t="shared" si="48"/>
        <v>305.54154052071863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7</v>
      </c>
      <c r="N32" s="14">
        <f>IF('Données projet'!$A$36&gt;35,N31+M32-V31,IF(A32&lt;'Données projet'!$A$36,$K$205^A32,IF(A32='Données projet'!$A$36,'Données projet'!$B$36,N31+M32-V31)))</f>
        <v>98</v>
      </c>
      <c r="O32" s="14">
        <f>N32*VLOOKUP('Données projet'!$B$9,Paramètres!$A$1:$I$89,3,0)*VLOOKUP('Données projet'!$B$9,Paramètres!$A$1:$I$89,5,0)</f>
        <v>99.372000000000014</v>
      </c>
      <c r="P32" s="14">
        <f t="shared" si="33"/>
        <v>26.812330397327713</v>
      </c>
      <c r="Q32" s="22">
        <f t="shared" si="2"/>
        <v>219.7710421086791</v>
      </c>
      <c r="R32" s="62">
        <f t="shared" si="0"/>
        <v>456.69893943145496</v>
      </c>
      <c r="S32" s="62">
        <f ca="1">AVERAGE(OFFSET($R$3,0,0,'Données projet'!$E$9+1,1))-AVERAGE(OFFSET($H$3,0,0,'Données projet'!$E$9+1,1))</f>
        <v>516.30971934066179</v>
      </c>
      <c r="T32" s="62">
        <f t="shared" si="34"/>
        <v>290.84286505723571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98</v>
      </c>
      <c r="AJ32" s="14">
        <f>AI32*VLOOKUP('Données projet'!$B$10,Paramètres!$A$1:$I$89,3,0)*VLOOKUP('Données projet'!$B$10,Paramètres!$A$1:$I$89,5,0)</f>
        <v>105.48719999999999</v>
      </c>
      <c r="AK32" s="14">
        <f t="shared" si="35"/>
        <v>28.265155367923839</v>
      </c>
      <c r="AL32" s="22">
        <f t="shared" si="4"/>
        <v>232.95201893246733</v>
      </c>
      <c r="AM32" s="62">
        <f t="shared" si="5"/>
        <v>469.87991625524319</v>
      </c>
      <c r="AN32" s="62">
        <f ca="1">AVERAGE(OFFSET($AM$3,0,0,'Données projet'!$E$10+1,1))-AVERAGE(OFFSET($H$3,0,0,'Données projet'!$E$10+1,1))</f>
        <v>542.90832990875208</v>
      </c>
      <c r="AO32" s="62">
        <f t="shared" si="36"/>
        <v>304.94365539329362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98</v>
      </c>
      <c r="BE32" s="14">
        <f>BD32*VLOOKUP('Données projet'!$B$11,Paramètres!$A$1:$I$89,3,0)*VLOOKUP('Données projet'!$B$11,Paramètres!$A$1:$I$89,5,0)</f>
        <v>94.785600000000002</v>
      </c>
      <c r="BF32" s="14">
        <f t="shared" si="37"/>
        <v>25.715893428674526</v>
      </c>
      <c r="BG32" s="22">
        <f t="shared" si="7"/>
        <v>209.87343438827483</v>
      </c>
      <c r="BH32" s="62">
        <f t="shared" si="8"/>
        <v>446.80133171105069</v>
      </c>
      <c r="BI32" s="62">
        <f ca="1">AVERAGE(OFFSET($BH$3,0,0,'Données projet'!$E$11+1,1))-AVERAGE(OFFSET($H$3,0,0,'Données projet'!$E$11+1,1))</f>
        <v>496.33873798282525</v>
      </c>
      <c r="BJ32" s="62">
        <f t="shared" si="38"/>
        <v>280.25465074992246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9.64</v>
      </c>
      <c r="BY32" s="13">
        <f>IF('Données projet'!$A$114&gt;35,BY31+BX32-CG31,IF(A32&lt;'Données projet'!$A$114,$BV$205^A32,IF(A32='Données projet'!$A$114,'Données projet'!$B$114,BY31+BX32-CG31)))</f>
        <v>103.86000000000003</v>
      </c>
      <c r="BZ32" s="14">
        <f>BY32*VLOOKUP('Données projet'!$B$12,Paramètres!$A$1:$I$89,3,0)*VLOOKUP('Données projet'!$B$12,Paramètres!$A$1:$I$89,5,0)</f>
        <v>90.732096000000041</v>
      </c>
      <c r="CA32" s="14">
        <f t="shared" si="39"/>
        <v>24.741705582962016</v>
      </c>
      <c r="CB32" s="22">
        <f t="shared" si="10"/>
        <v>201.11687109032559</v>
      </c>
      <c r="CC32" s="62">
        <f t="shared" si="11"/>
        <v>438.04476841310145</v>
      </c>
      <c r="CD32" s="62">
        <f ca="1">AVERAGE(OFFSET($CC$3,0,0,'Données projet'!$E$12+1,1))-AVERAGE(OFFSET($H$3,0,0,'Données projet'!$E$12+1,1))</f>
        <v>298.28891728374822</v>
      </c>
      <c r="CE32" s="62">
        <f t="shared" si="40"/>
        <v>275.07405533331371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9.6666666666666661</v>
      </c>
      <c r="CT32" s="13">
        <f>IF('Données projet'!$A$140&gt;35,CT31+CS32-DB31,IF(A32&lt;'Données projet'!$A$140,$CQ$205^A32,IF(A32='Données projet'!$A$140,'Données projet'!$B$140,CT31+CS32-DB31)))</f>
        <v>137.33333333333334</v>
      </c>
      <c r="CU32" s="18">
        <f>CT32*VLOOKUP('Données projet'!$B$13,Paramètres!$A$1:$I$89,3,0)*VLOOKUP('Données projet'!$B$13,Paramètres!$A$1:$I$89,5,0)</f>
        <v>82.125333333333344</v>
      </c>
      <c r="CV32" s="14">
        <f t="shared" si="41"/>
        <v>22.656043531029926</v>
      </c>
      <c r="CW32" s="22">
        <f t="shared" si="13"/>
        <v>182.49423137209934</v>
      </c>
      <c r="CX32" s="62">
        <f t="shared" si="14"/>
        <v>419.42212869487514</v>
      </c>
      <c r="CY32" s="62">
        <f ca="1">AVERAGE(OFFSET($CX$3,0,0,'Données projet'!$E$13+1,1))-AVERAGE(OFFSET($H$3,0,0,'Données projet'!$E$13+1,1))</f>
        <v>320.46614113586043</v>
      </c>
      <c r="CZ32" s="62">
        <f t="shared" si="42"/>
        <v>250.7806929924491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0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0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9.3000000000000007</v>
      </c>
      <c r="DO32" s="13">
        <f>IF('Données projet'!$A$166&gt;35,DO31+DN32-DW31,IF(A32&lt;'Données projet'!$A$166,$DL$205^A32,IF(A32='Données projet'!$A$166,'Données projet'!$B$166,DO31+DN32-DW31)))</f>
        <v>111.69999999999997</v>
      </c>
      <c r="DP32" s="18">
        <f>DO32*VLOOKUP('Données projet'!$B$14,Paramètres!$A$1:$I$89,3,0)*VLOOKUP('Données projet'!$B$14,Paramètres!$A$1:$I$89,5,0)</f>
        <v>52.27559999999999</v>
      </c>
      <c r="DQ32" s="14">
        <f t="shared" si="43"/>
        <v>15.199912378332435</v>
      </c>
      <c r="DR32" s="22">
        <f t="shared" si="16"/>
        <v>117.51985072559563</v>
      </c>
      <c r="DS32" s="62">
        <f t="shared" si="17"/>
        <v>354.44774804837147</v>
      </c>
      <c r="DT32" s="62">
        <f ca="1">AVERAGE(OFFSET($DS$3,0,0,'Données projet'!$E$14+1,1))-AVERAGE(OFFSET($H$3,0,0,'Données projet'!$E$14+1,1))</f>
        <v>429.87867712133851</v>
      </c>
      <c r="DU32" s="62">
        <f t="shared" si="44"/>
        <v>182.81277865988014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6.9230769230769225</v>
      </c>
      <c r="EJ32" s="13">
        <f>IF('Données projet'!$A$192&gt;35,EJ31+EI32-ER31,IF(A32&lt;'Données projet'!$A$192,$EG$205^A32,IF(A32='Données projet'!$A$192,'Données projet'!$B$192,EJ31+EI32-ER31)))</f>
        <v>125.12820512820511</v>
      </c>
      <c r="EK32" s="18">
        <f>EJ32*VLOOKUP('Données projet'!$B$15,Paramètres!$A$1:$I$89,3,0)*VLOOKUP('Données projet'!$B$15,Paramètres!$A$1:$I$89,5,0)</f>
        <v>83.935999999999993</v>
      </c>
      <c r="EL32" s="14">
        <f t="shared" si="45"/>
        <v>23.096850074431298</v>
      </c>
      <c r="EM32" s="22">
        <f t="shared" si="19"/>
        <v>186.41554721296782</v>
      </c>
      <c r="EN32" s="62">
        <f t="shared" si="20"/>
        <v>423.34344453574363</v>
      </c>
      <c r="EO32" s="62">
        <f ca="1">AVERAGE(OFFSET($EN$3,0,0,'Données projet'!$E$15+1,1))-AVERAGE(OFFSET($H$3,0,0,'Données projet'!$E$15+1,1))</f>
        <v>296.18088377871669</v>
      </c>
      <c r="EP32" s="62">
        <f t="shared" si="46"/>
        <v>252.23833925792056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6.9230769230769225</v>
      </c>
      <c r="FE32" s="13">
        <f>IF('Données projet'!$A$218&gt;35,FE31+FD32-FM31,IF(A32&lt;'Données projet'!$A$218,$FB$205^A32,IF(A32='Données projet'!$A$218,'Données projet'!$B$218,FE31+FD32-FM31)))</f>
        <v>125.12820512820511</v>
      </c>
      <c r="FF32" s="18">
        <f>FE32*VLOOKUP('Données projet'!$B$16,Paramètres!$A$1:$I$89,3,0)*VLOOKUP('Données projet'!$B$16,Paramètres!$A$1:$I$89,5,0)</f>
        <v>107.36</v>
      </c>
      <c r="FG32" s="14">
        <f t="shared" si="47"/>
        <v>28.708103305704146</v>
      </c>
      <c r="FH32" s="22">
        <f t="shared" si="22"/>
        <v>236.98527992410132</v>
      </c>
      <c r="FI32" s="62">
        <f t="shared" si="23"/>
        <v>473.91317724687713</v>
      </c>
      <c r="FJ32" s="62">
        <f ca="1">AVERAGE(OFFSET($FI$3,0,0,'Données projet'!$E$16+1,1))-AVERAGE(OFFSET($H$3,0,0,'Données projet'!$E$16+1,1))</f>
        <v>359.20464555327072</v>
      </c>
      <c r="FK32" s="62">
        <f t="shared" si="48"/>
        <v>305.54154052071863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105</v>
      </c>
      <c r="L33" s="13">
        <f>VLOOKUP(A33,'Données projet'!$A$35:$I$55,9,0)</f>
        <v>7</v>
      </c>
      <c r="M33" s="13">
        <f t="array" ref="M33">INDEX(L:L,MIN(IF(ISNUMBER(L33:L229),ROW(L33:L229),"")))</f>
        <v>7</v>
      </c>
      <c r="N33" s="14">
        <f>IF('Données projet'!$A$36&gt;35,N32+M33-V32,IF(A33&lt;'Données projet'!$A$36,$K$205^A33,IF(A33='Données projet'!$A$36,'Données projet'!$B$36,N32+M33-V32)))</f>
        <v>105</v>
      </c>
      <c r="O33" s="14">
        <f>N33*VLOOKUP('Données projet'!$B$9,Paramètres!$A$1:$I$89,3,0)*VLOOKUP('Données projet'!$B$9,Paramètres!$A$1:$I$89,5,0)</f>
        <v>106.47</v>
      </c>
      <c r="P33" s="14">
        <f t="shared" si="33"/>
        <v>28.49771681771891</v>
      </c>
      <c r="Q33" s="22">
        <f t="shared" si="2"/>
        <v>235.06877345752704</v>
      </c>
      <c r="R33" s="62">
        <f t="shared" si="0"/>
        <v>474.17619839056903</v>
      </c>
      <c r="S33" s="62">
        <f ca="1">AVERAGE(OFFSET($R$3,0,0,'Données projet'!$E$9+1,1))-AVERAGE(OFFSET($H$3,0,0,'Données projet'!$E$9+1,1))</f>
        <v>516.30971934066179</v>
      </c>
      <c r="T33" s="62">
        <f t="shared" si="34"/>
        <v>290.84286505723571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29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105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105</v>
      </c>
      <c r="AJ33" s="14">
        <f>AI33*VLOOKUP('Données projet'!$B$10,Paramètres!$A$1:$I$89,3,0)*VLOOKUP('Données projet'!$B$10,Paramètres!$A$1:$I$89,5,0)</f>
        <v>113.02199999999999</v>
      </c>
      <c r="AK33" s="14">
        <f t="shared" si="35"/>
        <v>30.041864379091852</v>
      </c>
      <c r="AL33" s="22">
        <f t="shared" si="4"/>
        <v>249.16956379358496</v>
      </c>
      <c r="AM33" s="62">
        <f t="shared" si="5"/>
        <v>488.27698872662694</v>
      </c>
      <c r="AN33" s="62">
        <f ca="1">AVERAGE(OFFSET($AM$3,0,0,'Données projet'!$E$10+1,1))-AVERAGE(OFFSET($H$3,0,0,'Données projet'!$E$10+1,1))</f>
        <v>542.90832990875208</v>
      </c>
      <c r="AO33" s="62">
        <f t="shared" si="36"/>
        <v>304.94365539329362</v>
      </c>
      <c r="AP33" s="16">
        <f>IF(ISNA(VLOOKUP(A33,'Données projet'!$A$61:$I$81,3,0)),0,VLOOKUP(A33,'Données projet'!$A$61:$I$81,3,0))</f>
        <v>1</v>
      </c>
      <c r="AQ33" s="16">
        <f>IF(ISNA(VLOOKUP(A33,'Données projet'!$A$61:$I$81,4,0)),0,VLOOKUP(A33,'Données projet'!$A$61:$I$81,4,0))</f>
        <v>29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105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105</v>
      </c>
      <c r="BE33" s="14">
        <f>BD33*VLOOKUP('Données projet'!$B$11,Paramètres!$A$1:$I$89,3,0)*VLOOKUP('Données projet'!$B$11,Paramètres!$A$1:$I$89,5,0)</f>
        <v>101.556</v>
      </c>
      <c r="BF33" s="14">
        <f t="shared" si="37"/>
        <v>27.332359320696909</v>
      </c>
      <c r="BG33" s="22">
        <f t="shared" si="7"/>
        <v>224.48055915021379</v>
      </c>
      <c r="BH33" s="62">
        <f t="shared" si="8"/>
        <v>463.58798408325578</v>
      </c>
      <c r="BI33" s="62">
        <f ca="1">AVERAGE(OFFSET($BH$3,0,0,'Données projet'!$E$11+1,1))-AVERAGE(OFFSET($H$3,0,0,'Données projet'!$E$11+1,1))</f>
        <v>496.33873798282525</v>
      </c>
      <c r="BJ33" s="62">
        <f t="shared" si="38"/>
        <v>280.25465074992246</v>
      </c>
      <c r="BK33" s="16">
        <f>IF(ISNA(VLOOKUP(A33,'Données projet'!$A$87:$I$107,3,0)),0,VLOOKUP(A33,'Données projet'!$A$87:$I$107,3,0))</f>
        <v>1</v>
      </c>
      <c r="BL33" s="16">
        <f>IF(ISNA(VLOOKUP(A33,'Données projet'!$A$87:$I$107,4,0)),0,VLOOKUP(A33,'Données projet'!$A$87:$I$107,4,0))</f>
        <v>29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113.5</v>
      </c>
      <c r="BW33" s="13">
        <f>VLOOKUP(A33,'Données projet'!$A$113:$I$133,9,0)</f>
        <v>9.64</v>
      </c>
      <c r="BX33" s="13">
        <f t="array" ref="BX33">INDEX(BW:BW,MIN(IF(ISNUMBER(BW33:BW229),ROW(BW33:BW229),"")))</f>
        <v>9.64</v>
      </c>
      <c r="BY33" s="13">
        <f>IF('Données projet'!$A$114&gt;35,BY32+BX33-CG32,IF(A33&lt;'Données projet'!$A$114,$BV$205^A33,IF(A33='Données projet'!$A$114,'Données projet'!$B$114,BY32+BX33-CG32)))</f>
        <v>113.50000000000003</v>
      </c>
      <c r="BZ33" s="14">
        <f>BY33*VLOOKUP('Données projet'!$B$12,Paramètres!$A$1:$I$89,3,0)*VLOOKUP('Données projet'!$B$12,Paramètres!$A$1:$I$89,5,0)</f>
        <v>99.15360000000004</v>
      </c>
      <c r="CA33" s="14">
        <f t="shared" si="39"/>
        <v>26.760254775275591</v>
      </c>
      <c r="CB33" s="22">
        <f t="shared" si="10"/>
        <v>219.29996373360507</v>
      </c>
      <c r="CC33" s="62">
        <f t="shared" si="11"/>
        <v>458.40738866664708</v>
      </c>
      <c r="CD33" s="62">
        <f ca="1">AVERAGE(OFFSET($CC$3,0,0,'Données projet'!$E$12+1,1))-AVERAGE(OFFSET($H$3,0,0,'Données projet'!$E$12+1,1))</f>
        <v>298.28891728374822</v>
      </c>
      <c r="CE33" s="62">
        <f t="shared" si="40"/>
        <v>275.07405533331371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147</v>
      </c>
      <c r="CR33" s="13">
        <f>VLOOKUP(A33,'Données projet'!$A$139:$I$159,9,0)</f>
        <v>9.6666666666666661</v>
      </c>
      <c r="CS33" s="13">
        <f t="array" ref="CS33">INDEX(CR:CR,MIN(IF(ISNUMBER(CR33:CR229),ROW(CR33:CR229),"")))</f>
        <v>9.6666666666666661</v>
      </c>
      <c r="CT33" s="13">
        <f>IF('Données projet'!$A$140&gt;35,CT32+CS33-DB32,IF(A33&lt;'Données projet'!$A$140,$CQ$205^A33,IF(A33='Données projet'!$A$140,'Données projet'!$B$140,CT32+CS33-DB32)))</f>
        <v>147</v>
      </c>
      <c r="CU33" s="18">
        <f>CT33*VLOOKUP('Données projet'!$B$13,Paramètres!$A$1:$I$89,3,0)*VLOOKUP('Données projet'!$B$13,Paramètres!$A$1:$I$89,5,0)</f>
        <v>87.906000000000006</v>
      </c>
      <c r="CV33" s="14">
        <f t="shared" si="41"/>
        <v>24.059512761382098</v>
      </c>
      <c r="CW33" s="22">
        <f t="shared" si="13"/>
        <v>195.00660139274046</v>
      </c>
      <c r="CX33" s="62">
        <f t="shared" si="14"/>
        <v>434.11402632578245</v>
      </c>
      <c r="CY33" s="62">
        <f ca="1">AVERAGE(OFFSET($CX$3,0,0,'Données projet'!$E$13+1,1))-AVERAGE(OFFSET($H$3,0,0,'Données projet'!$E$13+1,1))</f>
        <v>320.46614113586043</v>
      </c>
      <c r="CZ33" s="62">
        <f t="shared" si="42"/>
        <v>250.7806929924491</v>
      </c>
      <c r="DA33" s="16">
        <f>IF(ISNA(VLOOKUP(A33,'Données projet'!$A$139:$I$159,3,0)),0,VLOOKUP(A33,'Données projet'!$A$139:$I$159,3,0))</f>
        <v>1</v>
      </c>
      <c r="DB33" s="16">
        <f>IF(ISNA(VLOOKUP(A33,'Données projet'!$A$139:$I$159,4,0)),0,VLOOKUP(A33,'Données projet'!$A$139:$I$159,4,0))</f>
        <v>28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0.5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0</v>
      </c>
      <c r="DH33" s="23">
        <f>EXP(-LN(2)/2)*DH32+(1-EXP(-LN(2)/2))/(LN(2)/2)*DB33*DE33*VLOOKUP('Données projet'!$B$13,Paramètres!$A$1:$I$89,3,0)*0.475*44/12</f>
        <v>9.4790487948915736</v>
      </c>
      <c r="DI33" s="24">
        <f t="shared" si="15"/>
        <v>9.4790487948915736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121</v>
      </c>
      <c r="DM33" s="13">
        <f>VLOOKUP(A33,'Données projet'!$A$165:$I$185,9,0)</f>
        <v>9.3000000000000007</v>
      </c>
      <c r="DN33" s="13">
        <f t="array" ref="DN33">INDEX(DM:DM,MIN(IF(ISNUMBER(DM33:DM229),ROW(DM33:DM229),"")))</f>
        <v>9.3000000000000007</v>
      </c>
      <c r="DO33" s="13">
        <f>IF('Données projet'!$A$166&gt;35,DO32+DN33-DW32,IF(A33&lt;'Données projet'!$A$166,$DL$205^A33,IF(A33='Données projet'!$A$166,'Données projet'!$B$166,DO32+DN33-DW32)))</f>
        <v>120.99999999999997</v>
      </c>
      <c r="DP33" s="18">
        <f>DO33*VLOOKUP('Données projet'!$B$14,Paramètres!$A$1:$I$89,3,0)*VLOOKUP('Données projet'!$B$14,Paramètres!$A$1:$I$89,5,0)</f>
        <v>56.627999999999986</v>
      </c>
      <c r="DQ33" s="14">
        <f t="shared" si="43"/>
        <v>16.312872953208519</v>
      </c>
      <c r="DR33" s="22">
        <f t="shared" si="16"/>
        <v>127.03868706017147</v>
      </c>
      <c r="DS33" s="62">
        <f t="shared" si="17"/>
        <v>366.14611199321348</v>
      </c>
      <c r="DT33" s="62">
        <f ca="1">AVERAGE(OFFSET($DS$3,0,0,'Données projet'!$E$14+1,1))-AVERAGE(OFFSET($H$3,0,0,'Données projet'!$E$14+1,1))</f>
        <v>429.87867712133851</v>
      </c>
      <c r="DU33" s="62">
        <f t="shared" si="44"/>
        <v>182.81277865988014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132.05128205128204</v>
      </c>
      <c r="EH33" s="13">
        <f>VLOOKUP(A33,'Données projet'!$A$191:$I$211,9,0)</f>
        <v>6.9230769230769225</v>
      </c>
      <c r="EI33" s="13">
        <f t="array" ref="EI33">INDEX(EH:EH,MIN(IF(ISNUMBER(EH33:EH229),ROW(EH33:EH229),"")))</f>
        <v>6.9230769230769225</v>
      </c>
      <c r="EJ33" s="13">
        <f>IF('Données projet'!$A$192&gt;35,EJ32+EI33-ER32,IF(A33&lt;'Données projet'!$A$192,$EG$205^A33,IF(A33='Données projet'!$A$192,'Données projet'!$B$192,EJ32+EI33-ER32)))</f>
        <v>132.05128205128204</v>
      </c>
      <c r="EK33" s="18">
        <f>EJ33*VLOOKUP('Données projet'!$B$15,Paramètres!$A$1:$I$89,3,0)*VLOOKUP('Données projet'!$B$15,Paramètres!$A$1:$I$89,5,0)</f>
        <v>88.58</v>
      </c>
      <c r="EL33" s="14">
        <f t="shared" si="45"/>
        <v>24.222438846820232</v>
      </c>
      <c r="EM33" s="22">
        <f t="shared" si="19"/>
        <v>196.46424765821189</v>
      </c>
      <c r="EN33" s="62">
        <f t="shared" si="20"/>
        <v>435.5716725912539</v>
      </c>
      <c r="EO33" s="62">
        <f ca="1">AVERAGE(OFFSET($EN$3,0,0,'Données projet'!$E$15+1,1))-AVERAGE(OFFSET($H$3,0,0,'Données projet'!$E$15+1,1))</f>
        <v>296.18088377871669</v>
      </c>
      <c r="EP33" s="62">
        <f t="shared" si="46"/>
        <v>252.23833925792056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43.589743589743591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>
        <f>VLOOKUP(A33,'Données projet'!$A$217:$I$237,2,0)</f>
        <v>132.05128205128204</v>
      </c>
      <c r="FC33" s="13">
        <f>VLOOKUP(A33,'Données projet'!$A$217:$I$237,9,0)</f>
        <v>6.9230769230769225</v>
      </c>
      <c r="FD33" s="13">
        <f t="array" ref="FD33">INDEX(FC:FC,MIN(IF(ISNUMBER(FC33:FC229),ROW(FC33:FC229),"")))</f>
        <v>6.9230769230769225</v>
      </c>
      <c r="FE33" s="13">
        <f>IF('Données projet'!$A$218&gt;35,FE32+FD33-FM32,IF(A33&lt;'Données projet'!$A$218,$FB$205^A33,IF(A33='Données projet'!$A$218,'Données projet'!$B$218,FE32+FD33-FM32)))</f>
        <v>132.05128205128204</v>
      </c>
      <c r="FF33" s="18">
        <f>FE33*VLOOKUP('Données projet'!$B$16,Paramètres!$A$1:$I$89,3,0)*VLOOKUP('Données projet'!$B$16,Paramètres!$A$1:$I$89,5,0)</f>
        <v>113.3</v>
      </c>
      <c r="FG33" s="14">
        <f t="shared" si="47"/>
        <v>30.107147705843079</v>
      </c>
      <c r="FH33" s="22">
        <f t="shared" si="22"/>
        <v>249.76744892100999</v>
      </c>
      <c r="FI33" s="62">
        <f t="shared" si="23"/>
        <v>488.874873854052</v>
      </c>
      <c r="FJ33" s="62">
        <f ca="1">AVERAGE(OFFSET($FI$3,0,0,'Données projet'!$E$16+1,1))-AVERAGE(OFFSET($H$3,0,0,'Données projet'!$E$16+1,1))</f>
        <v>359.20464555327072</v>
      </c>
      <c r="FK33" s="62">
        <f t="shared" si="48"/>
        <v>305.54154052071863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43.589743589743591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8</v>
      </c>
      <c r="N34" s="14">
        <f>IF('Données projet'!$A$36&gt;35,N33+M34-V33,IF(A34&lt;'Données projet'!$A$36,$K$205^A34,IF(A34='Données projet'!$A$36,'Données projet'!$B$36,N33+M34-V33)))</f>
        <v>84</v>
      </c>
      <c r="O34" s="14">
        <f>N34*VLOOKUP('Données projet'!$B$9,Paramètres!$A$1:$I$89,3,0)*VLOOKUP('Données projet'!$B$9,Paramètres!$A$1:$I$89,5,0)</f>
        <v>85.176000000000002</v>
      </c>
      <c r="P34" s="14">
        <f t="shared" si="33"/>
        <v>23.398088487656441</v>
      </c>
      <c r="Q34" s="22">
        <f t="shared" si="2"/>
        <v>189.09987078266829</v>
      </c>
      <c r="R34" s="62">
        <f t="shared" si="0"/>
        <v>429.14799399548588</v>
      </c>
      <c r="S34" s="62">
        <f ca="1">AVERAGE(OFFSET($R$3,0,0,'Données projet'!$E$9+1,1))-AVERAGE(OFFSET($H$3,0,0,'Données projet'!$E$9+1,1))</f>
        <v>516.30971934066179</v>
      </c>
      <c r="T34" s="62">
        <f t="shared" si="34"/>
        <v>290.84286505723571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90.417599999999993</v>
      </c>
      <c r="AK34" s="14">
        <f t="shared" si="35"/>
        <v>24.665912907068826</v>
      </c>
      <c r="AL34" s="22">
        <f t="shared" si="4"/>
        <v>200.43711831314488</v>
      </c>
      <c r="AM34" s="62">
        <f t="shared" si="5"/>
        <v>440.48524152596246</v>
      </c>
      <c r="AN34" s="62">
        <f ca="1">AVERAGE(OFFSET($AM$3,0,0,'Données projet'!$E$10+1,1))-AVERAGE(OFFSET($H$3,0,0,'Données projet'!$E$10+1,1))</f>
        <v>542.90832990875208</v>
      </c>
      <c r="AO34" s="62">
        <f t="shared" si="36"/>
        <v>304.94365539329362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81.244799999999998</v>
      </c>
      <c r="BF34" s="14">
        <f t="shared" si="37"/>
        <v>22.441270156928962</v>
      </c>
      <c r="BG34" s="22">
        <f t="shared" si="7"/>
        <v>180.58657218998462</v>
      </c>
      <c r="BH34" s="62">
        <f t="shared" si="8"/>
        <v>420.63469540280221</v>
      </c>
      <c r="BI34" s="62">
        <f ca="1">AVERAGE(OFFSET($BH$3,0,0,'Données projet'!$E$11+1,1))-AVERAGE(OFFSET($H$3,0,0,'Données projet'!$E$11+1,1))</f>
        <v>496.33873798282525</v>
      </c>
      <c r="BJ34" s="62">
        <f t="shared" si="38"/>
        <v>280.25465074992246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8.7199999999999989</v>
      </c>
      <c r="BY34" s="13">
        <f>IF('Données projet'!$A$114&gt;35,BY33+BX34-CG33,IF(A34&lt;'Données projet'!$A$114,$BV$205^A34,IF(A34='Données projet'!$A$114,'Données projet'!$B$114,BY33+BX34-CG33)))</f>
        <v>122.22000000000003</v>
      </c>
      <c r="BZ34" s="14">
        <f>BY34*VLOOKUP('Données projet'!$B$12,Paramètres!$A$1:$I$89,3,0)*VLOOKUP('Données projet'!$B$12,Paramètres!$A$1:$I$89,5,0)</f>
        <v>106.77139200000003</v>
      </c>
      <c r="CA34" s="14">
        <f t="shared" si="39"/>
        <v>28.568985504948209</v>
      </c>
      <c r="CB34" s="22">
        <f t="shared" si="10"/>
        <v>235.71782415445148</v>
      </c>
      <c r="CC34" s="62">
        <f t="shared" si="11"/>
        <v>475.76594736726906</v>
      </c>
      <c r="CD34" s="62">
        <f ca="1">AVERAGE(OFFSET($CC$3,0,0,'Données projet'!$E$12+1,1))-AVERAGE(OFFSET($H$3,0,0,'Données projet'!$E$12+1,1))</f>
        <v>298.28891728374822</v>
      </c>
      <c r="CE34" s="62">
        <f t="shared" si="40"/>
        <v>275.07405533331371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10</v>
      </c>
      <c r="CT34" s="13">
        <f>IF('Données projet'!$A$140&gt;35,CT33+CS34-DB33,IF(A34&lt;'Données projet'!$A$140,$CQ$205^A34,IF(A34='Données projet'!$A$140,'Données projet'!$B$140,CT33+CS34-DB33)))</f>
        <v>129</v>
      </c>
      <c r="CU34" s="18">
        <f>CT34*VLOOKUP('Données projet'!$B$13,Paramètres!$A$1:$I$89,3,0)*VLOOKUP('Données projet'!$B$13,Paramètres!$A$1:$I$89,5,0)</f>
        <v>77.14200000000001</v>
      </c>
      <c r="CV34" s="14">
        <f t="shared" si="41"/>
        <v>21.436915648510755</v>
      </c>
      <c r="CW34" s="22">
        <f t="shared" si="13"/>
        <v>171.69161142115624</v>
      </c>
      <c r="CX34" s="62">
        <f t="shared" si="14"/>
        <v>411.7397346339738</v>
      </c>
      <c r="CY34" s="62">
        <f ca="1">AVERAGE(OFFSET($CX$3,0,0,'Données projet'!$E$13+1,1))-AVERAGE(OFFSET($H$3,0,0,'Données projet'!$E$13+1,1))</f>
        <v>320.46614113586043</v>
      </c>
      <c r="CZ34" s="62">
        <f t="shared" si="42"/>
        <v>250.7806929924491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0</v>
      </c>
      <c r="DH34" s="23">
        <f>EXP(-LN(2)/2)*DH33+(1-EXP(-LN(2)/2))/(LN(2)/2)*DB34*DE34*VLOOKUP('Données projet'!$B$13,Paramètres!$A$1:$I$89,3,0)*0.475*44/12</f>
        <v>6.7026996820660036</v>
      </c>
      <c r="DI34" s="24">
        <f t="shared" si="15"/>
        <v>6.7026996820660036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14.6</v>
      </c>
      <c r="DO34" s="13">
        <f>IF('Données projet'!$A$166&gt;35,DO33+DN34-DW33,IF(A34&lt;'Données projet'!$A$166,$DL$205^A34,IF(A34='Données projet'!$A$166,'Données projet'!$B$166,DO33+DN34-DW33)))</f>
        <v>135.59999999999997</v>
      </c>
      <c r="DP34" s="18">
        <f>DO34*VLOOKUP('Données projet'!$B$14,Paramètres!$A$1:$I$89,3,0)*VLOOKUP('Données projet'!$B$14,Paramètres!$A$1:$I$89,5,0)</f>
        <v>63.460799999999985</v>
      </c>
      <c r="DQ34" s="14">
        <f t="shared" si="43"/>
        <v>18.04039167659279</v>
      </c>
      <c r="DR34" s="22">
        <f t="shared" si="16"/>
        <v>141.94790883673241</v>
      </c>
      <c r="DS34" s="62">
        <f t="shared" si="17"/>
        <v>381.99603204954997</v>
      </c>
      <c r="DT34" s="62">
        <f ca="1">AVERAGE(OFFSET($DS$3,0,0,'Données projet'!$E$14+1,1))-AVERAGE(OFFSET($H$3,0,0,'Données projet'!$E$14+1,1))</f>
        <v>429.87867712133851</v>
      </c>
      <c r="DU34" s="62">
        <f t="shared" si="44"/>
        <v>182.81277865988014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6.5384615384615383</v>
      </c>
      <c r="EJ34" s="13">
        <f>IF('Données projet'!$A$192&gt;35,EJ33+EI34-ER33,IF(A34&lt;'Données projet'!$A$192,$EG$205^A34,IF(A34='Données projet'!$A$192,'Données projet'!$B$192,EJ33+EI34-ER33)))</f>
        <v>95</v>
      </c>
      <c r="EK34" s="18">
        <f>EJ34*VLOOKUP('Données projet'!$B$15,Paramètres!$A$1:$I$89,3,0)*VLOOKUP('Données projet'!$B$15,Paramètres!$A$1:$I$89,5,0)</f>
        <v>63.726000000000006</v>
      </c>
      <c r="EL34" s="14">
        <f t="shared" si="45"/>
        <v>18.10699013411584</v>
      </c>
      <c r="EM34" s="22">
        <f t="shared" si="19"/>
        <v>142.52579115025176</v>
      </c>
      <c r="EN34" s="62">
        <f t="shared" si="20"/>
        <v>382.57391436306932</v>
      </c>
      <c r="EO34" s="62">
        <f ca="1">AVERAGE(OFFSET($EN$3,0,0,'Données projet'!$E$15+1,1))-AVERAGE(OFFSET($H$3,0,0,'Données projet'!$E$15+1,1))</f>
        <v>296.18088377871669</v>
      </c>
      <c r="EP34" s="62">
        <f t="shared" si="46"/>
        <v>252.23833925792056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6.5384615384615383</v>
      </c>
      <c r="FE34" s="13">
        <f>IF('Données projet'!$A$218&gt;35,FE33+FD34-FM33,IF(A34&lt;'Données projet'!$A$218,$FB$205^A34,IF(A34='Données projet'!$A$218,'Données projet'!$B$218,FE33+FD34-FM33)))</f>
        <v>95</v>
      </c>
      <c r="FF34" s="18">
        <f>FE34*VLOOKUP('Données projet'!$B$16,Paramètres!$A$1:$I$89,3,0)*VLOOKUP('Données projet'!$B$16,Paramètres!$A$1:$I$89,5,0)</f>
        <v>81.510000000000019</v>
      </c>
      <c r="FG34" s="14">
        <f t="shared" si="47"/>
        <v>22.505984220809925</v>
      </c>
      <c r="FH34" s="22">
        <f t="shared" si="22"/>
        <v>181.16117251791061</v>
      </c>
      <c r="FI34" s="62">
        <f t="shared" si="23"/>
        <v>421.20929573072817</v>
      </c>
      <c r="FJ34" s="62">
        <f ca="1">AVERAGE(OFFSET($FI$3,0,0,'Données projet'!$E$16+1,1))-AVERAGE(OFFSET($H$3,0,0,'Données projet'!$E$16+1,1))</f>
        <v>359.20464555327072</v>
      </c>
      <c r="FK34" s="62">
        <f t="shared" si="48"/>
        <v>305.54154052071863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8</v>
      </c>
      <c r="N35" s="14">
        <f>IF('Données projet'!$A$36&gt;35,N34+M35-V34,IF(A35&lt;'Données projet'!$A$36,$K$205^A35,IF(A35='Données projet'!$A$36,'Données projet'!$B$36,N34+M35-V34)))</f>
        <v>92</v>
      </c>
      <c r="O35" s="14">
        <f>N35*VLOOKUP('Données projet'!$B$9,Paramètres!$A$1:$I$89,3,0)*VLOOKUP('Données projet'!$B$9,Paramètres!$A$1:$I$89,5,0)</f>
        <v>93.288000000000011</v>
      </c>
      <c r="P35" s="14">
        <f t="shared" si="33"/>
        <v>25.356547829040977</v>
      </c>
      <c r="Q35" s="22">
        <f t="shared" ref="Q35:Q66" si="53">(O35+P35)*0.475*44/12</f>
        <v>206.63925413557971</v>
      </c>
      <c r="R35" s="62">
        <f t="shared" si="0"/>
        <v>447.61175661610503</v>
      </c>
      <c r="S35" s="62">
        <f ca="1">AVERAGE(OFFSET($R$3,0,0,'Données projet'!$E$9+1,1))-AVERAGE(OFFSET($H$3,0,0,'Données projet'!$E$9+1,1))</f>
        <v>516.30971934066179</v>
      </c>
      <c r="T35" s="62">
        <f t="shared" si="34"/>
        <v>290.84286505723571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99.028800000000004</v>
      </c>
      <c r="AK35" s="14">
        <f t="shared" si="35"/>
        <v>26.730491283721712</v>
      </c>
      <c r="AL35" s="22">
        <f t="shared" si="4"/>
        <v>219.03076565248196</v>
      </c>
      <c r="AM35" s="62">
        <f t="shared" si="5"/>
        <v>460.00326813300728</v>
      </c>
      <c r="AN35" s="62">
        <f ca="1">AVERAGE(OFFSET($AM$3,0,0,'Données projet'!$E$10+1,1))-AVERAGE(OFFSET($H$3,0,0,'Données projet'!$E$10+1,1))</f>
        <v>542.90832990875208</v>
      </c>
      <c r="AO35" s="62">
        <f t="shared" si="36"/>
        <v>304.94365539329362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88.982399999999998</v>
      </c>
      <c r="BF35" s="14">
        <f t="shared" si="37"/>
        <v>24.31964219550628</v>
      </c>
      <c r="BG35" s="22">
        <f t="shared" si="7"/>
        <v>197.3343901571734</v>
      </c>
      <c r="BH35" s="62">
        <f t="shared" si="8"/>
        <v>438.30689263769875</v>
      </c>
      <c r="BI35" s="62">
        <f ca="1">AVERAGE(OFFSET($BH$3,0,0,'Données projet'!$E$11+1,1))-AVERAGE(OFFSET($H$3,0,0,'Données projet'!$E$11+1,1))</f>
        <v>496.33873798282525</v>
      </c>
      <c r="BJ35" s="62">
        <f t="shared" si="38"/>
        <v>280.25465074992246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8.7199999999999989</v>
      </c>
      <c r="BY35" s="13">
        <f>IF('Données projet'!$A$114&gt;35,BY34+BX35-CG34,IF(A35&lt;'Données projet'!$A$114,$BV$205^A35,IF(A35='Données projet'!$A$114,'Données projet'!$B$114,BY34+BX35-CG34)))</f>
        <v>130.94000000000003</v>
      </c>
      <c r="BZ35" s="14">
        <f>BY35*VLOOKUP('Données projet'!$B$12,Paramètres!$A$1:$I$89,3,0)*VLOOKUP('Données projet'!$B$12,Paramètres!$A$1:$I$89,5,0)</f>
        <v>114.38918400000004</v>
      </c>
      <c r="CA35" s="14">
        <f t="shared" si="39"/>
        <v>30.362743955016121</v>
      </c>
      <c r="CB35" s="22">
        <f t="shared" si="10"/>
        <v>252.10960785498642</v>
      </c>
      <c r="CC35" s="62">
        <f t="shared" si="11"/>
        <v>493.08211033551174</v>
      </c>
      <c r="CD35" s="62">
        <f ca="1">AVERAGE(OFFSET($CC$3,0,0,'Données projet'!$E$12+1,1))-AVERAGE(OFFSET($H$3,0,0,'Données projet'!$E$12+1,1))</f>
        <v>298.28891728374822</v>
      </c>
      <c r="CE35" s="62">
        <f t="shared" si="40"/>
        <v>275.07405533331371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10</v>
      </c>
      <c r="CT35" s="13">
        <f>IF('Données projet'!$A$140&gt;35,CT34+CS35-DB34,IF(A35&lt;'Données projet'!$A$140,$CQ$205^A35,IF(A35='Données projet'!$A$140,'Données projet'!$B$140,CT34+CS35-DB34)))</f>
        <v>139</v>
      </c>
      <c r="CU35" s="18">
        <f>CT35*VLOOKUP('Données projet'!$B$13,Paramètres!$A$1:$I$89,3,0)*VLOOKUP('Données projet'!$B$13,Paramètres!$A$1:$I$89,5,0)</f>
        <v>83.122000000000014</v>
      </c>
      <c r="CV35" s="14">
        <f t="shared" si="41"/>
        <v>22.898820278178533</v>
      </c>
      <c r="CW35" s="22">
        <f t="shared" si="13"/>
        <v>184.65292865116098</v>
      </c>
      <c r="CX35" s="62">
        <f t="shared" si="14"/>
        <v>425.6254311316863</v>
      </c>
      <c r="CY35" s="62">
        <f ca="1">AVERAGE(OFFSET($CX$3,0,0,'Données projet'!$E$13+1,1))-AVERAGE(OFFSET($H$3,0,0,'Données projet'!$E$13+1,1))</f>
        <v>320.46614113586043</v>
      </c>
      <c r="CZ35" s="62">
        <f t="shared" si="42"/>
        <v>250.7806929924491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0</v>
      </c>
      <c r="DH35" s="23">
        <f>EXP(-LN(2)/2)*DH34+(1-EXP(-LN(2)/2))/(LN(2)/2)*DB35*DE35*VLOOKUP('Données projet'!$B$13,Paramètres!$A$1:$I$89,3,0)*0.475*44/12</f>
        <v>4.7395243974457877</v>
      </c>
      <c r="DI35" s="24">
        <f t="shared" si="15"/>
        <v>4.7395243974457877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14.6</v>
      </c>
      <c r="DO35" s="13">
        <f>IF('Données projet'!$A$166&gt;35,DO34+DN35-DW34,IF(A35&lt;'Données projet'!$A$166,$DL$205^A35,IF(A35='Données projet'!$A$166,'Données projet'!$B$166,DO34+DN35-DW34)))</f>
        <v>150.19999999999996</v>
      </c>
      <c r="DP35" s="18">
        <f>DO35*VLOOKUP('Données projet'!$B$14,Paramètres!$A$1:$I$89,3,0)*VLOOKUP('Données projet'!$B$14,Paramètres!$A$1:$I$89,5,0)</f>
        <v>70.293599999999984</v>
      </c>
      <c r="DQ35" s="14">
        <f t="shared" si="43"/>
        <v>19.746351028689723</v>
      </c>
      <c r="DR35" s="22">
        <f t="shared" si="16"/>
        <v>156.8195813749679</v>
      </c>
      <c r="DS35" s="62">
        <f t="shared" si="17"/>
        <v>397.79208385549322</v>
      </c>
      <c r="DT35" s="62">
        <f ca="1">AVERAGE(OFFSET($DS$3,0,0,'Données projet'!$E$14+1,1))-AVERAGE(OFFSET($H$3,0,0,'Données projet'!$E$14+1,1))</f>
        <v>429.87867712133851</v>
      </c>
      <c r="DU35" s="62">
        <f t="shared" si="44"/>
        <v>182.81277865988014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6.5384615384615383</v>
      </c>
      <c r="EJ35" s="13">
        <f>IF('Données projet'!$A$192&gt;35,EJ34+EI35-ER34,IF(A35&lt;'Données projet'!$A$192,$EG$205^A35,IF(A35='Données projet'!$A$192,'Données projet'!$B$192,EJ34+EI35-ER34)))</f>
        <v>101.53846153846153</v>
      </c>
      <c r="EK35" s="18">
        <f>EJ35*VLOOKUP('Données projet'!$B$15,Paramètres!$A$1:$I$89,3,0)*VLOOKUP('Données projet'!$B$15,Paramètres!$A$1:$I$89,5,0)</f>
        <v>68.111999999999995</v>
      </c>
      <c r="EL35" s="14">
        <f t="shared" si="45"/>
        <v>19.203857153488375</v>
      </c>
      <c r="EM35" s="22">
        <f t="shared" si="19"/>
        <v>152.07511787565889</v>
      </c>
      <c r="EN35" s="62">
        <f t="shared" si="20"/>
        <v>393.04762035618421</v>
      </c>
      <c r="EO35" s="62">
        <f ca="1">AVERAGE(OFFSET($EN$3,0,0,'Données projet'!$E$15+1,1))-AVERAGE(OFFSET($H$3,0,0,'Données projet'!$E$15+1,1))</f>
        <v>296.18088377871669</v>
      </c>
      <c r="EP35" s="62">
        <f t="shared" si="46"/>
        <v>252.23833925792056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6.5384615384615383</v>
      </c>
      <c r="FE35" s="13">
        <f>IF('Données projet'!$A$218&gt;35,FE34+FD35-FM34,IF(A35&lt;'Données projet'!$A$218,$FB$205^A35,IF(A35='Données projet'!$A$218,'Données projet'!$B$218,FE34+FD35-FM34)))</f>
        <v>101.53846153846153</v>
      </c>
      <c r="FF35" s="18">
        <f>FE35*VLOOKUP('Données projet'!$B$16,Paramètres!$A$1:$I$89,3,0)*VLOOKUP('Données projet'!$B$16,Paramètres!$A$1:$I$89,5,0)</f>
        <v>87.12</v>
      </c>
      <c r="FG35" s="14">
        <f t="shared" si="47"/>
        <v>23.869329075337316</v>
      </c>
      <c r="FH35" s="22">
        <f t="shared" si="22"/>
        <v>193.3064148062125</v>
      </c>
      <c r="FI35" s="62">
        <f t="shared" si="23"/>
        <v>434.27891728673785</v>
      </c>
      <c r="FJ35" s="62">
        <f ca="1">AVERAGE(OFFSET($FI$3,0,0,'Données projet'!$E$16+1,1))-AVERAGE(OFFSET($H$3,0,0,'Données projet'!$E$16+1,1))</f>
        <v>359.20464555327072</v>
      </c>
      <c r="FK35" s="62">
        <f t="shared" si="48"/>
        <v>305.54154052071863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8</v>
      </c>
      <c r="N36" s="14">
        <f>IF('Données projet'!$A$36&gt;35,N35+M36-V35,IF(A36&lt;'Données projet'!$A$36,$K$205^A36,IF(A36='Données projet'!$A$36,'Données projet'!$B$36,N35+M36-V35)))</f>
        <v>100</v>
      </c>
      <c r="O36" s="14">
        <f>N36*VLOOKUP('Données projet'!$B$9,Paramètres!$A$1:$I$89,3,0)*VLOOKUP('Données projet'!$B$9,Paramètres!$A$1:$I$89,5,0)</f>
        <v>101.4</v>
      </c>
      <c r="P36" s="14">
        <f t="shared" si="33"/>
        <v>27.295257887453797</v>
      </c>
      <c r="Q36" s="22">
        <f t="shared" si="53"/>
        <v>224.14424082064872</v>
      </c>
      <c r="R36" s="62">
        <f t="shared" si="0"/>
        <v>466.02508665518945</v>
      </c>
      <c r="S36" s="62">
        <f ca="1">AVERAGE(OFFSET($R$3,0,0,'Données projet'!$E$9+1,1))-AVERAGE(OFFSET($H$3,0,0,'Données projet'!$E$9+1,1))</f>
        <v>516.30971934066179</v>
      </c>
      <c r="T36" s="62">
        <f t="shared" si="34"/>
        <v>290.84286505723571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107.64</v>
      </c>
      <c r="AK36" s="14">
        <f t="shared" si="35"/>
        <v>28.774250263353583</v>
      </c>
      <c r="AL36" s="22">
        <f t="shared" si="4"/>
        <v>237.58815254200749</v>
      </c>
      <c r="AM36" s="62">
        <f t="shared" si="5"/>
        <v>479.46899837654826</v>
      </c>
      <c r="AN36" s="62">
        <f ca="1">AVERAGE(OFFSET($AM$3,0,0,'Données projet'!$E$10+1,1))-AVERAGE(OFFSET($H$3,0,0,'Données projet'!$E$10+1,1))</f>
        <v>542.90832990875208</v>
      </c>
      <c r="AO36" s="62">
        <f t="shared" si="36"/>
        <v>304.94365539329362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96.72</v>
      </c>
      <c r="BF36" s="14">
        <f t="shared" si="37"/>
        <v>26.179072558792139</v>
      </c>
      <c r="BG36" s="22">
        <f t="shared" si="7"/>
        <v>214.04921803989632</v>
      </c>
      <c r="BH36" s="62">
        <f t="shared" si="8"/>
        <v>455.93006387443705</v>
      </c>
      <c r="BI36" s="62">
        <f ca="1">AVERAGE(OFFSET($BH$3,0,0,'Données projet'!$E$11+1,1))-AVERAGE(OFFSET($H$3,0,0,'Données projet'!$E$11+1,1))</f>
        <v>496.33873798282525</v>
      </c>
      <c r="BJ36" s="62">
        <f t="shared" si="38"/>
        <v>280.25465074992246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8.7199999999999989</v>
      </c>
      <c r="BY36" s="13">
        <f>IF('Données projet'!$A$114&gt;35,BY35+BX36-CG35,IF(A36&lt;'Données projet'!$A$114,$BV$205^A36,IF(A36='Données projet'!$A$114,'Données projet'!$B$114,BY35+BX36-CG35)))</f>
        <v>139.66000000000003</v>
      </c>
      <c r="BZ36" s="14">
        <f>BY36*VLOOKUP('Données projet'!$B$12,Paramètres!$A$1:$I$89,3,0)*VLOOKUP('Données projet'!$B$12,Paramètres!$A$1:$I$89,5,0)</f>
        <v>122.00697600000004</v>
      </c>
      <c r="CA36" s="14">
        <f t="shared" si="39"/>
        <v>32.142640663707873</v>
      </c>
      <c r="CB36" s="22">
        <f t="shared" si="10"/>
        <v>268.47724902262462</v>
      </c>
      <c r="CC36" s="62">
        <f t="shared" si="11"/>
        <v>510.35809485716538</v>
      </c>
      <c r="CD36" s="62">
        <f ca="1">AVERAGE(OFFSET($CC$3,0,0,'Données projet'!$E$12+1,1))-AVERAGE(OFFSET($H$3,0,0,'Données projet'!$E$12+1,1))</f>
        <v>298.28891728374822</v>
      </c>
      <c r="CE36" s="62">
        <f t="shared" si="40"/>
        <v>275.07405533331371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10</v>
      </c>
      <c r="CT36" s="13">
        <f>IF('Données projet'!$A$140&gt;35,CT35+CS36-DB35,IF(A36&lt;'Données projet'!$A$140,$CQ$205^A36,IF(A36='Données projet'!$A$140,'Données projet'!$B$140,CT35+CS36-DB35)))</f>
        <v>149</v>
      </c>
      <c r="CU36" s="18">
        <f>CT36*VLOOKUP('Données projet'!$B$13,Paramètres!$A$1:$I$89,3,0)*VLOOKUP('Données projet'!$B$13,Paramètres!$A$1:$I$89,5,0)</f>
        <v>89.102000000000018</v>
      </c>
      <c r="CV36" s="14">
        <f t="shared" si="41"/>
        <v>24.348522781128082</v>
      </c>
      <c r="CW36" s="22">
        <f t="shared" si="13"/>
        <v>197.5929938437981</v>
      </c>
      <c r="CX36" s="62">
        <f t="shared" si="14"/>
        <v>439.47383967833883</v>
      </c>
      <c r="CY36" s="62">
        <f ca="1">AVERAGE(OFFSET($CX$3,0,0,'Données projet'!$E$13+1,1))-AVERAGE(OFFSET($H$3,0,0,'Données projet'!$E$13+1,1))</f>
        <v>320.46614113586043</v>
      </c>
      <c r="CZ36" s="62">
        <f t="shared" si="42"/>
        <v>250.7806929924491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0</v>
      </c>
      <c r="DH36" s="23">
        <f>EXP(-LN(2)/2)*DH35+(1-EXP(-LN(2)/2))/(LN(2)/2)*DB36*DE36*VLOOKUP('Données projet'!$B$13,Paramètres!$A$1:$I$89,3,0)*0.475*44/12</f>
        <v>3.3513498410330023</v>
      </c>
      <c r="DI36" s="24">
        <f t="shared" si="15"/>
        <v>3.3513498410330023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14.6</v>
      </c>
      <c r="DO36" s="13">
        <f>IF('Données projet'!$A$166&gt;35,DO35+DN36-DW35,IF(A36&lt;'Données projet'!$A$166,$DL$205^A36,IF(A36='Données projet'!$A$166,'Données projet'!$B$166,DO35+DN36-DW35)))</f>
        <v>164.79999999999995</v>
      </c>
      <c r="DP36" s="18">
        <f>DO36*VLOOKUP('Données projet'!$B$14,Paramètres!$A$1:$I$89,3,0)*VLOOKUP('Données projet'!$B$14,Paramètres!$A$1:$I$89,5,0)</f>
        <v>77.126399999999975</v>
      </c>
      <c r="DQ36" s="14">
        <f t="shared" si="43"/>
        <v>21.43308513655586</v>
      </c>
      <c r="DR36" s="22">
        <f t="shared" si="16"/>
        <v>171.65776994616806</v>
      </c>
      <c r="DS36" s="62">
        <f t="shared" si="17"/>
        <v>413.53861578070882</v>
      </c>
      <c r="DT36" s="62">
        <f ca="1">AVERAGE(OFFSET($DS$3,0,0,'Données projet'!$E$14+1,1))-AVERAGE(OFFSET($H$3,0,0,'Données projet'!$E$14+1,1))</f>
        <v>429.87867712133851</v>
      </c>
      <c r="DU36" s="62">
        <f t="shared" si="44"/>
        <v>182.81277865988014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6.5384615384615383</v>
      </c>
      <c r="EJ36" s="13">
        <f>IF('Données projet'!$A$192&gt;35,EJ35+EI36-ER35,IF(A36&lt;'Données projet'!$A$192,$EG$205^A36,IF(A36='Données projet'!$A$192,'Données projet'!$B$192,EJ35+EI36-ER35)))</f>
        <v>108.07692307692307</v>
      </c>
      <c r="EK36" s="18">
        <f>EJ36*VLOOKUP('Données projet'!$B$15,Paramètres!$A$1:$I$89,3,0)*VLOOKUP('Données projet'!$B$15,Paramètres!$A$1:$I$89,5,0)</f>
        <v>72.49799999999999</v>
      </c>
      <c r="EL36" s="14">
        <f t="shared" si="45"/>
        <v>20.292527413120823</v>
      </c>
      <c r="EM36" s="22">
        <f t="shared" si="19"/>
        <v>161.61016857785208</v>
      </c>
      <c r="EN36" s="62">
        <f t="shared" si="20"/>
        <v>403.49101441239281</v>
      </c>
      <c r="EO36" s="62">
        <f ca="1">AVERAGE(OFFSET($EN$3,0,0,'Données projet'!$E$15+1,1))-AVERAGE(OFFSET($H$3,0,0,'Données projet'!$E$15+1,1))</f>
        <v>296.18088377871669</v>
      </c>
      <c r="EP36" s="62">
        <f t="shared" si="46"/>
        <v>252.23833925792056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6.5384615384615383</v>
      </c>
      <c r="FE36" s="13">
        <f>IF('Données projet'!$A$218&gt;35,FE35+FD36-FM35,IF(A36&lt;'Données projet'!$A$218,$FB$205^A36,IF(A36='Données projet'!$A$218,'Données projet'!$B$218,FE35+FD36-FM35)))</f>
        <v>108.07692307692307</v>
      </c>
      <c r="FF36" s="18">
        <f>FE36*VLOOKUP('Données projet'!$B$16,Paramètres!$A$1:$I$89,3,0)*VLOOKUP('Données projet'!$B$16,Paramètres!$A$1:$I$89,5,0)</f>
        <v>92.73</v>
      </c>
      <c r="FG36" s="14">
        <f t="shared" si="47"/>
        <v>25.222485812236886</v>
      </c>
      <c r="FH36" s="22">
        <f t="shared" si="22"/>
        <v>205.43391278964592</v>
      </c>
      <c r="FI36" s="62">
        <f t="shared" si="23"/>
        <v>447.31475862418665</v>
      </c>
      <c r="FJ36" s="62">
        <f ca="1">AVERAGE(OFFSET($FI$3,0,0,'Données projet'!$E$16+1,1))-AVERAGE(OFFSET($H$3,0,0,'Données projet'!$E$16+1,1))</f>
        <v>359.20464555327072</v>
      </c>
      <c r="FK36" s="62">
        <f t="shared" si="48"/>
        <v>305.54154052071863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8</v>
      </c>
      <c r="N37" s="14">
        <f>IF('Données projet'!$A$36&gt;35,N36+M37-V36,IF(A37&lt;'Données projet'!$A$36,$K$205^A37,IF(A37='Données projet'!$A$36,'Données projet'!$B$36,N36+M37-V36)))</f>
        <v>108</v>
      </c>
      <c r="O37" s="14">
        <f>N37*VLOOKUP('Données projet'!$B$9,Paramètres!$A$1:$I$89,3,0)*VLOOKUP('Données projet'!$B$9,Paramètres!$A$1:$I$89,5,0)</f>
        <v>109.51200000000001</v>
      </c>
      <c r="P37" s="14">
        <f t="shared" si="33"/>
        <v>29.215978230632555</v>
      </c>
      <c r="Q37" s="22">
        <f t="shared" si="53"/>
        <v>241.61789541835174</v>
      </c>
      <c r="R37" s="62">
        <f t="shared" si="0"/>
        <v>484.39132688046732</v>
      </c>
      <c r="S37" s="62">
        <f ca="1">AVERAGE(OFFSET($R$3,0,0,'Données projet'!$E$9+1,1))-AVERAGE(OFFSET($H$3,0,0,'Données projet'!$E$9+1,1))</f>
        <v>516.30971934066179</v>
      </c>
      <c r="T37" s="62">
        <f t="shared" si="34"/>
        <v>290.84286505723571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116.2512</v>
      </c>
      <c r="AK37" s="14">
        <f t="shared" si="35"/>
        <v>30.799044755804328</v>
      </c>
      <c r="AL37" s="22">
        <f t="shared" si="4"/>
        <v>256.1125096163592</v>
      </c>
      <c r="AM37" s="62">
        <f t="shared" si="5"/>
        <v>498.88594107847479</v>
      </c>
      <c r="AN37" s="62">
        <f ca="1">AVERAGE(OFFSET($AM$3,0,0,'Données projet'!$E$10+1,1))-AVERAGE(OFFSET($H$3,0,0,'Données projet'!$E$10+1,1))</f>
        <v>542.90832990875208</v>
      </c>
      <c r="AO37" s="62">
        <f t="shared" si="36"/>
        <v>304.94365539329362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104.4576</v>
      </c>
      <c r="BF37" s="14">
        <f t="shared" si="37"/>
        <v>28.021248860498272</v>
      </c>
      <c r="BG37" s="22">
        <f t="shared" si="7"/>
        <v>230.73399509870114</v>
      </c>
      <c r="BH37" s="62">
        <f t="shared" si="8"/>
        <v>473.50742656081673</v>
      </c>
      <c r="BI37" s="62">
        <f ca="1">AVERAGE(OFFSET($BH$3,0,0,'Données projet'!$E$11+1,1))-AVERAGE(OFFSET($H$3,0,0,'Données projet'!$E$11+1,1))</f>
        <v>496.33873798282525</v>
      </c>
      <c r="BJ37" s="62">
        <f t="shared" si="38"/>
        <v>280.25465074992246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8.7199999999999989</v>
      </c>
      <c r="BY37" s="13">
        <f>IF('Données projet'!$A$114&gt;35,BY36+BX37-CG36,IF(A37&lt;'Données projet'!$A$114,$BV$205^A37,IF(A37='Données projet'!$A$114,'Données projet'!$B$114,BY36+BX37-CG36)))</f>
        <v>148.38000000000002</v>
      </c>
      <c r="BZ37" s="14">
        <f>BY37*VLOOKUP('Données projet'!$B$12,Paramètres!$A$1:$I$89,3,0)*VLOOKUP('Données projet'!$B$12,Paramètres!$A$1:$I$89,5,0)</f>
        <v>129.62476800000005</v>
      </c>
      <c r="CA37" s="14">
        <f t="shared" si="39"/>
        <v>33.909639653105714</v>
      </c>
      <c r="CB37" s="22">
        <f t="shared" si="10"/>
        <v>284.82242666249249</v>
      </c>
      <c r="CC37" s="62">
        <f t="shared" si="11"/>
        <v>527.59585812460807</v>
      </c>
      <c r="CD37" s="62">
        <f ca="1">AVERAGE(OFFSET($CC$3,0,0,'Données projet'!$E$12+1,1))-AVERAGE(OFFSET($H$3,0,0,'Données projet'!$E$12+1,1))</f>
        <v>298.28891728374822</v>
      </c>
      <c r="CE37" s="62">
        <f t="shared" si="40"/>
        <v>275.07405533331371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10</v>
      </c>
      <c r="CT37" s="13">
        <f>IF('Données projet'!$A$140&gt;35,CT36+CS37-DB36,IF(A37&lt;'Données projet'!$A$140,$CQ$205^A37,IF(A37='Données projet'!$A$140,'Données projet'!$B$140,CT36+CS37-DB36)))</f>
        <v>159</v>
      </c>
      <c r="CU37" s="18">
        <f>CT37*VLOOKUP('Données projet'!$B$13,Paramètres!$A$1:$I$89,3,0)*VLOOKUP('Données projet'!$B$13,Paramètres!$A$1:$I$89,5,0)</f>
        <v>95.082000000000008</v>
      </c>
      <c r="CV37" s="14">
        <f t="shared" si="41"/>
        <v>25.786935269387122</v>
      </c>
      <c r="CW37" s="22">
        <f t="shared" si="13"/>
        <v>210.51339559418258</v>
      </c>
      <c r="CX37" s="62">
        <f t="shared" si="14"/>
        <v>453.28682705629819</v>
      </c>
      <c r="CY37" s="62">
        <f ca="1">AVERAGE(OFFSET($CX$3,0,0,'Données projet'!$E$13+1,1))-AVERAGE(OFFSET($H$3,0,0,'Données projet'!$E$13+1,1))</f>
        <v>320.46614113586043</v>
      </c>
      <c r="CZ37" s="62">
        <f t="shared" si="42"/>
        <v>250.7806929924491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0</v>
      </c>
      <c r="DH37" s="23">
        <f>EXP(-LN(2)/2)*DH36+(1-EXP(-LN(2)/2))/(LN(2)/2)*DB37*DE37*VLOOKUP('Données projet'!$B$13,Paramètres!$A$1:$I$89,3,0)*0.475*44/12</f>
        <v>2.3697621987228943</v>
      </c>
      <c r="DI37" s="24">
        <f t="shared" si="15"/>
        <v>2.3697621987228943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14.6</v>
      </c>
      <c r="DO37" s="13">
        <f>IF('Données projet'!$A$166&gt;35,DO36+DN37-DW36,IF(A37&lt;'Données projet'!$A$166,$DL$205^A37,IF(A37='Données projet'!$A$166,'Données projet'!$B$166,DO36+DN37-DW36)))</f>
        <v>179.39999999999995</v>
      </c>
      <c r="DP37" s="18">
        <f>DO37*VLOOKUP('Données projet'!$B$14,Paramètres!$A$1:$I$89,3,0)*VLOOKUP('Données projet'!$B$14,Paramètres!$A$1:$I$89,5,0)</f>
        <v>83.959199999999967</v>
      </c>
      <c r="DQ37" s="14">
        <f t="shared" si="43"/>
        <v>23.10249088081062</v>
      </c>
      <c r="DR37" s="22">
        <f t="shared" si="16"/>
        <v>186.46577828407843</v>
      </c>
      <c r="DS37" s="62">
        <f t="shared" si="17"/>
        <v>429.23920974619398</v>
      </c>
      <c r="DT37" s="62">
        <f ca="1">AVERAGE(OFFSET($DS$3,0,0,'Données projet'!$E$14+1,1))-AVERAGE(OFFSET($H$3,0,0,'Données projet'!$E$14+1,1))</f>
        <v>429.87867712133851</v>
      </c>
      <c r="DU37" s="62">
        <f t="shared" si="44"/>
        <v>182.81277865988014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6.5384615384615383</v>
      </c>
      <c r="EJ37" s="13">
        <f>IF('Données projet'!$A$192&gt;35,EJ36+EI37-ER36,IF(A37&lt;'Données projet'!$A$192,$EG$205^A37,IF(A37='Données projet'!$A$192,'Données projet'!$B$192,EJ36+EI37-ER36)))</f>
        <v>114.6153846153846</v>
      </c>
      <c r="EK37" s="18">
        <f>EJ37*VLOOKUP('Données projet'!$B$15,Paramètres!$A$1:$I$89,3,0)*VLOOKUP('Données projet'!$B$15,Paramètres!$A$1:$I$89,5,0)</f>
        <v>76.883999999999986</v>
      </c>
      <c r="EL37" s="14">
        <f t="shared" si="45"/>
        <v>21.373553273140757</v>
      </c>
      <c r="EM37" s="22">
        <f t="shared" si="19"/>
        <v>171.13190528405346</v>
      </c>
      <c r="EN37" s="62">
        <f t="shared" si="20"/>
        <v>413.90533674616904</v>
      </c>
      <c r="EO37" s="62">
        <f ca="1">AVERAGE(OFFSET($EN$3,0,0,'Données projet'!$E$15+1,1))-AVERAGE(OFFSET($H$3,0,0,'Données projet'!$E$15+1,1))</f>
        <v>296.18088377871669</v>
      </c>
      <c r="EP37" s="62">
        <f t="shared" si="46"/>
        <v>252.23833925792056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6.5384615384615383</v>
      </c>
      <c r="FE37" s="13">
        <f>IF('Données projet'!$A$218&gt;35,FE36+FD37-FM36,IF(A37&lt;'Données projet'!$A$218,$FB$205^A37,IF(A37='Données projet'!$A$218,'Données projet'!$B$218,FE36+FD37-FM36)))</f>
        <v>114.6153846153846</v>
      </c>
      <c r="FF37" s="18">
        <f>FE37*VLOOKUP('Données projet'!$B$16,Paramètres!$A$1:$I$89,3,0)*VLOOKUP('Données projet'!$B$16,Paramètres!$A$1:$I$89,5,0)</f>
        <v>98.339999999999989</v>
      </c>
      <c r="FG37" s="14">
        <f t="shared" si="47"/>
        <v>26.566140984504099</v>
      </c>
      <c r="FH37" s="22">
        <f t="shared" si="22"/>
        <v>217.54486221467798</v>
      </c>
      <c r="FI37" s="62">
        <f t="shared" si="23"/>
        <v>460.31829367679359</v>
      </c>
      <c r="FJ37" s="62">
        <f ca="1">AVERAGE(OFFSET($FI$3,0,0,'Données projet'!$E$16+1,1))-AVERAGE(OFFSET($H$3,0,0,'Données projet'!$E$16+1,1))</f>
        <v>359.20464555327072</v>
      </c>
      <c r="FK37" s="62">
        <f t="shared" si="48"/>
        <v>305.54154052071863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116</v>
      </c>
      <c r="L38" s="13">
        <f>VLOOKUP(A38,'Données projet'!$A$35:$I$55,9,0)</f>
        <v>8</v>
      </c>
      <c r="M38" s="13">
        <f t="array" ref="M38">INDEX(L:L,MIN(IF(ISNUMBER(L38:L234),ROW(L38:L234),"")))</f>
        <v>8</v>
      </c>
      <c r="N38" s="14">
        <f>IF('Données projet'!$A$36&gt;35,N37+M38-V37,IF(A38&lt;'Données projet'!$A$36,$K$205^A38,IF(A38='Données projet'!$A$36,'Données projet'!$B$36,N37+M38-V37)))</f>
        <v>116</v>
      </c>
      <c r="O38" s="14">
        <f>N38*VLOOKUP('Données projet'!$B$9,Paramètres!$A$1:$I$89,3,0)*VLOOKUP('Données projet'!$B$9,Paramètres!$A$1:$I$89,5,0)</f>
        <v>117.62400000000001</v>
      </c>
      <c r="P38" s="14">
        <f t="shared" si="33"/>
        <v>31.120192961985413</v>
      </c>
      <c r="Q38" s="22">
        <f t="shared" si="53"/>
        <v>259.06280274212457</v>
      </c>
      <c r="R38" s="62">
        <f t="shared" si="0"/>
        <v>502.71333546669905</v>
      </c>
      <c r="S38" s="62">
        <f ca="1">AVERAGE(OFFSET($R$3,0,0,'Données projet'!$E$9+1,1))-AVERAGE(OFFSET($H$3,0,0,'Données projet'!$E$9+1,1))</f>
        <v>516.30971934066179</v>
      </c>
      <c r="T38" s="62">
        <f t="shared" si="34"/>
        <v>290.84286505723571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124.86239999999999</v>
      </c>
      <c r="AK38" s="14">
        <f t="shared" si="35"/>
        <v>32.806439280561598</v>
      </c>
      <c r="AL38" s="22">
        <f t="shared" si="4"/>
        <v>274.60656174697812</v>
      </c>
      <c r="AM38" s="62">
        <f t="shared" si="5"/>
        <v>518.25709447155259</v>
      </c>
      <c r="AN38" s="62">
        <f ca="1">AVERAGE(OFFSET($AM$3,0,0,'Données projet'!$E$10+1,1))-AVERAGE(OFFSET($H$3,0,0,'Données projet'!$E$10+1,1))</f>
        <v>542.90832990875208</v>
      </c>
      <c r="AO38" s="62">
        <f t="shared" si="36"/>
        <v>304.94365539329362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112.1952</v>
      </c>
      <c r="BF38" s="14">
        <f t="shared" si="37"/>
        <v>29.847594514573263</v>
      </c>
      <c r="BG38" s="22">
        <f t="shared" si="7"/>
        <v>247.39120044621509</v>
      </c>
      <c r="BH38" s="62">
        <f t="shared" si="8"/>
        <v>491.0417331707896</v>
      </c>
      <c r="BI38" s="62">
        <f ca="1">AVERAGE(OFFSET($BH$3,0,0,'Données projet'!$E$11+1,1))-AVERAGE(OFFSET($H$3,0,0,'Données projet'!$E$11+1,1))</f>
        <v>496.33873798282525</v>
      </c>
      <c r="BJ38" s="62">
        <f t="shared" si="38"/>
        <v>280.25465074992246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157.1</v>
      </c>
      <c r="BW38" s="13">
        <f>VLOOKUP(A38,'Données projet'!$A$113:$I$133,9,0)</f>
        <v>8.7199999999999989</v>
      </c>
      <c r="BX38" s="13">
        <f t="array" ref="BX38">INDEX(BW:BW,MIN(IF(ISNUMBER(BW38:BW234),ROW(BW38:BW234),"")))</f>
        <v>8.7199999999999989</v>
      </c>
      <c r="BY38" s="13">
        <f>IF('Données projet'!$A$114&gt;35,BY37+BX38-CG37,IF(A38&lt;'Données projet'!$A$114,$BV$205^A38,IF(A38='Données projet'!$A$114,'Données projet'!$B$114,BY37+BX38-CG37)))</f>
        <v>157.10000000000002</v>
      </c>
      <c r="BZ38" s="14">
        <f>BY38*VLOOKUP('Données projet'!$B$12,Paramètres!$A$1:$I$89,3,0)*VLOOKUP('Données projet'!$B$12,Paramètres!$A$1:$I$89,5,0)</f>
        <v>137.24256000000005</v>
      </c>
      <c r="CA38" s="14">
        <f t="shared" si="39"/>
        <v>35.664585237158782</v>
      </c>
      <c r="CB38" s="22">
        <f t="shared" si="10"/>
        <v>301.14661128805159</v>
      </c>
      <c r="CC38" s="62">
        <f t="shared" si="11"/>
        <v>544.79714401262606</v>
      </c>
      <c r="CD38" s="62">
        <f ca="1">AVERAGE(OFFSET($CC$3,0,0,'Données projet'!$E$12+1,1))-AVERAGE(OFFSET($H$3,0,0,'Données projet'!$E$12+1,1))</f>
        <v>298.28891728374822</v>
      </c>
      <c r="CE38" s="62">
        <f t="shared" si="40"/>
        <v>275.07405533331371</v>
      </c>
      <c r="CF38" s="16">
        <f>IF(ISNA(VLOOKUP(A38,'Données projet'!$A$113:$I$133,3,0)),0,VLOOKUP(A38,'Données projet'!$A$113:$I$133,3,0))</f>
        <v>2</v>
      </c>
      <c r="CG38" s="16">
        <f>IF(ISNA(VLOOKUP(A38,'Données projet'!$A$113:$I$133,4,0)),0,VLOOKUP(A38,'Données projet'!$A$113:$I$133,4,0))</f>
        <v>42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169</v>
      </c>
      <c r="CR38" s="13">
        <f>VLOOKUP(A38,'Données projet'!$A$139:$I$159,9,0)</f>
        <v>10</v>
      </c>
      <c r="CS38" s="13">
        <f t="array" ref="CS38">INDEX(CR:CR,MIN(IF(ISNUMBER(CR38:CR234),ROW(CR38:CR234),"")))</f>
        <v>10</v>
      </c>
      <c r="CT38" s="13">
        <f>IF('Données projet'!$A$140&gt;35,CT37+CS38-DB37,IF(A38&lt;'Données projet'!$A$140,$CQ$205^A38,IF(A38='Données projet'!$A$140,'Données projet'!$B$140,CT37+CS38-DB37)))</f>
        <v>169</v>
      </c>
      <c r="CU38" s="18">
        <f>CT38*VLOOKUP('Données projet'!$B$13,Paramètres!$A$1:$I$89,3,0)*VLOOKUP('Données projet'!$B$13,Paramètres!$A$1:$I$89,5,0)</f>
        <v>101.06200000000001</v>
      </c>
      <c r="CV38" s="14">
        <f t="shared" si="41"/>
        <v>27.214848638810562</v>
      </c>
      <c r="CW38" s="22">
        <f t="shared" si="13"/>
        <v>223.41551137926174</v>
      </c>
      <c r="CX38" s="62">
        <f t="shared" si="14"/>
        <v>467.06604410383625</v>
      </c>
      <c r="CY38" s="62">
        <f ca="1">AVERAGE(OFFSET($CX$3,0,0,'Données projet'!$E$13+1,1))-AVERAGE(OFFSET($H$3,0,0,'Données projet'!$E$13+1,1))</f>
        <v>320.46614113586043</v>
      </c>
      <c r="CZ38" s="62">
        <f t="shared" si="42"/>
        <v>250.7806929924491</v>
      </c>
      <c r="DA38" s="16">
        <f>IF(ISNA(VLOOKUP(A38,'Données projet'!$A$139:$I$159,3,0)),0,VLOOKUP(A38,'Données projet'!$A$139:$I$159,3,0))</f>
        <v>2</v>
      </c>
      <c r="DB38" s="16">
        <f>IF(ISNA(VLOOKUP(A38,'Données projet'!$A$139:$I$159,4,0)),0,VLOOKUP(A38,'Données projet'!$A$139:$I$159,4,0))</f>
        <v>23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0</v>
      </c>
      <c r="DH38" s="23">
        <f>EXP(-LN(2)/2)*DH37+(1-EXP(-LN(2)/2))/(LN(2)/2)*DB38*DE38*VLOOKUP('Données projet'!$B$13,Paramètres!$A$1:$I$89,3,0)*0.475*44/12</f>
        <v>1.6756749205165016</v>
      </c>
      <c r="DI38" s="24">
        <f t="shared" si="15"/>
        <v>1.6756749205165016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14.6</v>
      </c>
      <c r="DO38" s="13">
        <f>IF('Données projet'!$A$166&gt;35,DO37+DN38-DW37,IF(A38&lt;'Données projet'!$A$166,$DL$205^A38,IF(A38='Données projet'!$A$166,'Données projet'!$B$166,DO37+DN38-DW37)))</f>
        <v>193.99999999999994</v>
      </c>
      <c r="DP38" s="18">
        <f>DO38*VLOOKUP('Données projet'!$B$14,Paramètres!$A$1:$I$89,3,0)*VLOOKUP('Données projet'!$B$14,Paramètres!$A$1:$I$89,5,0)</f>
        <v>90.791999999999973</v>
      </c>
      <c r="DQ38" s="14">
        <f t="shared" si="43"/>
        <v>24.756138813110173</v>
      </c>
      <c r="DR38" s="22">
        <f t="shared" si="16"/>
        <v>201.24634176616681</v>
      </c>
      <c r="DS38" s="62">
        <f t="shared" si="17"/>
        <v>444.89687449074131</v>
      </c>
      <c r="DT38" s="62">
        <f ca="1">AVERAGE(OFFSET($DS$3,0,0,'Données projet'!$E$14+1,1))-AVERAGE(OFFSET($H$3,0,0,'Données projet'!$E$14+1,1))</f>
        <v>429.87867712133851</v>
      </c>
      <c r="DU38" s="62">
        <f t="shared" si="44"/>
        <v>182.81277865988014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121.15384615384615</v>
      </c>
      <c r="EH38" s="13">
        <f>VLOOKUP(A38,'Données projet'!$A$191:$I$211,9,0)</f>
        <v>6.5384615384615383</v>
      </c>
      <c r="EI38" s="13">
        <f t="array" ref="EI38">INDEX(EH:EH,MIN(IF(ISNUMBER(EH38:EH234),ROW(EH38:EH234),"")))</f>
        <v>6.5384615384615383</v>
      </c>
      <c r="EJ38" s="13">
        <f>IF('Données projet'!$A$192&gt;35,EJ37+EI38-ER37,IF(A38&lt;'Données projet'!$A$192,$EG$205^A38,IF(A38='Données projet'!$A$192,'Données projet'!$B$192,EJ37+EI38-ER37)))</f>
        <v>121.15384615384613</v>
      </c>
      <c r="EK38" s="18">
        <f>EJ38*VLOOKUP('Données projet'!$B$15,Paramètres!$A$1:$I$89,3,0)*VLOOKUP('Données projet'!$B$15,Paramètres!$A$1:$I$89,5,0)</f>
        <v>81.269999999999982</v>
      </c>
      <c r="EL38" s="14">
        <f t="shared" si="45"/>
        <v>22.447420513130822</v>
      </c>
      <c r="EM38" s="22">
        <f t="shared" si="19"/>
        <v>180.64117406036948</v>
      </c>
      <c r="EN38" s="62">
        <f t="shared" si="20"/>
        <v>424.29170678494398</v>
      </c>
      <c r="EO38" s="62">
        <f ca="1">AVERAGE(OFFSET($EN$3,0,0,'Données projet'!$E$15+1,1))-AVERAGE(OFFSET($H$3,0,0,'Données projet'!$E$15+1,1))</f>
        <v>296.18088377871669</v>
      </c>
      <c r="EP38" s="62">
        <f t="shared" si="46"/>
        <v>252.23833925792056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>
        <f>VLOOKUP(A38,'Données projet'!$A$217:$I$237,2,0)</f>
        <v>121.15384615384615</v>
      </c>
      <c r="FC38" s="13">
        <f>VLOOKUP(A38,'Données projet'!$A$217:$I$237,9,0)</f>
        <v>6.5384615384615383</v>
      </c>
      <c r="FD38" s="13">
        <f t="array" ref="FD38">INDEX(FC:FC,MIN(IF(ISNUMBER(FC38:FC234),ROW(FC38:FC234),"")))</f>
        <v>6.5384615384615383</v>
      </c>
      <c r="FE38" s="13">
        <f>IF('Données projet'!$A$218&gt;35,FE37+FD38-FM37,IF(A38&lt;'Données projet'!$A$218,$FB$205^A38,IF(A38='Données projet'!$A$218,'Données projet'!$B$218,FE37+FD38-FM37)))</f>
        <v>121.15384615384613</v>
      </c>
      <c r="FF38" s="18">
        <f>FE38*VLOOKUP('Données projet'!$B$16,Paramètres!$A$1:$I$89,3,0)*VLOOKUP('Données projet'!$B$16,Paramètres!$A$1:$I$89,5,0)</f>
        <v>103.94999999999999</v>
      </c>
      <c r="FG38" s="14">
        <f t="shared" si="47"/>
        <v>27.900898389210735</v>
      </c>
      <c r="FH38" s="22">
        <f t="shared" si="22"/>
        <v>229.64031469454201</v>
      </c>
      <c r="FI38" s="62">
        <f t="shared" si="23"/>
        <v>473.29084741911652</v>
      </c>
      <c r="FJ38" s="62">
        <f ca="1">AVERAGE(OFFSET($FI$3,0,0,'Données projet'!$E$16+1,1))-AVERAGE(OFFSET($H$3,0,0,'Données projet'!$E$16+1,1))</f>
        <v>359.20464555327072</v>
      </c>
      <c r="FK38" s="62">
        <f t="shared" si="48"/>
        <v>305.54154052071863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8.4</v>
      </c>
      <c r="N39" s="14">
        <f>IF('Données projet'!$A$36&gt;35,N38+M39-V38,IF(A39&lt;'Données projet'!$A$36,$K$205^A39,IF(A39='Données projet'!$A$36,'Données projet'!$B$36,N38+M39-V38)))</f>
        <v>124.4</v>
      </c>
      <c r="O39" s="14">
        <f>N39*VLOOKUP('Données projet'!$B$9,Paramètres!$A$1:$I$89,3,0)*VLOOKUP('Données projet'!$B$9,Paramètres!$A$1:$I$89,5,0)</f>
        <v>126.1416</v>
      </c>
      <c r="P39" s="14">
        <f t="shared" si="33"/>
        <v>33.10323903126482</v>
      </c>
      <c r="Q39" s="22">
        <f t="shared" si="53"/>
        <v>277.35142797945286</v>
      </c>
      <c r="R39" s="62">
        <f t="shared" si="0"/>
        <v>521.86384622048729</v>
      </c>
      <c r="S39" s="62">
        <f ca="1">AVERAGE(OFFSET($R$3,0,0,'Données projet'!$E$9+1,1))-AVERAGE(OFFSET($H$3,0,0,'Données projet'!$E$9+1,1))</f>
        <v>516.30971934066179</v>
      </c>
      <c r="T39" s="62">
        <f t="shared" si="34"/>
        <v>290.84286505723571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124.4</v>
      </c>
      <c r="AJ39" s="14">
        <f>AI39*VLOOKUP('Données projet'!$B$10,Paramètres!$A$1:$I$89,3,0)*VLOOKUP('Données projet'!$B$10,Paramètres!$A$1:$I$89,5,0)</f>
        <v>133.90415999999999</v>
      </c>
      <c r="AK39" s="14">
        <f t="shared" si="35"/>
        <v>34.896936615903982</v>
      </c>
      <c r="AL39" s="22">
        <f t="shared" si="4"/>
        <v>293.99524327269938</v>
      </c>
      <c r="AM39" s="62">
        <f t="shared" si="5"/>
        <v>538.50766151373386</v>
      </c>
      <c r="AN39" s="62">
        <f ca="1">AVERAGE(OFFSET($AM$3,0,0,'Données projet'!$E$10+1,1))-AVERAGE(OFFSET($H$3,0,0,'Données projet'!$E$10+1,1))</f>
        <v>542.90832990875208</v>
      </c>
      <c r="AO39" s="62">
        <f t="shared" si="36"/>
        <v>304.94365539329362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124.4</v>
      </c>
      <c r="BE39" s="14">
        <f>BD39*VLOOKUP('Données projet'!$B$11,Paramètres!$A$1:$I$89,3,0)*VLOOKUP('Données projet'!$B$11,Paramètres!$A$1:$I$89,5,0)</f>
        <v>120.31968000000001</v>
      </c>
      <c r="BF39" s="14">
        <f t="shared" si="37"/>
        <v>31.74954785566829</v>
      </c>
      <c r="BG39" s="22">
        <f t="shared" si="7"/>
        <v>264.85390518195555</v>
      </c>
      <c r="BH39" s="62">
        <f t="shared" si="8"/>
        <v>509.36632342298998</v>
      </c>
      <c r="BI39" s="62">
        <f ca="1">AVERAGE(OFFSET($BH$3,0,0,'Données projet'!$E$11+1,1))-AVERAGE(OFFSET($H$3,0,0,'Données projet'!$E$11+1,1))</f>
        <v>496.33873798282525</v>
      </c>
      <c r="BJ39" s="62">
        <f t="shared" si="38"/>
        <v>280.25465074992246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7.580000000000001</v>
      </c>
      <c r="BY39" s="13">
        <f>IF('Données projet'!$A$114&gt;35,BY38+BX39-CG38,IF(A39&lt;'Données projet'!$A$114,$BV$205^A39,IF(A39='Données projet'!$A$114,'Données projet'!$B$114,BY38+BX39-CG38)))</f>
        <v>122.68000000000004</v>
      </c>
      <c r="BZ39" s="14">
        <f>BY39*VLOOKUP('Données projet'!$B$12,Paramètres!$A$1:$I$89,3,0)*VLOOKUP('Données projet'!$B$12,Paramètres!$A$1:$I$89,5,0)</f>
        <v>107.17324800000004</v>
      </c>
      <c r="CA39" s="14">
        <f t="shared" si="39"/>
        <v>28.663974013695796</v>
      </c>
      <c r="CB39" s="22">
        <f t="shared" si="10"/>
        <v>236.5831616738536</v>
      </c>
      <c r="CC39" s="62">
        <f t="shared" si="11"/>
        <v>481.09557991488805</v>
      </c>
      <c r="CD39" s="62">
        <f ca="1">AVERAGE(OFFSET($CC$3,0,0,'Données projet'!$E$12+1,1))-AVERAGE(OFFSET($H$3,0,0,'Données projet'!$E$12+1,1))</f>
        <v>298.28891728374822</v>
      </c>
      <c r="CE39" s="62">
        <f t="shared" si="40"/>
        <v>275.07405533331371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12.4</v>
      </c>
      <c r="CT39" s="13">
        <f>IF('Données projet'!$A$140&gt;35,CT38+CS39-DB38,IF(A39&lt;'Données projet'!$A$140,$CQ$205^A39,IF(A39='Données projet'!$A$140,'Données projet'!$B$140,CT38+CS39-DB38)))</f>
        <v>158.4</v>
      </c>
      <c r="CU39" s="18">
        <f>CT39*VLOOKUP('Données projet'!$B$13,Paramètres!$A$1:$I$89,3,0)*VLOOKUP('Données projet'!$B$13,Paramètres!$A$1:$I$89,5,0)</f>
        <v>94.723200000000006</v>
      </c>
      <c r="CV39" s="14">
        <f t="shared" si="41"/>
        <v>25.700933959119112</v>
      </c>
      <c r="CW39" s="22">
        <f t="shared" si="13"/>
        <v>209.7386999787991</v>
      </c>
      <c r="CX39" s="62">
        <f t="shared" si="14"/>
        <v>454.25111821983353</v>
      </c>
      <c r="CY39" s="62">
        <f ca="1">AVERAGE(OFFSET($CX$3,0,0,'Données projet'!$E$13+1,1))-AVERAGE(OFFSET($H$3,0,0,'Données projet'!$E$13+1,1))</f>
        <v>320.46614113586043</v>
      </c>
      <c r="CZ39" s="62">
        <f t="shared" si="42"/>
        <v>250.7806929924491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0</v>
      </c>
      <c r="DH39" s="23">
        <f>EXP(-LN(2)/2)*DH38+(1-EXP(-LN(2)/2))/(LN(2)/2)*DB39*DE39*VLOOKUP('Données projet'!$B$13,Paramètres!$A$1:$I$89,3,0)*0.475*44/12</f>
        <v>1.1848810993614474</v>
      </c>
      <c r="DI39" s="24">
        <f t="shared" si="15"/>
        <v>1.1848810993614474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14.6</v>
      </c>
      <c r="DO39" s="13">
        <f>IF('Données projet'!$A$166&gt;35,DO38+DN39-DW38,IF(A39&lt;'Données projet'!$A$166,$DL$205^A39,IF(A39='Données projet'!$A$166,'Données projet'!$B$166,DO38+DN39-DW38)))</f>
        <v>208.59999999999994</v>
      </c>
      <c r="DP39" s="18">
        <f>DO39*VLOOKUP('Données projet'!$B$14,Paramètres!$A$1:$I$89,3,0)*VLOOKUP('Données projet'!$B$14,Paramètres!$A$1:$I$89,5,0)</f>
        <v>97.624799999999965</v>
      </c>
      <c r="DQ39" s="14">
        <f t="shared" si="43"/>
        <v>26.395349675372152</v>
      </c>
      <c r="DR39" s="22">
        <f t="shared" si="16"/>
        <v>216.00176068460644</v>
      </c>
      <c r="DS39" s="62">
        <f t="shared" si="17"/>
        <v>460.51417892564086</v>
      </c>
      <c r="DT39" s="62">
        <f ca="1">AVERAGE(OFFSET($DS$3,0,0,'Données projet'!$E$14+1,1))-AVERAGE(OFFSET($H$3,0,0,'Données projet'!$E$14+1,1))</f>
        <v>429.87867712133851</v>
      </c>
      <c r="DU39" s="62">
        <f t="shared" si="44"/>
        <v>182.81277865988014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6.2820512820512846</v>
      </c>
      <c r="EJ39" s="13">
        <f>IF('Données projet'!$A$192&gt;35,EJ38+EI39-ER38,IF(A39&lt;'Données projet'!$A$192,$EG$205^A39,IF(A39='Données projet'!$A$192,'Données projet'!$B$192,EJ38+EI39-ER38)))</f>
        <v>127.43589743589742</v>
      </c>
      <c r="EK39" s="18">
        <f>EJ39*VLOOKUP('Données projet'!$B$15,Paramètres!$A$1:$I$89,3,0)*VLOOKUP('Données projet'!$B$15,Paramètres!$A$1:$I$89,5,0)</f>
        <v>85.483999999999995</v>
      </c>
      <c r="EL39" s="14">
        <f t="shared" si="45"/>
        <v>23.472832821569877</v>
      </c>
      <c r="EM39" s="22">
        <f t="shared" si="19"/>
        <v>189.76648383090085</v>
      </c>
      <c r="EN39" s="62">
        <f t="shared" si="20"/>
        <v>434.27890207193525</v>
      </c>
      <c r="EO39" s="62">
        <f ca="1">AVERAGE(OFFSET($EN$3,0,0,'Données projet'!$E$15+1,1))-AVERAGE(OFFSET($H$3,0,0,'Données projet'!$E$15+1,1))</f>
        <v>296.18088377871669</v>
      </c>
      <c r="EP39" s="62">
        <f t="shared" si="46"/>
        <v>252.23833925792056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6.2820512820512846</v>
      </c>
      <c r="FE39" s="13">
        <f>IF('Données projet'!$A$218&gt;35,FE38+FD39-FM38,IF(A39&lt;'Données projet'!$A$218,$FB$205^A39,IF(A39='Données projet'!$A$218,'Données projet'!$B$218,FE38+FD39-FM38)))</f>
        <v>127.43589743589742</v>
      </c>
      <c r="FF39" s="18">
        <f>FE39*VLOOKUP('Données projet'!$B$16,Paramètres!$A$1:$I$89,3,0)*VLOOKUP('Données projet'!$B$16,Paramètres!$A$1:$I$89,5,0)</f>
        <v>109.34</v>
      </c>
      <c r="FG39" s="14">
        <f t="shared" si="47"/>
        <v>29.175429002118715</v>
      </c>
      <c r="FH39" s="22">
        <f t="shared" si="22"/>
        <v>241.24770551202343</v>
      </c>
      <c r="FI39" s="62">
        <f t="shared" si="23"/>
        <v>485.76012375305788</v>
      </c>
      <c r="FJ39" s="62">
        <f ca="1">AVERAGE(OFFSET($FI$3,0,0,'Données projet'!$E$16+1,1))-AVERAGE(OFFSET($H$3,0,0,'Données projet'!$E$16+1,1))</f>
        <v>359.20464555327072</v>
      </c>
      <c r="FK39" s="62">
        <f t="shared" si="48"/>
        <v>305.54154052071863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8.4</v>
      </c>
      <c r="N40" s="14">
        <f>IF('Données projet'!$A$36&gt;35,N39+M40-V39,IF(A40&lt;'Données projet'!$A$36,$K$205^A40,IF(A40='Données projet'!$A$36,'Données projet'!$B$36,N39+M40-V39)))</f>
        <v>132.80000000000001</v>
      </c>
      <c r="O40" s="14">
        <f>N40*VLOOKUP('Données projet'!$B$9,Paramètres!$A$1:$I$89,3,0)*VLOOKUP('Données projet'!$B$9,Paramètres!$A$1:$I$89,5,0)</f>
        <v>134.65920000000003</v>
      </c>
      <c r="P40" s="14">
        <f t="shared" si="33"/>
        <v>35.07074737441733</v>
      </c>
      <c r="Q40" s="22">
        <f t="shared" si="53"/>
        <v>295.61299167711019</v>
      </c>
      <c r="R40" s="62">
        <f t="shared" si="0"/>
        <v>540.97234364778126</v>
      </c>
      <c r="S40" s="62">
        <f ca="1">AVERAGE(OFFSET($R$3,0,0,'Données projet'!$E$9+1,1))-AVERAGE(OFFSET($H$3,0,0,'Données projet'!$E$9+1,1))</f>
        <v>516.30971934066179</v>
      </c>
      <c r="T40" s="62">
        <f t="shared" si="34"/>
        <v>290.84286505723571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132.80000000000001</v>
      </c>
      <c r="AJ40" s="14">
        <f>AI40*VLOOKUP('Données projet'!$B$10,Paramètres!$A$1:$I$89,3,0)*VLOOKUP('Données projet'!$B$10,Paramètres!$A$1:$I$89,5,0)</f>
        <v>142.94592</v>
      </c>
      <c r="AK40" s="14">
        <f t="shared" si="35"/>
        <v>36.971054314096854</v>
      </c>
      <c r="AL40" s="22">
        <f t="shared" si="4"/>
        <v>313.35539693038533</v>
      </c>
      <c r="AM40" s="62">
        <f t="shared" si="5"/>
        <v>558.7147489010564</v>
      </c>
      <c r="AN40" s="62">
        <f ca="1">AVERAGE(OFFSET($AM$3,0,0,'Données projet'!$E$10+1,1))-AVERAGE(OFFSET($H$3,0,0,'Données projet'!$E$10+1,1))</f>
        <v>542.90832990875208</v>
      </c>
      <c r="AO40" s="62">
        <f t="shared" si="36"/>
        <v>304.94365539329362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132.80000000000001</v>
      </c>
      <c r="BE40" s="14">
        <f>BD40*VLOOKUP('Données projet'!$B$11,Paramètres!$A$1:$I$89,3,0)*VLOOKUP('Données projet'!$B$11,Paramètres!$A$1:$I$89,5,0)</f>
        <v>128.44416000000001</v>
      </c>
      <c r="BF40" s="14">
        <f t="shared" si="37"/>
        <v>33.636598855068925</v>
      </c>
      <c r="BG40" s="22">
        <f t="shared" si="7"/>
        <v>282.29065500591173</v>
      </c>
      <c r="BH40" s="62">
        <f t="shared" si="8"/>
        <v>527.65000697658286</v>
      </c>
      <c r="BI40" s="62">
        <f ca="1">AVERAGE(OFFSET($BH$3,0,0,'Données projet'!$E$11+1,1))-AVERAGE(OFFSET($H$3,0,0,'Données projet'!$E$11+1,1))</f>
        <v>496.33873798282525</v>
      </c>
      <c r="BJ40" s="62">
        <f t="shared" si="38"/>
        <v>280.25465074992246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7.580000000000001</v>
      </c>
      <c r="BY40" s="13">
        <f>IF('Données projet'!$A$114&gt;35,BY39+BX40-CG39,IF(A40&lt;'Données projet'!$A$114,$BV$205^A40,IF(A40='Données projet'!$A$114,'Données projet'!$B$114,BY39+BX40-CG39)))</f>
        <v>130.26000000000005</v>
      </c>
      <c r="BZ40" s="14">
        <f>BY40*VLOOKUP('Données projet'!$B$12,Paramètres!$A$1:$I$89,3,0)*VLOOKUP('Données projet'!$B$12,Paramètres!$A$1:$I$89,5,0)</f>
        <v>113.79513600000004</v>
      </c>
      <c r="CA40" s="14">
        <f t="shared" si="39"/>
        <v>30.223375399604834</v>
      </c>
      <c r="CB40" s="22">
        <f t="shared" si="10"/>
        <v>250.83224068764514</v>
      </c>
      <c r="CC40" s="62">
        <f t="shared" si="11"/>
        <v>496.19159265831627</v>
      </c>
      <c r="CD40" s="62">
        <f ca="1">AVERAGE(OFFSET($CC$3,0,0,'Données projet'!$E$12+1,1))-AVERAGE(OFFSET($H$3,0,0,'Données projet'!$E$12+1,1))</f>
        <v>298.28891728374822</v>
      </c>
      <c r="CE40" s="62">
        <f t="shared" si="40"/>
        <v>275.07405533331371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12.4</v>
      </c>
      <c r="CT40" s="13">
        <f>IF('Données projet'!$A$140&gt;35,CT39+CS40-DB39,IF(A40&lt;'Données projet'!$A$140,$CQ$205^A40,IF(A40='Données projet'!$A$140,'Données projet'!$B$140,CT39+CS40-DB39)))</f>
        <v>170.8</v>
      </c>
      <c r="CU40" s="18">
        <f>CT40*VLOOKUP('Données projet'!$B$13,Paramètres!$A$1:$I$89,3,0)*VLOOKUP('Données projet'!$B$13,Paramètres!$A$1:$I$89,5,0)</f>
        <v>102.13840000000002</v>
      </c>
      <c r="CV40" s="14">
        <f t="shared" si="41"/>
        <v>27.470812821300004</v>
      </c>
      <c r="CW40" s="22">
        <f t="shared" si="13"/>
        <v>225.7360456637642</v>
      </c>
      <c r="CX40" s="62">
        <f t="shared" si="14"/>
        <v>471.0953976344353</v>
      </c>
      <c r="CY40" s="62">
        <f ca="1">AVERAGE(OFFSET($CX$3,0,0,'Données projet'!$E$13+1,1))-AVERAGE(OFFSET($H$3,0,0,'Données projet'!$E$13+1,1))</f>
        <v>320.46614113586043</v>
      </c>
      <c r="CZ40" s="62">
        <f t="shared" si="42"/>
        <v>250.7806929924491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0</v>
      </c>
      <c r="DH40" s="23">
        <f>EXP(-LN(2)/2)*DH39+(1-EXP(-LN(2)/2))/(LN(2)/2)*DB40*DE40*VLOOKUP('Données projet'!$B$13,Paramètres!$A$1:$I$89,3,0)*0.475*44/12</f>
        <v>0.8378374602582509</v>
      </c>
      <c r="DI40" s="24">
        <f t="shared" si="15"/>
        <v>0.8378374602582509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14.6</v>
      </c>
      <c r="DO40" s="13">
        <f>IF('Données projet'!$A$166&gt;35,DO39+DN40-DW39,IF(A40&lt;'Données projet'!$A$166,$DL$205^A40,IF(A40='Données projet'!$A$166,'Données projet'!$B$166,DO39+DN40-DW39)))</f>
        <v>223.19999999999993</v>
      </c>
      <c r="DP40" s="18">
        <f>DO40*VLOOKUP('Données projet'!$B$14,Paramètres!$A$1:$I$89,3,0)*VLOOKUP('Données projet'!$B$14,Paramètres!$A$1:$I$89,5,0)</f>
        <v>104.45759999999997</v>
      </c>
      <c r="DQ40" s="14">
        <f t="shared" si="43"/>
        <v>28.021248860498247</v>
      </c>
      <c r="DR40" s="22">
        <f t="shared" si="16"/>
        <v>230.73399509870103</v>
      </c>
      <c r="DS40" s="62">
        <f t="shared" si="17"/>
        <v>476.09334706937216</v>
      </c>
      <c r="DT40" s="62">
        <f ca="1">AVERAGE(OFFSET($DS$3,0,0,'Données projet'!$E$14+1,1))-AVERAGE(OFFSET($H$3,0,0,'Données projet'!$E$14+1,1))</f>
        <v>429.87867712133851</v>
      </c>
      <c r="DU40" s="62">
        <f t="shared" si="44"/>
        <v>182.81277865988014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6.2820512820512846</v>
      </c>
      <c r="EJ40" s="13">
        <f>IF('Données projet'!$A$192&gt;35,EJ39+EI40-ER39,IF(A40&lt;'Données projet'!$A$192,$EG$205^A40,IF(A40='Données projet'!$A$192,'Données projet'!$B$192,EJ39+EI40-ER39)))</f>
        <v>133.7179487179487</v>
      </c>
      <c r="EK40" s="18">
        <f>EJ40*VLOOKUP('Données projet'!$B$15,Paramètres!$A$1:$I$89,3,0)*VLOOKUP('Données projet'!$B$15,Paramètres!$A$1:$I$89,5,0)</f>
        <v>89.697999999999993</v>
      </c>
      <c r="EL40" s="14">
        <f t="shared" si="45"/>
        <v>24.492375624045465</v>
      </c>
      <c r="EM40" s="22">
        <f t="shared" si="19"/>
        <v>198.88157087854583</v>
      </c>
      <c r="EN40" s="62">
        <f t="shared" si="20"/>
        <v>444.24092284921693</v>
      </c>
      <c r="EO40" s="62">
        <f ca="1">AVERAGE(OFFSET($EN$3,0,0,'Données projet'!$E$15+1,1))-AVERAGE(OFFSET($H$3,0,0,'Données projet'!$E$15+1,1))</f>
        <v>296.18088377871669</v>
      </c>
      <c r="EP40" s="62">
        <f t="shared" si="46"/>
        <v>252.23833925792056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6.2820512820512846</v>
      </c>
      <c r="FE40" s="13">
        <f>IF('Données projet'!$A$218&gt;35,FE39+FD40-FM39,IF(A40&lt;'Données projet'!$A$218,$FB$205^A40,IF(A40='Données projet'!$A$218,'Données projet'!$B$218,FE39+FD40-FM39)))</f>
        <v>133.7179487179487</v>
      </c>
      <c r="FF40" s="18">
        <f>FE40*VLOOKUP('Données projet'!$B$16,Paramètres!$A$1:$I$89,3,0)*VLOOKUP('Données projet'!$B$16,Paramètres!$A$1:$I$89,5,0)</f>
        <v>114.73</v>
      </c>
      <c r="FG40" s="14">
        <f t="shared" si="47"/>
        <v>30.442664144734884</v>
      </c>
      <c r="FH40" s="22">
        <f t="shared" si="22"/>
        <v>252.84239005207988</v>
      </c>
      <c r="FI40" s="62">
        <f t="shared" si="23"/>
        <v>498.20174202275098</v>
      </c>
      <c r="FJ40" s="62">
        <f ca="1">AVERAGE(OFFSET($FI$3,0,0,'Données projet'!$E$16+1,1))-AVERAGE(OFFSET($H$3,0,0,'Données projet'!$E$16+1,1))</f>
        <v>359.20464555327072</v>
      </c>
      <c r="FK40" s="62">
        <f t="shared" si="48"/>
        <v>305.54154052071863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8.4</v>
      </c>
      <c r="N41" s="14">
        <f>IF('Données projet'!$A$36&gt;35,N40+M41-V40,IF(A41&lt;'Données projet'!$A$36,$K$205^A41,IF(A41='Données projet'!$A$36,'Données projet'!$B$36,N40+M41-V40)))</f>
        <v>141.20000000000002</v>
      </c>
      <c r="O41" s="14">
        <f>N41*VLOOKUP('Données projet'!$B$9,Paramètres!$A$1:$I$89,3,0)*VLOOKUP('Données projet'!$B$9,Paramètres!$A$1:$I$89,5,0)</f>
        <v>143.17680000000004</v>
      </c>
      <c r="P41" s="14">
        <f t="shared" si="33"/>
        <v>37.023812674521515</v>
      </c>
      <c r="Q41" s="22">
        <f t="shared" si="53"/>
        <v>313.84940040812506</v>
      </c>
      <c r="R41" s="62">
        <f t="shared" si="0"/>
        <v>560.04099370168376</v>
      </c>
      <c r="S41" s="62">
        <f ca="1">AVERAGE(OFFSET($R$3,0,0,'Données projet'!$E$9+1,1))-AVERAGE(OFFSET($H$3,0,0,'Données projet'!$E$9+1,1))</f>
        <v>516.30971934066179</v>
      </c>
      <c r="T41" s="62">
        <f t="shared" si="34"/>
        <v>290.84286505723571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141.20000000000002</v>
      </c>
      <c r="AJ41" s="14">
        <f>AI41*VLOOKUP('Données projet'!$B$10,Paramètres!$A$1:$I$89,3,0)*VLOOKUP('Données projet'!$B$10,Paramètres!$A$1:$I$89,5,0)</f>
        <v>151.98768000000001</v>
      </c>
      <c r="AK41" s="14">
        <f t="shared" si="35"/>
        <v>39.029946373574369</v>
      </c>
      <c r="AL41" s="22">
        <f t="shared" si="4"/>
        <v>332.68903260064207</v>
      </c>
      <c r="AM41" s="62">
        <f t="shared" si="5"/>
        <v>578.88062589420076</v>
      </c>
      <c r="AN41" s="62">
        <f ca="1">AVERAGE(OFFSET($AM$3,0,0,'Données projet'!$E$10+1,1))-AVERAGE(OFFSET($H$3,0,0,'Données projet'!$E$10+1,1))</f>
        <v>542.90832990875208</v>
      </c>
      <c r="AO41" s="62">
        <f t="shared" si="36"/>
        <v>304.94365539329362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141.20000000000002</v>
      </c>
      <c r="BE41" s="14">
        <f>BD41*VLOOKUP('Données projet'!$B$11,Paramètres!$A$1:$I$89,3,0)*VLOOKUP('Données projet'!$B$11,Paramètres!$A$1:$I$89,5,0)</f>
        <v>136.56864000000002</v>
      </c>
      <c r="BF41" s="14">
        <f t="shared" si="37"/>
        <v>35.509797430964703</v>
      </c>
      <c r="BG41" s="22">
        <f t="shared" si="7"/>
        <v>299.70327852559689</v>
      </c>
      <c r="BH41" s="62">
        <f t="shared" si="8"/>
        <v>545.89487181915558</v>
      </c>
      <c r="BI41" s="62">
        <f ca="1">AVERAGE(OFFSET($BH$3,0,0,'Données projet'!$E$11+1,1))-AVERAGE(OFFSET($H$3,0,0,'Données projet'!$E$11+1,1))</f>
        <v>496.33873798282525</v>
      </c>
      <c r="BJ41" s="62">
        <f t="shared" si="38"/>
        <v>280.25465074992246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7.580000000000001</v>
      </c>
      <c r="BY41" s="13">
        <f>IF('Données projet'!$A$114&gt;35,BY40+BX41-CG40,IF(A41&lt;'Données projet'!$A$114,$BV$205^A41,IF(A41='Données projet'!$A$114,'Données projet'!$B$114,BY40+BX41-CG40)))</f>
        <v>137.84000000000006</v>
      </c>
      <c r="BZ41" s="14">
        <f>BY41*VLOOKUP('Données projet'!$B$12,Paramètres!$A$1:$I$89,3,0)*VLOOKUP('Données projet'!$B$12,Paramètres!$A$1:$I$89,5,0)</f>
        <v>120.41702400000007</v>
      </c>
      <c r="CA41" s="14">
        <f t="shared" si="39"/>
        <v>31.772243646916021</v>
      </c>
      <c r="CB41" s="22">
        <f t="shared" si="10"/>
        <v>265.06297448504552</v>
      </c>
      <c r="CC41" s="62">
        <f t="shared" si="11"/>
        <v>511.25456777860427</v>
      </c>
      <c r="CD41" s="62">
        <f ca="1">AVERAGE(OFFSET($CC$3,0,0,'Données projet'!$E$12+1,1))-AVERAGE(OFFSET($H$3,0,0,'Données projet'!$E$12+1,1))</f>
        <v>298.28891728374822</v>
      </c>
      <c r="CE41" s="62">
        <f t="shared" si="40"/>
        <v>275.07405533331371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12.4</v>
      </c>
      <c r="CT41" s="13">
        <f>IF('Données projet'!$A$140&gt;35,CT40+CS41-DB40,IF(A41&lt;'Données projet'!$A$140,$CQ$205^A41,IF(A41='Données projet'!$A$140,'Données projet'!$B$140,CT40+CS41-DB40)))</f>
        <v>183.20000000000002</v>
      </c>
      <c r="CU41" s="18">
        <f>CT41*VLOOKUP('Données projet'!$B$13,Paramètres!$A$1:$I$89,3,0)*VLOOKUP('Données projet'!$B$13,Paramètres!$A$1:$I$89,5,0)</f>
        <v>109.55360000000002</v>
      </c>
      <c r="CV41" s="14">
        <f t="shared" si="41"/>
        <v>29.225784372214765</v>
      </c>
      <c r="CW41" s="22">
        <f t="shared" si="13"/>
        <v>241.70742778160744</v>
      </c>
      <c r="CX41" s="62">
        <f t="shared" si="14"/>
        <v>487.89902107516616</v>
      </c>
      <c r="CY41" s="62">
        <f ca="1">AVERAGE(OFFSET($CX$3,0,0,'Données projet'!$E$13+1,1))-AVERAGE(OFFSET($H$3,0,0,'Données projet'!$E$13+1,1))</f>
        <v>320.46614113586043</v>
      </c>
      <c r="CZ41" s="62">
        <f t="shared" si="42"/>
        <v>250.7806929924491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0</v>
      </c>
      <c r="DH41" s="23">
        <f>EXP(-LN(2)/2)*DH40+(1-EXP(-LN(2)/2))/(LN(2)/2)*DB41*DE41*VLOOKUP('Données projet'!$B$13,Paramètres!$A$1:$I$89,3,0)*0.475*44/12</f>
        <v>0.59244054968072379</v>
      </c>
      <c r="DI41" s="24">
        <f t="shared" si="15"/>
        <v>0.59244054968072379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14.6</v>
      </c>
      <c r="DO41" s="13">
        <f>IF('Données projet'!$A$166&gt;35,DO40+DN41-DW40,IF(A41&lt;'Données projet'!$A$166,$DL$205^A41,IF(A41='Données projet'!$A$166,'Données projet'!$B$166,DO40+DN41-DW40)))</f>
        <v>237.79999999999993</v>
      </c>
      <c r="DP41" s="18">
        <f>DO41*VLOOKUP('Données projet'!$B$14,Paramètres!$A$1:$I$89,3,0)*VLOOKUP('Données projet'!$B$14,Paramètres!$A$1:$I$89,5,0)</f>
        <v>111.29039999999998</v>
      </c>
      <c r="DQ41" s="14">
        <f t="shared" si="43"/>
        <v>29.634806205918217</v>
      </c>
      <c r="DR41" s="22">
        <f t="shared" si="16"/>
        <v>245.44473414197418</v>
      </c>
      <c r="DS41" s="62">
        <f t="shared" si="17"/>
        <v>491.63632743553291</v>
      </c>
      <c r="DT41" s="62">
        <f ca="1">AVERAGE(OFFSET($DS$3,0,0,'Données projet'!$E$14+1,1))-AVERAGE(OFFSET($H$3,0,0,'Données projet'!$E$14+1,1))</f>
        <v>429.87867712133851</v>
      </c>
      <c r="DU41" s="62">
        <f t="shared" si="44"/>
        <v>182.81277865988014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6.2820512820512846</v>
      </c>
      <c r="EJ41" s="13">
        <f>IF('Données projet'!$A$192&gt;35,EJ40+EI41-ER40,IF(A41&lt;'Données projet'!$A$192,$EG$205^A41,IF(A41='Données projet'!$A$192,'Données projet'!$B$192,EJ40+EI41-ER40)))</f>
        <v>140</v>
      </c>
      <c r="EK41" s="18">
        <f>EJ41*VLOOKUP('Données projet'!$B$15,Paramètres!$A$1:$I$89,3,0)*VLOOKUP('Données projet'!$B$15,Paramètres!$A$1:$I$89,5,0)</f>
        <v>93.911999999999992</v>
      </c>
      <c r="EL41" s="14">
        <f t="shared" si="45"/>
        <v>25.506356157232645</v>
      </c>
      <c r="EM41" s="22">
        <f t="shared" si="19"/>
        <v>207.98697030718017</v>
      </c>
      <c r="EN41" s="62">
        <f t="shared" si="20"/>
        <v>454.17856360073893</v>
      </c>
      <c r="EO41" s="62">
        <f ca="1">AVERAGE(OFFSET($EN$3,0,0,'Données projet'!$E$15+1,1))-AVERAGE(OFFSET($H$3,0,0,'Données projet'!$E$15+1,1))</f>
        <v>296.18088377871669</v>
      </c>
      <c r="EP41" s="62">
        <f t="shared" si="46"/>
        <v>252.23833925792056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6.2820512820512846</v>
      </c>
      <c r="FE41" s="13">
        <f>IF('Données projet'!$A$218&gt;35,FE40+FD41-FM40,IF(A41&lt;'Données projet'!$A$218,$FB$205^A41,IF(A41='Données projet'!$A$218,'Données projet'!$B$218,FE40+FD41-FM40)))</f>
        <v>140</v>
      </c>
      <c r="FF41" s="18">
        <f>FE41*VLOOKUP('Données projet'!$B$16,Paramètres!$A$1:$I$89,3,0)*VLOOKUP('Données projet'!$B$16,Paramètres!$A$1:$I$89,5,0)</f>
        <v>120.12</v>
      </c>
      <c r="FG41" s="14">
        <f t="shared" si="47"/>
        <v>31.702985695201871</v>
      </c>
      <c r="FH41" s="22">
        <f t="shared" si="22"/>
        <v>264.42503341914329</v>
      </c>
      <c r="FI41" s="62">
        <f t="shared" si="23"/>
        <v>510.61662671270199</v>
      </c>
      <c r="FJ41" s="62">
        <f ca="1">AVERAGE(OFFSET($FI$3,0,0,'Données projet'!$E$16+1,1))-AVERAGE(OFFSET($H$3,0,0,'Données projet'!$E$16+1,1))</f>
        <v>359.20464555327072</v>
      </c>
      <c r="FK41" s="62">
        <f t="shared" si="48"/>
        <v>305.54154052071863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8.4</v>
      </c>
      <c r="N42" s="14">
        <f>IF('Données projet'!$A$36&gt;35,N41+M42-V41,IF(A42&lt;'Données projet'!$A$36,$K$205^A42,IF(A42='Données projet'!$A$36,'Données projet'!$B$36,N41+M42-V41)))</f>
        <v>149.60000000000002</v>
      </c>
      <c r="O42" s="14">
        <f>N42*VLOOKUP('Données projet'!$B$9,Paramètres!$A$1:$I$89,3,0)*VLOOKUP('Données projet'!$B$9,Paramètres!$A$1:$I$89,5,0)</f>
        <v>151.69440000000003</v>
      </c>
      <c r="P42" s="14">
        <f t="shared" si="33"/>
        <v>38.963392010880654</v>
      </c>
      <c r="Q42" s="22">
        <f t="shared" si="53"/>
        <v>332.06232108561716</v>
      </c>
      <c r="R42" s="62">
        <f t="shared" si="0"/>
        <v>579.0717181757243</v>
      </c>
      <c r="S42" s="62">
        <f ca="1">AVERAGE(OFFSET($R$3,0,0,'Données projet'!$E$9+1,1))-AVERAGE(OFFSET($H$3,0,0,'Données projet'!$E$9+1,1))</f>
        <v>516.30971934066179</v>
      </c>
      <c r="T42" s="62">
        <f t="shared" si="34"/>
        <v>290.84286505723571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149.60000000000002</v>
      </c>
      <c r="AJ42" s="14">
        <f>AI42*VLOOKUP('Données projet'!$B$10,Paramètres!$A$1:$I$89,3,0)*VLOOKUP('Données projet'!$B$10,Paramètres!$A$1:$I$89,5,0)</f>
        <v>161.02944000000002</v>
      </c>
      <c r="AK42" s="14">
        <f t="shared" si="35"/>
        <v>41.074621732940685</v>
      </c>
      <c r="AL42" s="22">
        <f t="shared" si="4"/>
        <v>351.99790751820501</v>
      </c>
      <c r="AM42" s="62">
        <f t="shared" si="5"/>
        <v>599.0073046083121</v>
      </c>
      <c r="AN42" s="62">
        <f ca="1">AVERAGE(OFFSET($AM$3,0,0,'Données projet'!$E$10+1,1))-AVERAGE(OFFSET($H$3,0,0,'Données projet'!$E$10+1,1))</f>
        <v>542.90832990875208</v>
      </c>
      <c r="AO42" s="62">
        <f t="shared" si="36"/>
        <v>304.94365539329362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149.60000000000002</v>
      </c>
      <c r="BE42" s="14">
        <f>BD42*VLOOKUP('Données projet'!$B$11,Paramètres!$A$1:$I$89,3,0)*VLOOKUP('Données projet'!$B$11,Paramètres!$A$1:$I$89,5,0)</f>
        <v>144.69312000000002</v>
      </c>
      <c r="BF42" s="14">
        <f t="shared" si="37"/>
        <v>37.370061524802772</v>
      </c>
      <c r="BG42" s="22">
        <f t="shared" si="7"/>
        <v>317.09337448903148</v>
      </c>
      <c r="BH42" s="62">
        <f t="shared" si="8"/>
        <v>564.10277157913856</v>
      </c>
      <c r="BI42" s="62">
        <f ca="1">AVERAGE(OFFSET($BH$3,0,0,'Données projet'!$E$11+1,1))-AVERAGE(OFFSET($H$3,0,0,'Données projet'!$E$11+1,1))</f>
        <v>496.33873798282525</v>
      </c>
      <c r="BJ42" s="62">
        <f t="shared" si="38"/>
        <v>280.25465074992246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7.580000000000001</v>
      </c>
      <c r="BY42" s="13">
        <f>IF('Données projet'!$A$114&gt;35,BY41+BX42-CG41,IF(A42&lt;'Données projet'!$A$114,$BV$205^A42,IF(A42='Données projet'!$A$114,'Données projet'!$B$114,BY41+BX42-CG41)))</f>
        <v>145.42000000000007</v>
      </c>
      <c r="BZ42" s="14">
        <f>BY42*VLOOKUP('Données projet'!$B$12,Paramètres!$A$1:$I$89,3,0)*VLOOKUP('Données projet'!$B$12,Paramètres!$A$1:$I$89,5,0)</f>
        <v>127.03891200000008</v>
      </c>
      <c r="CA42" s="14">
        <f t="shared" si="39"/>
        <v>33.311224011655895</v>
      </c>
      <c r="CB42" s="22">
        <f t="shared" si="10"/>
        <v>279.27648688696752</v>
      </c>
      <c r="CC42" s="62">
        <f t="shared" si="11"/>
        <v>526.2858839770746</v>
      </c>
      <c r="CD42" s="62">
        <f ca="1">AVERAGE(OFFSET($CC$3,0,0,'Données projet'!$E$12+1,1))-AVERAGE(OFFSET($H$3,0,0,'Données projet'!$E$12+1,1))</f>
        <v>298.28891728374822</v>
      </c>
      <c r="CE42" s="62">
        <f t="shared" si="40"/>
        <v>275.07405533331371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12.4</v>
      </c>
      <c r="CT42" s="13">
        <f>IF('Données projet'!$A$140&gt;35,CT41+CS42-DB41,IF(A42&lt;'Données projet'!$A$140,$CQ$205^A42,IF(A42='Données projet'!$A$140,'Données projet'!$B$140,CT41+CS42-DB41)))</f>
        <v>195.60000000000002</v>
      </c>
      <c r="CU42" s="18">
        <f>CT42*VLOOKUP('Données projet'!$B$13,Paramètres!$A$1:$I$89,3,0)*VLOOKUP('Données projet'!$B$13,Paramètres!$A$1:$I$89,5,0)</f>
        <v>116.96880000000002</v>
      </c>
      <c r="CV42" s="14">
        <f t="shared" si="41"/>
        <v>30.966972418998537</v>
      </c>
      <c r="CW42" s="22">
        <f t="shared" si="13"/>
        <v>257.6548036297558</v>
      </c>
      <c r="CX42" s="62">
        <f t="shared" si="14"/>
        <v>504.66420071986295</v>
      </c>
      <c r="CY42" s="62">
        <f ca="1">AVERAGE(OFFSET($CX$3,0,0,'Données projet'!$E$13+1,1))-AVERAGE(OFFSET($H$3,0,0,'Données projet'!$E$13+1,1))</f>
        <v>320.46614113586043</v>
      </c>
      <c r="CZ42" s="62">
        <f t="shared" si="42"/>
        <v>250.7806929924491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0</v>
      </c>
      <c r="DH42" s="23">
        <f>EXP(-LN(2)/2)*DH41+(1-EXP(-LN(2)/2))/(LN(2)/2)*DB42*DE42*VLOOKUP('Données projet'!$B$13,Paramètres!$A$1:$I$89,3,0)*0.475*44/12</f>
        <v>0.41891873012912551</v>
      </c>
      <c r="DI42" s="24">
        <f t="shared" si="15"/>
        <v>0.41891873012912551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14.6</v>
      </c>
      <c r="DO42" s="13">
        <f>IF('Données projet'!$A$166&gt;35,DO41+DN42-DW41,IF(A42&lt;'Données projet'!$A$166,$DL$205^A42,IF(A42='Données projet'!$A$166,'Données projet'!$B$166,DO41+DN42-DW41)))</f>
        <v>252.39999999999992</v>
      </c>
      <c r="DP42" s="18">
        <f>DO42*VLOOKUP('Données projet'!$B$14,Paramètres!$A$1:$I$89,3,0)*VLOOKUP('Données projet'!$B$14,Paramètres!$A$1:$I$89,5,0)</f>
        <v>118.12319999999995</v>
      </c>
      <c r="DQ42" s="14">
        <f t="shared" si="43"/>
        <v>31.236865730893584</v>
      </c>
      <c r="DR42" s="22">
        <f t="shared" si="16"/>
        <v>260.13544781463958</v>
      </c>
      <c r="DS42" s="62">
        <f t="shared" si="17"/>
        <v>507.14484490474672</v>
      </c>
      <c r="DT42" s="62">
        <f ca="1">AVERAGE(OFFSET($DS$3,0,0,'Données projet'!$E$14+1,1))-AVERAGE(OFFSET($H$3,0,0,'Données projet'!$E$14+1,1))</f>
        <v>429.87867712133851</v>
      </c>
      <c r="DU42" s="62">
        <f t="shared" si="44"/>
        <v>182.81277865988014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6.2820512820512846</v>
      </c>
      <c r="EJ42" s="13">
        <f>IF('Données projet'!$A$192&gt;35,EJ41+EI42-ER41,IF(A42&lt;'Données projet'!$A$192,$EG$205^A42,IF(A42='Données projet'!$A$192,'Données projet'!$B$192,EJ41+EI42-ER41)))</f>
        <v>146.28205128205127</v>
      </c>
      <c r="EK42" s="18">
        <f>EJ42*VLOOKUP('Données projet'!$B$15,Paramètres!$A$1:$I$89,3,0)*VLOOKUP('Données projet'!$B$15,Paramètres!$A$1:$I$89,5,0)</f>
        <v>98.125999999999991</v>
      </c>
      <c r="EL42" s="14">
        <f t="shared" si="45"/>
        <v>26.515052526532699</v>
      </c>
      <c r="EM42" s="22">
        <f t="shared" si="19"/>
        <v>217.0831664837111</v>
      </c>
      <c r="EN42" s="62">
        <f t="shared" si="20"/>
        <v>464.09256357381821</v>
      </c>
      <c r="EO42" s="62">
        <f ca="1">AVERAGE(OFFSET($EN$3,0,0,'Données projet'!$E$15+1,1))-AVERAGE(OFFSET($H$3,0,0,'Données projet'!$E$15+1,1))</f>
        <v>296.18088377871669</v>
      </c>
      <c r="EP42" s="62">
        <f t="shared" si="46"/>
        <v>252.23833925792056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6.2820512820512846</v>
      </c>
      <c r="FE42" s="13">
        <f>IF('Données projet'!$A$218&gt;35,FE41+FD42-FM41,IF(A42&lt;'Données projet'!$A$218,$FB$205^A42,IF(A42='Données projet'!$A$218,'Données projet'!$B$218,FE41+FD42-FM41)))</f>
        <v>146.28205128205127</v>
      </c>
      <c r="FF42" s="18">
        <f>FE42*VLOOKUP('Données projet'!$B$16,Paramètres!$A$1:$I$89,3,0)*VLOOKUP('Données projet'!$B$16,Paramètres!$A$1:$I$89,5,0)</f>
        <v>125.51</v>
      </c>
      <c r="FG42" s="14">
        <f t="shared" si="47"/>
        <v>32.956739323105076</v>
      </c>
      <c r="FH42" s="22">
        <f t="shared" si="22"/>
        <v>275.99623765440805</v>
      </c>
      <c r="FI42" s="62">
        <f t="shared" si="23"/>
        <v>523.00563474451519</v>
      </c>
      <c r="FJ42" s="62">
        <f ca="1">AVERAGE(OFFSET($FI$3,0,0,'Données projet'!$E$16+1,1))-AVERAGE(OFFSET($H$3,0,0,'Données projet'!$E$16+1,1))</f>
        <v>359.20464555327072</v>
      </c>
      <c r="FK42" s="62">
        <f t="shared" si="48"/>
        <v>305.54154052071863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158</v>
      </c>
      <c r="L43" s="13">
        <f>VLOOKUP(A43,'Données projet'!$A$35:$I$55,9,0)</f>
        <v>8.4</v>
      </c>
      <c r="M43" s="13">
        <f t="array" ref="M43">INDEX(L:L,MIN(IF(ISNUMBER(L43:L239),ROW(L43:L239),"")))</f>
        <v>8.4</v>
      </c>
      <c r="N43" s="14">
        <f>IF('Données projet'!$A$36&gt;35,N42+M43-V42,IF(A43&lt;'Données projet'!$A$36,$K$205^A43,IF(A43='Données projet'!$A$36,'Données projet'!$B$36,N42+M43-V42)))</f>
        <v>158.00000000000003</v>
      </c>
      <c r="O43" s="14">
        <f>N43*VLOOKUP('Données projet'!$B$9,Paramètres!$A$1:$I$89,3,0)*VLOOKUP('Données projet'!$B$9,Paramètres!$A$1:$I$89,5,0)</f>
        <v>160.21200000000005</v>
      </c>
      <c r="P43" s="14">
        <f t="shared" si="33"/>
        <v>40.890328912852695</v>
      </c>
      <c r="Q43" s="22">
        <f t="shared" si="53"/>
        <v>350.25322285655176</v>
      </c>
      <c r="R43" s="62">
        <f t="shared" si="0"/>
        <v>598.0662366756726</v>
      </c>
      <c r="S43" s="62">
        <f ca="1">AVERAGE(OFFSET($R$3,0,0,'Données projet'!$E$9+1,1))-AVERAGE(OFFSET($H$3,0,0,'Données projet'!$E$9+1,1))</f>
        <v>516.30971934066179</v>
      </c>
      <c r="T43" s="62">
        <f t="shared" si="34"/>
        <v>290.84286505723571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42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158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158.00000000000003</v>
      </c>
      <c r="AJ43" s="14">
        <f>AI43*VLOOKUP('Données projet'!$B$10,Paramètres!$A$1:$I$89,3,0)*VLOOKUP('Données projet'!$B$10,Paramètres!$A$1:$I$89,5,0)</f>
        <v>170.07120000000003</v>
      </c>
      <c r="AK43" s="14">
        <f t="shared" si="35"/>
        <v>43.10596962815594</v>
      </c>
      <c r="AL43" s="22">
        <f t="shared" si="4"/>
        <v>371.28357043570503</v>
      </c>
      <c r="AM43" s="62">
        <f t="shared" si="5"/>
        <v>619.09658425482587</v>
      </c>
      <c r="AN43" s="62">
        <f ca="1">AVERAGE(OFFSET($AM$3,0,0,'Données projet'!$E$10+1,1))-AVERAGE(OFFSET($H$3,0,0,'Données projet'!$E$10+1,1))</f>
        <v>542.90832990875208</v>
      </c>
      <c r="AO43" s="62">
        <f t="shared" si="36"/>
        <v>304.94365539329362</v>
      </c>
      <c r="AP43" s="16">
        <f>IF(ISNA(VLOOKUP(A43,'Données projet'!$A$61:$I$81,3,0)),0,VLOOKUP(A43,'Données projet'!$A$61:$I$81,3,0))</f>
        <v>2</v>
      </c>
      <c r="AQ43" s="16">
        <f>IF(ISNA(VLOOKUP(A43,'Données projet'!$A$61:$I$81,4,0)),0,VLOOKUP(A43,'Données projet'!$A$61:$I$81,4,0))</f>
        <v>42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158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158.00000000000003</v>
      </c>
      <c r="BE43" s="14">
        <f>BD43*VLOOKUP('Données projet'!$B$11,Paramètres!$A$1:$I$89,3,0)*VLOOKUP('Données projet'!$B$11,Paramètres!$A$1:$I$89,5,0)</f>
        <v>152.81760000000003</v>
      </c>
      <c r="BF43" s="14">
        <f t="shared" si="37"/>
        <v>39.218200171484227</v>
      </c>
      <c r="BG43" s="22">
        <f t="shared" si="7"/>
        <v>334.46235196533502</v>
      </c>
      <c r="BH43" s="62">
        <f t="shared" si="8"/>
        <v>582.27536578445586</v>
      </c>
      <c r="BI43" s="62">
        <f ca="1">AVERAGE(OFFSET($BH$3,0,0,'Données projet'!$E$11+1,1))-AVERAGE(OFFSET($H$3,0,0,'Données projet'!$E$11+1,1))</f>
        <v>496.33873798282525</v>
      </c>
      <c r="BJ43" s="62">
        <f t="shared" si="38"/>
        <v>280.25465074992246</v>
      </c>
      <c r="BK43" s="16">
        <f>IF(ISNA(VLOOKUP(A43,'Données projet'!$A$87:$I$107,3,0)),0,VLOOKUP(A43,'Données projet'!$A$87:$I$107,3,0))</f>
        <v>2</v>
      </c>
      <c r="BL43" s="16">
        <f>IF(ISNA(VLOOKUP(A43,'Données projet'!$A$87:$I$107,4,0)),0,VLOOKUP(A43,'Données projet'!$A$87:$I$107,4,0))</f>
        <v>42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153</v>
      </c>
      <c r="BW43" s="13">
        <f>VLOOKUP(A43,'Données projet'!$A$113:$I$133,9,0)</f>
        <v>7.580000000000001</v>
      </c>
      <c r="BX43" s="13">
        <f t="array" ref="BX43">INDEX(BW:BW,MIN(IF(ISNUMBER(BW43:BW239),ROW(BW43:BW239),"")))</f>
        <v>7.580000000000001</v>
      </c>
      <c r="BY43" s="13">
        <f>IF('Données projet'!$A$114&gt;35,BY42+BX43-CG42,IF(A43&lt;'Données projet'!$A$114,$BV$205^A43,IF(A43='Données projet'!$A$114,'Données projet'!$B$114,BY42+BX43-CG42)))</f>
        <v>153.00000000000009</v>
      </c>
      <c r="BZ43" s="14">
        <f>BY43*VLOOKUP('Données projet'!$B$12,Paramètres!$A$1:$I$89,3,0)*VLOOKUP('Données projet'!$B$12,Paramètres!$A$1:$I$89,5,0)</f>
        <v>133.66080000000008</v>
      </c>
      <c r="CA43" s="14">
        <f t="shared" si="39"/>
        <v>34.840890682716747</v>
      </c>
      <c r="CB43" s="22">
        <f t="shared" si="10"/>
        <v>293.47377793906509</v>
      </c>
      <c r="CC43" s="62">
        <f t="shared" si="11"/>
        <v>541.28679175818593</v>
      </c>
      <c r="CD43" s="62">
        <f ca="1">AVERAGE(OFFSET($CC$3,0,0,'Données projet'!$E$12+1,1))-AVERAGE(OFFSET($H$3,0,0,'Données projet'!$E$12+1,1))</f>
        <v>298.28891728374822</v>
      </c>
      <c r="CE43" s="62">
        <f t="shared" si="40"/>
        <v>275.07405533331371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208</v>
      </c>
      <c r="CR43" s="13">
        <f>VLOOKUP(A43,'Données projet'!$A$139:$I$159,9,0)</f>
        <v>12.4</v>
      </c>
      <c r="CS43" s="13">
        <f t="array" ref="CS43">INDEX(CR:CR,MIN(IF(ISNUMBER(CR43:CR239),ROW(CR43:CR239),"")))</f>
        <v>12.4</v>
      </c>
      <c r="CT43" s="13">
        <f>IF('Données projet'!$A$140&gt;35,CT42+CS43-DB42,IF(A43&lt;'Données projet'!$A$140,$CQ$205^A43,IF(A43='Données projet'!$A$140,'Données projet'!$B$140,CT42+CS43-DB42)))</f>
        <v>208.00000000000003</v>
      </c>
      <c r="CU43" s="18">
        <f>CT43*VLOOKUP('Données projet'!$B$13,Paramètres!$A$1:$I$89,3,0)*VLOOKUP('Données projet'!$B$13,Paramètres!$A$1:$I$89,5,0)</f>
        <v>124.38400000000003</v>
      </c>
      <c r="CV43" s="14">
        <f t="shared" si="41"/>
        <v>32.695350227217695</v>
      </c>
      <c r="CW43" s="22">
        <f t="shared" si="13"/>
        <v>273.57986831240419</v>
      </c>
      <c r="CX43" s="62">
        <f t="shared" si="14"/>
        <v>521.39288213152497</v>
      </c>
      <c r="CY43" s="62">
        <f ca="1">AVERAGE(OFFSET($CX$3,0,0,'Données projet'!$E$13+1,1))-AVERAGE(OFFSET($H$3,0,0,'Données projet'!$E$13+1,1))</f>
        <v>320.46614113586043</v>
      </c>
      <c r="CZ43" s="62">
        <f t="shared" si="42"/>
        <v>250.7806929924491</v>
      </c>
      <c r="DA43" s="16">
        <f>IF(ISNA(VLOOKUP(A43,'Données projet'!$A$139:$I$159,3,0)),0,VLOOKUP(A43,'Données projet'!$A$139:$I$159,3,0))</f>
        <v>3</v>
      </c>
      <c r="DB43" s="16">
        <f>IF(ISNA(VLOOKUP(A43,'Données projet'!$A$139:$I$159,4,0)),0,VLOOKUP(A43,'Données projet'!$A$139:$I$159,4,0))</f>
        <v>34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0</v>
      </c>
      <c r="DH43" s="23">
        <f>EXP(-LN(2)/2)*DH42+(1-EXP(-LN(2)/2))/(LN(2)/2)*DB43*DE43*VLOOKUP('Données projet'!$B$13,Paramètres!$A$1:$I$89,3,0)*0.475*44/12</f>
        <v>0.2962202748403619</v>
      </c>
      <c r="DI43" s="24">
        <f t="shared" si="15"/>
        <v>0.2962202748403619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267</v>
      </c>
      <c r="DM43" s="13">
        <f>VLOOKUP(A43,'Données projet'!$A$165:$I$185,9,0)</f>
        <v>14.6</v>
      </c>
      <c r="DN43" s="13">
        <f t="array" ref="DN43">INDEX(DM:DM,MIN(IF(ISNUMBER(DM43:DM239),ROW(DM43:DM239),"")))</f>
        <v>14.6</v>
      </c>
      <c r="DO43" s="13">
        <f>IF('Données projet'!$A$166&gt;35,DO42+DN43-DW42,IF(A43&lt;'Données projet'!$A$166,$DL$205^A43,IF(A43='Données projet'!$A$166,'Données projet'!$B$166,DO42+DN43-DW42)))</f>
        <v>266.99999999999994</v>
      </c>
      <c r="DP43" s="18">
        <f>DO43*VLOOKUP('Données projet'!$B$14,Paramètres!$A$1:$I$89,3,0)*VLOOKUP('Données projet'!$B$14,Paramètres!$A$1:$I$89,5,0)</f>
        <v>124.95599999999997</v>
      </c>
      <c r="DQ43" s="14">
        <f t="shared" si="43"/>
        <v>32.828168295117194</v>
      </c>
      <c r="DR43" s="22">
        <f t="shared" si="16"/>
        <v>274.80742644732908</v>
      </c>
      <c r="DS43" s="62">
        <f t="shared" si="17"/>
        <v>522.62044026644992</v>
      </c>
      <c r="DT43" s="62">
        <f ca="1">AVERAGE(OFFSET($DS$3,0,0,'Données projet'!$E$14+1,1))-AVERAGE(OFFSET($H$3,0,0,'Données projet'!$E$14+1,1))</f>
        <v>429.87867712133851</v>
      </c>
      <c r="DU43" s="62">
        <f t="shared" si="44"/>
        <v>182.81277865988014</v>
      </c>
      <c r="DV43" s="16">
        <f>IF(ISNA(VLOOKUP(A43,'Données projet'!$A$165:$I$185,3,0)),0,VLOOKUP(A43,'Données projet'!$A$165:$I$185,3,0))</f>
        <v>1</v>
      </c>
      <c r="DW43" s="16">
        <f>IF(ISNA(VLOOKUP(A43,'Données projet'!$A$165:$I$185,4,0)),0,VLOOKUP(A43,'Données projet'!$A$165:$I$185,4,0))</f>
        <v>91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152.56410256410257</v>
      </c>
      <c r="EH43" s="13">
        <f>VLOOKUP(A43,'Données projet'!$A$191:$I$211,9,0)</f>
        <v>6.2820512820512846</v>
      </c>
      <c r="EI43" s="13">
        <f t="array" ref="EI43">INDEX(EH:EH,MIN(IF(ISNUMBER(EH43:EH239),ROW(EH43:EH239),"")))</f>
        <v>6.2820512820512846</v>
      </c>
      <c r="EJ43" s="13">
        <f>IF('Données projet'!$A$192&gt;35,EJ42+EI43-ER42,IF(A43&lt;'Données projet'!$A$192,$EG$205^A43,IF(A43='Données projet'!$A$192,'Données projet'!$B$192,EJ42+EI43-ER42)))</f>
        <v>152.56410256410254</v>
      </c>
      <c r="EK43" s="18">
        <f>EJ43*VLOOKUP('Données projet'!$B$15,Paramètres!$A$1:$I$89,3,0)*VLOOKUP('Données projet'!$B$15,Paramètres!$A$1:$I$89,5,0)</f>
        <v>102.33999999999997</v>
      </c>
      <c r="EL43" s="14">
        <f t="shared" si="45"/>
        <v>27.518717600046635</v>
      </c>
      <c r="EM43" s="22">
        <f t="shared" si="19"/>
        <v>226.17059982008118</v>
      </c>
      <c r="EN43" s="62">
        <f t="shared" si="20"/>
        <v>473.98361363920196</v>
      </c>
      <c r="EO43" s="62">
        <f ca="1">AVERAGE(OFFSET($EN$3,0,0,'Données projet'!$E$15+1,1))-AVERAGE(OFFSET($H$3,0,0,'Données projet'!$E$15+1,1))</f>
        <v>296.18088377871669</v>
      </c>
      <c r="EP43" s="62">
        <f t="shared" si="46"/>
        <v>252.23833925792056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28.205128205128204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>
        <f>VLOOKUP(A43,'Données projet'!$A$217:$I$237,2,0)</f>
        <v>152.56410256410257</v>
      </c>
      <c r="FC43" s="13">
        <f>VLOOKUP(A43,'Données projet'!$A$217:$I$237,9,0)</f>
        <v>6.2820512820512846</v>
      </c>
      <c r="FD43" s="13">
        <f t="array" ref="FD43">INDEX(FC:FC,MIN(IF(ISNUMBER(FC43:FC239),ROW(FC43:FC239),"")))</f>
        <v>6.2820512820512846</v>
      </c>
      <c r="FE43" s="13">
        <f>IF('Données projet'!$A$218&gt;35,FE42+FD43-FM42,IF(A43&lt;'Données projet'!$A$218,$FB$205^A43,IF(A43='Données projet'!$A$218,'Données projet'!$B$218,FE42+FD43-FM42)))</f>
        <v>152.56410256410254</v>
      </c>
      <c r="FF43" s="18">
        <f>FE43*VLOOKUP('Données projet'!$B$16,Paramètres!$A$1:$I$89,3,0)*VLOOKUP('Données projet'!$B$16,Paramètres!$A$1:$I$89,5,0)</f>
        <v>130.9</v>
      </c>
      <c r="FG43" s="14">
        <f t="shared" si="47"/>
        <v>34.204239329465814</v>
      </c>
      <c r="FH43" s="22">
        <f t="shared" si="22"/>
        <v>287.55655016548627</v>
      </c>
      <c r="FI43" s="62">
        <f t="shared" si="23"/>
        <v>535.36956398460711</v>
      </c>
      <c r="FJ43" s="62">
        <f ca="1">AVERAGE(OFFSET($FI$3,0,0,'Données projet'!$E$16+1,1))-AVERAGE(OFFSET($H$3,0,0,'Données projet'!$E$16+1,1))</f>
        <v>359.20464555327072</v>
      </c>
      <c r="FK43" s="62">
        <f t="shared" si="48"/>
        <v>305.54154052071863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28.205128205128204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8.4</v>
      </c>
      <c r="N44" s="14">
        <f>IF('Données projet'!$A$36&gt;35,N43+M44-V43,IF(A44&lt;'Données projet'!$A$36,$K$205^A44,IF(A44='Données projet'!$A$36,'Données projet'!$B$36,N43+M44-V43)))</f>
        <v>124.40000000000003</v>
      </c>
      <c r="O44" s="14">
        <f>N44*VLOOKUP('Données projet'!$B$9,Paramètres!$A$1:$I$89,3,0)*VLOOKUP('Données projet'!$B$9,Paramètres!$A$1:$I$89,5,0)</f>
        <v>126.14160000000005</v>
      </c>
      <c r="P44" s="14">
        <f t="shared" si="33"/>
        <v>33.10323903126482</v>
      </c>
      <c r="Q44" s="22">
        <f t="shared" si="53"/>
        <v>277.35142797945298</v>
      </c>
      <c r="R44" s="62">
        <f t="shared" si="0"/>
        <v>525.95411757395698</v>
      </c>
      <c r="S44" s="62">
        <f ca="1">AVERAGE(OFFSET($R$3,0,0,'Données projet'!$E$9+1,1))-AVERAGE(OFFSET($H$3,0,0,'Données projet'!$E$9+1,1))</f>
        <v>516.30971934066179</v>
      </c>
      <c r="T44" s="62">
        <f t="shared" si="34"/>
        <v>290.84286505723571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133.90416000000002</v>
      </c>
      <c r="AK44" s="14">
        <f t="shared" si="35"/>
        <v>34.896936615903982</v>
      </c>
      <c r="AL44" s="22">
        <f t="shared" si="4"/>
        <v>293.99524327269938</v>
      </c>
      <c r="AM44" s="62">
        <f t="shared" si="5"/>
        <v>542.59793286720333</v>
      </c>
      <c r="AN44" s="62">
        <f ca="1">AVERAGE(OFFSET($AM$3,0,0,'Données projet'!$E$10+1,1))-AVERAGE(OFFSET($H$3,0,0,'Données projet'!$E$10+1,1))</f>
        <v>542.90832990875208</v>
      </c>
      <c r="AO44" s="62">
        <f t="shared" si="36"/>
        <v>304.94365539329362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120.31968000000002</v>
      </c>
      <c r="BF44" s="14">
        <f t="shared" si="37"/>
        <v>31.74954785566829</v>
      </c>
      <c r="BG44" s="22">
        <f t="shared" si="7"/>
        <v>264.85390518195561</v>
      </c>
      <c r="BH44" s="62">
        <f t="shared" si="8"/>
        <v>513.45659477645961</v>
      </c>
      <c r="BI44" s="62">
        <f ca="1">AVERAGE(OFFSET($BH$3,0,0,'Données projet'!$E$11+1,1))-AVERAGE(OFFSET($H$3,0,0,'Données projet'!$E$11+1,1))</f>
        <v>496.33873798282525</v>
      </c>
      <c r="BJ44" s="62">
        <f t="shared" si="38"/>
        <v>280.25465074992246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6.5200000000000049</v>
      </c>
      <c r="BY44" s="13">
        <f>IF('Données projet'!$A$114&gt;35,BY43+BX44-CG43,IF(A44&lt;'Données projet'!$A$114,$BV$205^A44,IF(A44='Données projet'!$A$114,'Données projet'!$B$114,BY43+BX44-CG43)))</f>
        <v>159.5200000000001</v>
      </c>
      <c r="BZ44" s="14">
        <f>BY44*VLOOKUP('Données projet'!$B$12,Paramètres!$A$1:$I$89,3,0)*VLOOKUP('Données projet'!$B$12,Paramètres!$A$1:$I$89,5,0)</f>
        <v>139.35667200000012</v>
      </c>
      <c r="CA44" s="14">
        <f t="shared" si="39"/>
        <v>36.149588601843064</v>
      </c>
      <c r="CB44" s="22">
        <f t="shared" si="10"/>
        <v>305.67340388154349</v>
      </c>
      <c r="CC44" s="62">
        <f t="shared" si="11"/>
        <v>554.27609347604744</v>
      </c>
      <c r="CD44" s="62">
        <f ca="1">AVERAGE(OFFSET($CC$3,0,0,'Données projet'!$E$12+1,1))-AVERAGE(OFFSET($H$3,0,0,'Données projet'!$E$12+1,1))</f>
        <v>298.28891728374822</v>
      </c>
      <c r="CE44" s="62">
        <f t="shared" si="40"/>
        <v>275.07405533331371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14.1</v>
      </c>
      <c r="CT44" s="13">
        <f>IF('Données projet'!$A$140&gt;35,CT43+CS44-DB43,IF(A44&lt;'Données projet'!$A$140,$CQ$205^A44,IF(A44='Données projet'!$A$140,'Données projet'!$B$140,CT43+CS44-DB43)))</f>
        <v>188.10000000000002</v>
      </c>
      <c r="CU44" s="18">
        <f>CT44*VLOOKUP('Données projet'!$B$13,Paramètres!$A$1:$I$89,3,0)*VLOOKUP('Données projet'!$B$13,Paramètres!$A$1:$I$89,5,0)</f>
        <v>112.48380000000002</v>
      </c>
      <c r="CV44" s="14">
        <f t="shared" si="41"/>
        <v>29.915424563902814</v>
      </c>
      <c r="CW44" s="22">
        <f t="shared" si="13"/>
        <v>248.01198278213079</v>
      </c>
      <c r="CX44" s="62">
        <f t="shared" si="14"/>
        <v>496.61467237663476</v>
      </c>
      <c r="CY44" s="62">
        <f ca="1">AVERAGE(OFFSET($CX$3,0,0,'Données projet'!$E$13+1,1))-AVERAGE(OFFSET($H$3,0,0,'Données projet'!$E$13+1,1))</f>
        <v>320.46614113586043</v>
      </c>
      <c r="CZ44" s="62">
        <f t="shared" si="42"/>
        <v>250.7806929924491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0</v>
      </c>
      <c r="DH44" s="23">
        <f>EXP(-LN(2)/2)*DH43+(1-EXP(-LN(2)/2))/(LN(2)/2)*DB44*DE44*VLOOKUP('Données projet'!$B$13,Paramètres!$A$1:$I$89,3,0)*0.475*44/12</f>
        <v>0.20945936506456275</v>
      </c>
      <c r="DI44" s="24">
        <f t="shared" si="15"/>
        <v>0.20945936506456275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20.399999999999999</v>
      </c>
      <c r="DO44" s="13">
        <f>IF('Données projet'!$A$166&gt;35,DO43+DN44-DW43,IF(A44&lt;'Données projet'!$A$166,$DL$205^A44,IF(A44='Données projet'!$A$166,'Données projet'!$B$166,DO43+DN44-DW43)))</f>
        <v>196.39999999999992</v>
      </c>
      <c r="DP44" s="18">
        <f>DO44*VLOOKUP('Données projet'!$B$14,Paramètres!$A$1:$I$89,3,0)*VLOOKUP('Données projet'!$B$14,Paramètres!$A$1:$I$89,5,0)</f>
        <v>91.915199999999956</v>
      </c>
      <c r="DQ44" s="14">
        <f t="shared" si="43"/>
        <v>25.026557534351902</v>
      </c>
      <c r="DR44" s="22">
        <f t="shared" si="16"/>
        <v>203.67356103899616</v>
      </c>
      <c r="DS44" s="62">
        <f t="shared" si="17"/>
        <v>452.27625063350013</v>
      </c>
      <c r="DT44" s="62">
        <f ca="1">AVERAGE(OFFSET($DS$3,0,0,'Données projet'!$E$14+1,1))-AVERAGE(OFFSET($H$3,0,0,'Données projet'!$E$14+1,1))</f>
        <v>429.87867712133851</v>
      </c>
      <c r="DU44" s="62">
        <f t="shared" si="44"/>
        <v>182.81277865988014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5.7692307692307683</v>
      </c>
      <c r="EJ44" s="13">
        <f>IF('Données projet'!$A$192&gt;35,EJ43+EI44-ER43,IF(A44&lt;'Données projet'!$A$192,$EG$205^A44,IF(A44='Données projet'!$A$192,'Données projet'!$B$192,EJ43+EI44-ER43)))</f>
        <v>130.12820512820511</v>
      </c>
      <c r="EK44" s="18">
        <f>EJ44*VLOOKUP('Données projet'!$B$15,Paramètres!$A$1:$I$89,3,0)*VLOOKUP('Données projet'!$B$15,Paramètres!$A$1:$I$89,5,0)</f>
        <v>87.289999999999992</v>
      </c>
      <c r="EL44" s="14">
        <f t="shared" si="45"/>
        <v>23.910479818711725</v>
      </c>
      <c r="EM44" s="22">
        <f t="shared" si="19"/>
        <v>193.67416901758955</v>
      </c>
      <c r="EN44" s="62">
        <f t="shared" si="20"/>
        <v>442.27685861209352</v>
      </c>
      <c r="EO44" s="62">
        <f ca="1">AVERAGE(OFFSET($EN$3,0,0,'Données projet'!$E$15+1,1))-AVERAGE(OFFSET($H$3,0,0,'Données projet'!$E$15+1,1))</f>
        <v>296.18088377871669</v>
      </c>
      <c r="EP44" s="62">
        <f t="shared" si="46"/>
        <v>252.23833925792056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5.7692307692307683</v>
      </c>
      <c r="FE44" s="13">
        <f>IF('Données projet'!$A$218&gt;35,FE43+FD44-FM43,IF(A44&lt;'Données projet'!$A$218,$FB$205^A44,IF(A44='Données projet'!$A$218,'Données projet'!$B$218,FE43+FD44-FM43)))</f>
        <v>130.12820512820511</v>
      </c>
      <c r="FF44" s="18">
        <f>FE44*VLOOKUP('Données projet'!$B$16,Paramètres!$A$1:$I$89,3,0)*VLOOKUP('Données projet'!$B$16,Paramètres!$A$1:$I$89,5,0)</f>
        <v>111.65</v>
      </c>
      <c r="FG44" s="14">
        <f t="shared" si="47"/>
        <v>29.71939994035883</v>
      </c>
      <c r="FH44" s="22">
        <f t="shared" si="22"/>
        <v>246.21837156279162</v>
      </c>
      <c r="FI44" s="62">
        <f t="shared" si="23"/>
        <v>494.82106115729562</v>
      </c>
      <c r="FJ44" s="62">
        <f ca="1">AVERAGE(OFFSET($FI$3,0,0,'Données projet'!$E$16+1,1))-AVERAGE(OFFSET($H$3,0,0,'Données projet'!$E$16+1,1))</f>
        <v>359.20464555327072</v>
      </c>
      <c r="FK44" s="62">
        <f t="shared" si="48"/>
        <v>305.54154052071863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8.4</v>
      </c>
      <c r="N45" s="14">
        <f>IF('Données projet'!$A$36&gt;35,N44+M45-V44,IF(A45&lt;'Données projet'!$A$36,$K$205^A45,IF(A45='Données projet'!$A$36,'Données projet'!$B$36,N44+M45-V44)))</f>
        <v>132.80000000000004</v>
      </c>
      <c r="O45" s="14">
        <f>N45*VLOOKUP('Données projet'!$B$9,Paramètres!$A$1:$I$89,3,0)*VLOOKUP('Données projet'!$B$9,Paramètres!$A$1:$I$89,5,0)</f>
        <v>134.65920000000006</v>
      </c>
      <c r="P45" s="14">
        <f t="shared" si="33"/>
        <v>35.07074737441733</v>
      </c>
      <c r="Q45" s="22">
        <f t="shared" si="53"/>
        <v>295.61299167711024</v>
      </c>
      <c r="R45" s="62">
        <f t="shared" si="0"/>
        <v>544.991657937745</v>
      </c>
      <c r="S45" s="62">
        <f ca="1">AVERAGE(OFFSET($R$3,0,0,'Données projet'!$E$9+1,1))-AVERAGE(OFFSET($H$3,0,0,'Données projet'!$E$9+1,1))</f>
        <v>516.30971934066179</v>
      </c>
      <c r="T45" s="62">
        <f t="shared" si="34"/>
        <v>290.84286505723571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142.94592000000003</v>
      </c>
      <c r="AK45" s="14">
        <f t="shared" si="35"/>
        <v>36.971054314096854</v>
      </c>
      <c r="AL45" s="22">
        <f t="shared" si="4"/>
        <v>313.35539693038538</v>
      </c>
      <c r="AM45" s="62">
        <f t="shared" si="5"/>
        <v>562.73406319102014</v>
      </c>
      <c r="AN45" s="62">
        <f ca="1">AVERAGE(OFFSET($AM$3,0,0,'Données projet'!$E$10+1,1))-AVERAGE(OFFSET($H$3,0,0,'Données projet'!$E$10+1,1))</f>
        <v>542.90832990875208</v>
      </c>
      <c r="AO45" s="62">
        <f t="shared" si="36"/>
        <v>304.94365539329362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128.44416000000004</v>
      </c>
      <c r="BF45" s="14">
        <f t="shared" si="37"/>
        <v>33.636598855068954</v>
      </c>
      <c r="BG45" s="22">
        <f t="shared" si="7"/>
        <v>282.29065500591184</v>
      </c>
      <c r="BH45" s="62">
        <f t="shared" si="8"/>
        <v>531.6693212665466</v>
      </c>
      <c r="BI45" s="62">
        <f ca="1">AVERAGE(OFFSET($BH$3,0,0,'Données projet'!$E$11+1,1))-AVERAGE(OFFSET($H$3,0,0,'Données projet'!$E$11+1,1))</f>
        <v>496.33873798282525</v>
      </c>
      <c r="BJ45" s="62">
        <f t="shared" si="38"/>
        <v>280.25465074992246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6.5200000000000049</v>
      </c>
      <c r="BY45" s="13">
        <f>IF('Données projet'!$A$114&gt;35,BY44+BX45-CG44,IF(A45&lt;'Données projet'!$A$114,$BV$205^A45,IF(A45='Données projet'!$A$114,'Données projet'!$B$114,BY44+BX45-CG44)))</f>
        <v>166.04000000000011</v>
      </c>
      <c r="BZ45" s="14">
        <f>BY45*VLOOKUP('Données projet'!$B$12,Paramètres!$A$1:$I$89,3,0)*VLOOKUP('Données projet'!$B$12,Paramètres!$A$1:$I$89,5,0)</f>
        <v>145.05254400000013</v>
      </c>
      <c r="CA45" s="14">
        <f t="shared" si="39"/>
        <v>37.452073255831394</v>
      </c>
      <c r="CB45" s="22">
        <f t="shared" si="10"/>
        <v>317.86220838723989</v>
      </c>
      <c r="CC45" s="62">
        <f t="shared" si="11"/>
        <v>567.24087464787465</v>
      </c>
      <c r="CD45" s="62">
        <f ca="1">AVERAGE(OFFSET($CC$3,0,0,'Données projet'!$E$12+1,1))-AVERAGE(OFFSET($H$3,0,0,'Données projet'!$E$12+1,1))</f>
        <v>298.28891728374822</v>
      </c>
      <c r="CE45" s="62">
        <f t="shared" si="40"/>
        <v>275.07405533331371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14.1</v>
      </c>
      <c r="CT45" s="13">
        <f>IF('Données projet'!$A$140&gt;35,CT44+CS45-DB44,IF(A45&lt;'Données projet'!$A$140,$CQ$205^A45,IF(A45='Données projet'!$A$140,'Données projet'!$B$140,CT44+CS45-DB44)))</f>
        <v>202.20000000000002</v>
      </c>
      <c r="CU45" s="18">
        <f>CT45*VLOOKUP('Données projet'!$B$13,Paramètres!$A$1:$I$89,3,0)*VLOOKUP('Données projet'!$B$13,Paramètres!$A$1:$I$89,5,0)</f>
        <v>120.91560000000003</v>
      </c>
      <c r="CV45" s="14">
        <f t="shared" si="41"/>
        <v>31.888453396738488</v>
      </c>
      <c r="CW45" s="22">
        <f t="shared" si="13"/>
        <v>266.13372633265288</v>
      </c>
      <c r="CX45" s="62">
        <f t="shared" si="14"/>
        <v>515.51239259328759</v>
      </c>
      <c r="CY45" s="62">
        <f ca="1">AVERAGE(OFFSET($CX$3,0,0,'Données projet'!$E$13+1,1))-AVERAGE(OFFSET($H$3,0,0,'Données projet'!$E$13+1,1))</f>
        <v>320.46614113586043</v>
      </c>
      <c r="CZ45" s="62">
        <f t="shared" si="42"/>
        <v>250.7806929924491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0</v>
      </c>
      <c r="DH45" s="23">
        <f>EXP(-LN(2)/2)*DH44+(1-EXP(-LN(2)/2))/(LN(2)/2)*DB45*DE45*VLOOKUP('Données projet'!$B$13,Paramètres!$A$1:$I$89,3,0)*0.475*44/12</f>
        <v>0.14811013742018095</v>
      </c>
      <c r="DI45" s="24">
        <f t="shared" si="15"/>
        <v>0.14811013742018095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20.399999999999999</v>
      </c>
      <c r="DO45" s="13">
        <f>IF('Données projet'!$A$166&gt;35,DO44+DN45-DW44,IF(A45&lt;'Données projet'!$A$166,$DL$205^A45,IF(A45='Données projet'!$A$166,'Données projet'!$B$166,DO44+DN45-DW44)))</f>
        <v>216.79999999999993</v>
      </c>
      <c r="DP45" s="18">
        <f>DO45*VLOOKUP('Données projet'!$B$14,Paramètres!$A$1:$I$89,3,0)*VLOOKUP('Données projet'!$B$14,Paramètres!$A$1:$I$89,5,0)</f>
        <v>101.46239999999997</v>
      </c>
      <c r="DQ45" s="14">
        <f t="shared" si="43"/>
        <v>27.310099257465147</v>
      </c>
      <c r="DR45" s="22">
        <f t="shared" si="16"/>
        <v>224.27876954008505</v>
      </c>
      <c r="DS45" s="62">
        <f t="shared" si="17"/>
        <v>473.65743580071978</v>
      </c>
      <c r="DT45" s="62">
        <f ca="1">AVERAGE(OFFSET($DS$3,0,0,'Données projet'!$E$14+1,1))-AVERAGE(OFFSET($H$3,0,0,'Données projet'!$E$14+1,1))</f>
        <v>429.87867712133851</v>
      </c>
      <c r="DU45" s="62">
        <f t="shared" si="44"/>
        <v>182.81277865988014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5.7692307692307683</v>
      </c>
      <c r="EJ45" s="13">
        <f>IF('Données projet'!$A$192&gt;35,EJ44+EI45-ER44,IF(A45&lt;'Données projet'!$A$192,$EG$205^A45,IF(A45='Données projet'!$A$192,'Données projet'!$B$192,EJ44+EI45-ER44)))</f>
        <v>135.89743589743588</v>
      </c>
      <c r="EK45" s="18">
        <f>EJ45*VLOOKUP('Données projet'!$B$15,Paramètres!$A$1:$I$89,3,0)*VLOOKUP('Données projet'!$B$15,Paramètres!$A$1:$I$89,5,0)</f>
        <v>91.16</v>
      </c>
      <c r="EL45" s="14">
        <f t="shared" si="45"/>
        <v>24.844780200578068</v>
      </c>
      <c r="EM45" s="22">
        <f t="shared" si="19"/>
        <v>202.04165884934014</v>
      </c>
      <c r="EN45" s="62">
        <f t="shared" si="20"/>
        <v>451.4203251099749</v>
      </c>
      <c r="EO45" s="62">
        <f ca="1">AVERAGE(OFFSET($EN$3,0,0,'Données projet'!$E$15+1,1))-AVERAGE(OFFSET($H$3,0,0,'Données projet'!$E$15+1,1))</f>
        <v>296.18088377871669</v>
      </c>
      <c r="EP45" s="62">
        <f t="shared" si="46"/>
        <v>252.23833925792056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5.7692307692307683</v>
      </c>
      <c r="FE45" s="13">
        <f>IF('Données projet'!$A$218&gt;35,FE44+FD45-FM44,IF(A45&lt;'Données projet'!$A$218,$FB$205^A45,IF(A45='Données projet'!$A$218,'Données projet'!$B$218,FE44+FD45-FM44)))</f>
        <v>135.89743589743588</v>
      </c>
      <c r="FF45" s="18">
        <f>FE45*VLOOKUP('Données projet'!$B$16,Paramètres!$A$1:$I$89,3,0)*VLOOKUP('Données projet'!$B$16,Paramètres!$A$1:$I$89,5,0)</f>
        <v>116.6</v>
      </c>
      <c r="FG45" s="14">
        <f t="shared" si="47"/>
        <v>30.880683483125107</v>
      </c>
      <c r="FH45" s="22">
        <f t="shared" si="22"/>
        <v>256.86219039977618</v>
      </c>
      <c r="FI45" s="62">
        <f t="shared" si="23"/>
        <v>506.24085666041094</v>
      </c>
      <c r="FJ45" s="62">
        <f ca="1">AVERAGE(OFFSET($FI$3,0,0,'Données projet'!$E$16+1,1))-AVERAGE(OFFSET($H$3,0,0,'Données projet'!$E$16+1,1))</f>
        <v>359.20464555327072</v>
      </c>
      <c r="FK45" s="62">
        <f t="shared" si="48"/>
        <v>305.54154052071863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8.4</v>
      </c>
      <c r="N46" s="14">
        <f>IF('Données projet'!$A$36&gt;35,N45+M46-V45,IF(A46&lt;'Données projet'!$A$36,$K$205^A46,IF(A46='Données projet'!$A$36,'Données projet'!$B$36,N45+M46-V45)))</f>
        <v>141.20000000000005</v>
      </c>
      <c r="O46" s="14">
        <f>N46*VLOOKUP('Données projet'!$B$9,Paramètres!$A$1:$I$89,3,0)*VLOOKUP('Données projet'!$B$9,Paramètres!$A$1:$I$89,5,0)</f>
        <v>143.17680000000004</v>
      </c>
      <c r="P46" s="14">
        <f t="shared" si="33"/>
        <v>37.023812674521515</v>
      </c>
      <c r="Q46" s="22">
        <f t="shared" si="53"/>
        <v>313.84940040812506</v>
      </c>
      <c r="R46" s="62">
        <f t="shared" si="0"/>
        <v>563.99058187455717</v>
      </c>
      <c r="S46" s="62">
        <f ca="1">AVERAGE(OFFSET($R$3,0,0,'Données projet'!$E$9+1,1))-AVERAGE(OFFSET($H$3,0,0,'Données projet'!$E$9+1,1))</f>
        <v>516.30971934066179</v>
      </c>
      <c r="T46" s="62">
        <f t="shared" si="34"/>
        <v>290.84286505723571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151.98768000000004</v>
      </c>
      <c r="AK46" s="14">
        <f t="shared" si="35"/>
        <v>39.029946373574369</v>
      </c>
      <c r="AL46" s="22">
        <f t="shared" si="4"/>
        <v>332.68903260064207</v>
      </c>
      <c r="AM46" s="62">
        <f t="shared" si="5"/>
        <v>582.83021406707417</v>
      </c>
      <c r="AN46" s="62">
        <f ca="1">AVERAGE(OFFSET($AM$3,0,0,'Données projet'!$E$10+1,1))-AVERAGE(OFFSET($H$3,0,0,'Données projet'!$E$10+1,1))</f>
        <v>542.90832990875208</v>
      </c>
      <c r="AO46" s="62">
        <f t="shared" si="36"/>
        <v>304.94365539329362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136.56864000000004</v>
      </c>
      <c r="BF46" s="14">
        <f t="shared" si="37"/>
        <v>35.509797430964703</v>
      </c>
      <c r="BG46" s="22">
        <f t="shared" si="7"/>
        <v>299.70327852559694</v>
      </c>
      <c r="BH46" s="62">
        <f t="shared" si="8"/>
        <v>549.84445999202899</v>
      </c>
      <c r="BI46" s="62">
        <f ca="1">AVERAGE(OFFSET($BH$3,0,0,'Données projet'!$E$11+1,1))-AVERAGE(OFFSET($H$3,0,0,'Données projet'!$E$11+1,1))</f>
        <v>496.33873798282525</v>
      </c>
      <c r="BJ46" s="62">
        <f t="shared" si="38"/>
        <v>280.25465074992246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6.5200000000000049</v>
      </c>
      <c r="BY46" s="13">
        <f>IF('Données projet'!$A$114&gt;35,BY45+BX46-CG45,IF(A46&lt;'Données projet'!$A$114,$BV$205^A46,IF(A46='Données projet'!$A$114,'Données projet'!$B$114,BY45+BX46-CG45)))</f>
        <v>172.56000000000012</v>
      </c>
      <c r="BZ46" s="14">
        <f>BY46*VLOOKUP('Données projet'!$B$12,Paramètres!$A$1:$I$89,3,0)*VLOOKUP('Données projet'!$B$12,Paramètres!$A$1:$I$89,5,0)</f>
        <v>150.74841600000011</v>
      </c>
      <c r="CA46" s="14">
        <f t="shared" si="39"/>
        <v>38.748616545088822</v>
      </c>
      <c r="CB46" s="22">
        <f t="shared" si="10"/>
        <v>330.04066501602989</v>
      </c>
      <c r="CC46" s="62">
        <f t="shared" si="11"/>
        <v>580.18184648246188</v>
      </c>
      <c r="CD46" s="62">
        <f ca="1">AVERAGE(OFFSET($CC$3,0,0,'Données projet'!$E$12+1,1))-AVERAGE(OFFSET($H$3,0,0,'Données projet'!$E$12+1,1))</f>
        <v>298.28891728374822</v>
      </c>
      <c r="CE46" s="62">
        <f t="shared" si="40"/>
        <v>275.07405533331371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14.1</v>
      </c>
      <c r="CT46" s="13">
        <f>IF('Données projet'!$A$140&gt;35,CT45+CS46-DB45,IF(A46&lt;'Données projet'!$A$140,$CQ$205^A46,IF(A46='Données projet'!$A$140,'Données projet'!$B$140,CT45+CS46-DB45)))</f>
        <v>216.3</v>
      </c>
      <c r="CU46" s="18">
        <f>CT46*VLOOKUP('Données projet'!$B$13,Paramètres!$A$1:$I$89,3,0)*VLOOKUP('Données projet'!$B$13,Paramètres!$A$1:$I$89,5,0)</f>
        <v>129.34740000000002</v>
      </c>
      <c r="CV46" s="14">
        <f t="shared" si="41"/>
        <v>33.845518493267228</v>
      </c>
      <c r="CW46" s="22">
        <f t="shared" si="13"/>
        <v>284.22766637577377</v>
      </c>
      <c r="CX46" s="62">
        <f t="shared" si="14"/>
        <v>534.36884784220581</v>
      </c>
      <c r="CY46" s="62">
        <f ca="1">AVERAGE(OFFSET($CX$3,0,0,'Données projet'!$E$13+1,1))-AVERAGE(OFFSET($H$3,0,0,'Données projet'!$E$13+1,1))</f>
        <v>320.46614113586043</v>
      </c>
      <c r="CZ46" s="62">
        <f t="shared" si="42"/>
        <v>250.7806929924491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0</v>
      </c>
      <c r="DH46" s="23">
        <f>EXP(-LN(2)/2)*DH45+(1-EXP(-LN(2)/2))/(LN(2)/2)*DB46*DE46*VLOOKUP('Données projet'!$B$13,Paramètres!$A$1:$I$89,3,0)*0.475*44/12</f>
        <v>0.10472968253228138</v>
      </c>
      <c r="DI46" s="24">
        <f t="shared" si="15"/>
        <v>0.10472968253228138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20.399999999999999</v>
      </c>
      <c r="DO46" s="13">
        <f>IF('Données projet'!$A$166&gt;35,DO45+DN46-DW45,IF(A46&lt;'Données projet'!$A$166,$DL$205^A46,IF(A46='Données projet'!$A$166,'Données projet'!$B$166,DO45+DN46-DW45)))</f>
        <v>237.19999999999993</v>
      </c>
      <c r="DP46" s="18">
        <f>DO46*VLOOKUP('Données projet'!$B$14,Paramètres!$A$1:$I$89,3,0)*VLOOKUP('Données projet'!$B$14,Paramètres!$A$1:$I$89,5,0)</f>
        <v>111.00959999999996</v>
      </c>
      <c r="DQ46" s="14">
        <f t="shared" si="43"/>
        <v>29.568727576170897</v>
      </c>
      <c r="DR46" s="22">
        <f t="shared" si="16"/>
        <v>244.8405871951642</v>
      </c>
      <c r="DS46" s="62">
        <f t="shared" si="17"/>
        <v>494.98176866159622</v>
      </c>
      <c r="DT46" s="62">
        <f ca="1">AVERAGE(OFFSET($DS$3,0,0,'Données projet'!$E$14+1,1))-AVERAGE(OFFSET($H$3,0,0,'Données projet'!$E$14+1,1))</f>
        <v>429.87867712133851</v>
      </c>
      <c r="DU46" s="62">
        <f t="shared" si="44"/>
        <v>182.81277865988014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5.7692307692307683</v>
      </c>
      <c r="EJ46" s="13">
        <f>IF('Données projet'!$A$192&gt;35,EJ45+EI46-ER45,IF(A46&lt;'Données projet'!$A$192,$EG$205^A46,IF(A46='Données projet'!$A$192,'Données projet'!$B$192,EJ45+EI46-ER45)))</f>
        <v>141.66666666666666</v>
      </c>
      <c r="EK46" s="18">
        <f>EJ46*VLOOKUP('Données projet'!$B$15,Paramètres!$A$1:$I$89,3,0)*VLOOKUP('Données projet'!$B$15,Paramètres!$A$1:$I$89,5,0)</f>
        <v>95.03</v>
      </c>
      <c r="EL46" s="14">
        <f t="shared" si="45"/>
        <v>25.774473655280186</v>
      </c>
      <c r="EM46" s="22">
        <f t="shared" si="19"/>
        <v>210.40112494961298</v>
      </c>
      <c r="EN46" s="62">
        <f t="shared" si="20"/>
        <v>460.54230641604499</v>
      </c>
      <c r="EO46" s="62">
        <f ca="1">AVERAGE(OFFSET($EN$3,0,0,'Données projet'!$E$15+1,1))-AVERAGE(OFFSET($H$3,0,0,'Données projet'!$E$15+1,1))</f>
        <v>296.18088377871669</v>
      </c>
      <c r="EP46" s="62">
        <f t="shared" si="46"/>
        <v>252.23833925792056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5.7692307692307683</v>
      </c>
      <c r="FE46" s="13">
        <f>IF('Données projet'!$A$218&gt;35,FE45+FD46-FM45,IF(A46&lt;'Données projet'!$A$218,$FB$205^A46,IF(A46='Données projet'!$A$218,'Données projet'!$B$218,FE45+FD46-FM45)))</f>
        <v>141.66666666666666</v>
      </c>
      <c r="FF46" s="18">
        <f>FE46*VLOOKUP('Données projet'!$B$16,Paramètres!$A$1:$I$89,3,0)*VLOOKUP('Données projet'!$B$16,Paramètres!$A$1:$I$89,5,0)</f>
        <v>121.55000000000001</v>
      </c>
      <c r="FG46" s="14">
        <f t="shared" si="47"/>
        <v>32.036240871003386</v>
      </c>
      <c r="FH46" s="22">
        <f t="shared" si="22"/>
        <v>267.49603618366422</v>
      </c>
      <c r="FI46" s="62">
        <f t="shared" si="23"/>
        <v>517.63721765009632</v>
      </c>
      <c r="FJ46" s="62">
        <f ca="1">AVERAGE(OFFSET($FI$3,0,0,'Données projet'!$E$16+1,1))-AVERAGE(OFFSET($H$3,0,0,'Données projet'!$E$16+1,1))</f>
        <v>359.20464555327072</v>
      </c>
      <c r="FK46" s="62">
        <f t="shared" si="48"/>
        <v>305.54154052071863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8.4</v>
      </c>
      <c r="N47" s="14">
        <f>IF('Données projet'!$A$36&gt;35,N46+M47-V46,IF(A47&lt;'Données projet'!$A$36,$K$205^A47,IF(A47='Données projet'!$A$36,'Données projet'!$B$36,N46+M47-V46)))</f>
        <v>149.60000000000005</v>
      </c>
      <c r="O47" s="14">
        <f>N47*VLOOKUP('Données projet'!$B$9,Paramètres!$A$1:$I$89,3,0)*VLOOKUP('Données projet'!$B$9,Paramètres!$A$1:$I$89,5,0)</f>
        <v>151.69440000000006</v>
      </c>
      <c r="P47" s="14">
        <f t="shared" si="33"/>
        <v>38.963392010880654</v>
      </c>
      <c r="Q47" s="22">
        <f t="shared" si="53"/>
        <v>332.06232108561721</v>
      </c>
      <c r="R47" s="62">
        <f t="shared" si="0"/>
        <v>582.95278982375464</v>
      </c>
      <c r="S47" s="62">
        <f ca="1">AVERAGE(OFFSET($R$3,0,0,'Données projet'!$E$9+1,1))-AVERAGE(OFFSET($H$3,0,0,'Données projet'!$E$9+1,1))</f>
        <v>516.30971934066179</v>
      </c>
      <c r="T47" s="62">
        <f t="shared" si="34"/>
        <v>290.84286505723571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161.02944000000005</v>
      </c>
      <c r="AK47" s="14">
        <f t="shared" si="35"/>
        <v>41.074621732940727</v>
      </c>
      <c r="AL47" s="22">
        <f t="shared" si="4"/>
        <v>351.99790751820518</v>
      </c>
      <c r="AM47" s="62">
        <f t="shared" si="5"/>
        <v>602.88837625634255</v>
      </c>
      <c r="AN47" s="62">
        <f ca="1">AVERAGE(OFFSET($AM$3,0,0,'Données projet'!$E$10+1,1))-AVERAGE(OFFSET($H$3,0,0,'Données projet'!$E$10+1,1))</f>
        <v>542.90832990875208</v>
      </c>
      <c r="AO47" s="62">
        <f t="shared" si="36"/>
        <v>304.94365539329362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144.69312000000005</v>
      </c>
      <c r="BF47" s="14">
        <f t="shared" si="37"/>
        <v>37.370061524802772</v>
      </c>
      <c r="BG47" s="22">
        <f t="shared" si="7"/>
        <v>317.09337448903153</v>
      </c>
      <c r="BH47" s="62">
        <f t="shared" si="8"/>
        <v>567.98384322716902</v>
      </c>
      <c r="BI47" s="62">
        <f ca="1">AVERAGE(OFFSET($BH$3,0,0,'Données projet'!$E$11+1,1))-AVERAGE(OFFSET($H$3,0,0,'Données projet'!$E$11+1,1))</f>
        <v>496.33873798282525</v>
      </c>
      <c r="BJ47" s="62">
        <f t="shared" si="38"/>
        <v>280.25465074992246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6.5200000000000049</v>
      </c>
      <c r="BY47" s="13">
        <f>IF('Données projet'!$A$114&gt;35,BY46+BX47-CG46,IF(A47&lt;'Données projet'!$A$114,$BV$205^A47,IF(A47='Données projet'!$A$114,'Données projet'!$B$114,BY46+BX47-CG46)))</f>
        <v>179.08000000000013</v>
      </c>
      <c r="BZ47" s="14">
        <f>BY47*VLOOKUP('Données projet'!$B$12,Paramètres!$A$1:$I$89,3,0)*VLOOKUP('Données projet'!$B$12,Paramètres!$A$1:$I$89,5,0)</f>
        <v>156.44428800000011</v>
      </c>
      <c r="CA47" s="14">
        <f t="shared" si="39"/>
        <v>40.039468659202818</v>
      </c>
      <c r="CB47" s="22">
        <f t="shared" si="10"/>
        <v>342.20920951477842</v>
      </c>
      <c r="CC47" s="62">
        <f t="shared" si="11"/>
        <v>593.09967825291585</v>
      </c>
      <c r="CD47" s="62">
        <f ca="1">AVERAGE(OFFSET($CC$3,0,0,'Données projet'!$E$12+1,1))-AVERAGE(OFFSET($H$3,0,0,'Données projet'!$E$12+1,1))</f>
        <v>298.28891728374822</v>
      </c>
      <c r="CE47" s="62">
        <f t="shared" si="40"/>
        <v>275.07405533331371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14.1</v>
      </c>
      <c r="CT47" s="13">
        <f>IF('Données projet'!$A$140&gt;35,CT46+CS47-DB46,IF(A47&lt;'Données projet'!$A$140,$CQ$205^A47,IF(A47='Données projet'!$A$140,'Données projet'!$B$140,CT46+CS47-DB46)))</f>
        <v>230.4</v>
      </c>
      <c r="CU47" s="18">
        <f>CT47*VLOOKUP('Données projet'!$B$13,Paramètres!$A$1:$I$89,3,0)*VLOOKUP('Données projet'!$B$13,Paramètres!$A$1:$I$89,5,0)</f>
        <v>137.7792</v>
      </c>
      <c r="CV47" s="14">
        <f t="shared" si="41"/>
        <v>35.787778913287674</v>
      </c>
      <c r="CW47" s="22">
        <f t="shared" si="13"/>
        <v>302.29582160730934</v>
      </c>
      <c r="CX47" s="62">
        <f t="shared" si="14"/>
        <v>553.18629034544676</v>
      </c>
      <c r="CY47" s="62">
        <f ca="1">AVERAGE(OFFSET($CX$3,0,0,'Données projet'!$E$13+1,1))-AVERAGE(OFFSET($H$3,0,0,'Données projet'!$E$13+1,1))</f>
        <v>320.46614113586043</v>
      </c>
      <c r="CZ47" s="62">
        <f t="shared" si="42"/>
        <v>250.7806929924491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0</v>
      </c>
      <c r="DH47" s="23">
        <f>EXP(-LN(2)/2)*DH46+(1-EXP(-LN(2)/2))/(LN(2)/2)*DB47*DE47*VLOOKUP('Données projet'!$B$13,Paramètres!$A$1:$I$89,3,0)*0.475*44/12</f>
        <v>7.4055068710090474E-2</v>
      </c>
      <c r="DI47" s="24">
        <f t="shared" si="15"/>
        <v>7.4055068710090474E-2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20.399999999999999</v>
      </c>
      <c r="DO47" s="13">
        <f>IF('Données projet'!$A$166&gt;35,DO46+DN47-DW46,IF(A47&lt;'Données projet'!$A$166,$DL$205^A47,IF(A47='Données projet'!$A$166,'Données projet'!$B$166,DO46+DN47-DW46)))</f>
        <v>257.59999999999991</v>
      </c>
      <c r="DP47" s="18">
        <f>DO47*VLOOKUP('Données projet'!$B$14,Paramètres!$A$1:$I$89,3,0)*VLOOKUP('Données projet'!$B$14,Paramètres!$A$1:$I$89,5,0)</f>
        <v>120.55679999999995</v>
      </c>
      <c r="DQ47" s="14">
        <f t="shared" si="43"/>
        <v>31.804828741198779</v>
      </c>
      <c r="DR47" s="22">
        <f t="shared" si="16"/>
        <v>265.36317005758775</v>
      </c>
      <c r="DS47" s="62">
        <f t="shared" si="17"/>
        <v>516.25363879572524</v>
      </c>
      <c r="DT47" s="62">
        <f ca="1">AVERAGE(OFFSET($DS$3,0,0,'Données projet'!$E$14+1,1))-AVERAGE(OFFSET($H$3,0,0,'Données projet'!$E$14+1,1))</f>
        <v>429.87867712133851</v>
      </c>
      <c r="DU47" s="62">
        <f t="shared" si="44"/>
        <v>182.81277865988014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5.7692307692307683</v>
      </c>
      <c r="EJ47" s="13">
        <f>IF('Données projet'!$A$192&gt;35,EJ46+EI47-ER46,IF(A47&lt;'Données projet'!$A$192,$EG$205^A47,IF(A47='Données projet'!$A$192,'Données projet'!$B$192,EJ46+EI47-ER46)))</f>
        <v>147.43589743589743</v>
      </c>
      <c r="EK47" s="18">
        <f>EJ47*VLOOKUP('Données projet'!$B$15,Paramètres!$A$1:$I$89,3,0)*VLOOKUP('Données projet'!$B$15,Paramètres!$A$1:$I$89,5,0)</f>
        <v>98.9</v>
      </c>
      <c r="EL47" s="14">
        <f t="shared" si="45"/>
        <v>26.699769255487553</v>
      </c>
      <c r="EM47" s="22">
        <f t="shared" si="19"/>
        <v>218.7529314533075</v>
      </c>
      <c r="EN47" s="62">
        <f t="shared" si="20"/>
        <v>469.64340019144493</v>
      </c>
      <c r="EO47" s="62">
        <f ca="1">AVERAGE(OFFSET($EN$3,0,0,'Données projet'!$E$15+1,1))-AVERAGE(OFFSET($H$3,0,0,'Données projet'!$E$15+1,1))</f>
        <v>296.18088377871669</v>
      </c>
      <c r="EP47" s="62">
        <f t="shared" si="46"/>
        <v>252.23833925792056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5.7692307692307683</v>
      </c>
      <c r="FE47" s="13">
        <f>IF('Données projet'!$A$218&gt;35,FE46+FD47-FM46,IF(A47&lt;'Données projet'!$A$218,$FB$205^A47,IF(A47='Données projet'!$A$218,'Données projet'!$B$218,FE46+FD47-FM46)))</f>
        <v>147.43589743589743</v>
      </c>
      <c r="FF47" s="18">
        <f>FE47*VLOOKUP('Données projet'!$B$16,Paramètres!$A$1:$I$89,3,0)*VLOOKUP('Données projet'!$B$16,Paramètres!$A$1:$I$89,5,0)</f>
        <v>126.5</v>
      </c>
      <c r="FG47" s="14">
        <f t="shared" si="47"/>
        <v>33.186331969723071</v>
      </c>
      <c r="FH47" s="22">
        <f t="shared" si="22"/>
        <v>278.12036151393437</v>
      </c>
      <c r="FI47" s="62">
        <f t="shared" si="23"/>
        <v>529.01083025207186</v>
      </c>
      <c r="FJ47" s="62">
        <f ca="1">AVERAGE(OFFSET($FI$3,0,0,'Données projet'!$E$16+1,1))-AVERAGE(OFFSET($H$3,0,0,'Données projet'!$E$16+1,1))</f>
        <v>359.20464555327072</v>
      </c>
      <c r="FK47" s="62">
        <f t="shared" si="48"/>
        <v>305.54154052071863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158</v>
      </c>
      <c r="L48" s="13">
        <f>VLOOKUP(A48,'Données projet'!$A$35:$I$55,9,0)</f>
        <v>8.4</v>
      </c>
      <c r="M48" s="13">
        <f t="array" ref="M48">INDEX(L:L,MIN(IF(ISNUMBER(L48:L244),ROW(L48:L244),"")))</f>
        <v>8.4</v>
      </c>
      <c r="N48" s="14">
        <f>IF('Données projet'!$A$36&gt;35,N47+M48-V47,IF(A48&lt;'Données projet'!$A$36,$K$205^A48,IF(A48='Données projet'!$A$36,'Données projet'!$B$36,N47+M48-V47)))</f>
        <v>158.00000000000006</v>
      </c>
      <c r="O48" s="14">
        <f>N48*VLOOKUP('Données projet'!$B$9,Paramètres!$A$1:$I$89,3,0)*VLOOKUP('Données projet'!$B$9,Paramètres!$A$1:$I$89,5,0)</f>
        <v>160.21200000000007</v>
      </c>
      <c r="P48" s="14">
        <f t="shared" si="33"/>
        <v>40.890328912852731</v>
      </c>
      <c r="Q48" s="22">
        <f t="shared" si="53"/>
        <v>350.25322285655193</v>
      </c>
      <c r="R48" s="62">
        <f t="shared" si="0"/>
        <v>601.87998040738603</v>
      </c>
      <c r="S48" s="62">
        <f ca="1">AVERAGE(OFFSET($R$3,0,0,'Données projet'!$E$9+1,1))-AVERAGE(OFFSET($H$3,0,0,'Données projet'!$E$9+1,1))</f>
        <v>516.30971934066179</v>
      </c>
      <c r="T48" s="62">
        <f t="shared" si="34"/>
        <v>290.84286505723571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170.07120000000003</v>
      </c>
      <c r="AK48" s="14">
        <f t="shared" si="35"/>
        <v>43.10596962815594</v>
      </c>
      <c r="AL48" s="22">
        <f t="shared" si="4"/>
        <v>371.28357043570503</v>
      </c>
      <c r="AM48" s="62">
        <f t="shared" si="5"/>
        <v>622.91032798653919</v>
      </c>
      <c r="AN48" s="62">
        <f ca="1">AVERAGE(OFFSET($AM$3,0,0,'Données projet'!$E$10+1,1))-AVERAGE(OFFSET($H$3,0,0,'Données projet'!$E$10+1,1))</f>
        <v>542.90832990875208</v>
      </c>
      <c r="AO48" s="62">
        <f t="shared" si="36"/>
        <v>304.94365539329362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152.81760000000006</v>
      </c>
      <c r="BF48" s="14">
        <f t="shared" si="37"/>
        <v>39.218200171484227</v>
      </c>
      <c r="BG48" s="22">
        <f t="shared" si="7"/>
        <v>334.46235196533513</v>
      </c>
      <c r="BH48" s="62">
        <f t="shared" si="8"/>
        <v>586.08910951616929</v>
      </c>
      <c r="BI48" s="62">
        <f ca="1">AVERAGE(OFFSET($BH$3,0,0,'Données projet'!$E$11+1,1))-AVERAGE(OFFSET($H$3,0,0,'Données projet'!$E$11+1,1))</f>
        <v>496.33873798282525</v>
      </c>
      <c r="BJ48" s="62">
        <f t="shared" si="38"/>
        <v>280.25465074992246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185.60000000000002</v>
      </c>
      <c r="BW48" s="13">
        <f>VLOOKUP(A48,'Données projet'!$A$113:$I$133,9,0)</f>
        <v>6.5200000000000049</v>
      </c>
      <c r="BX48" s="13">
        <f t="array" ref="BX48">INDEX(BW:BW,MIN(IF(ISNUMBER(BW48:BW244),ROW(BW48:BW244),"")))</f>
        <v>6.5200000000000049</v>
      </c>
      <c r="BY48" s="13">
        <f>IF('Données projet'!$A$114&gt;35,BY47+BX48-CG47,IF(A48&lt;'Données projet'!$A$114,$BV$205^A48,IF(A48='Données projet'!$A$114,'Données projet'!$B$114,BY47+BX48-CG47)))</f>
        <v>185.60000000000014</v>
      </c>
      <c r="BZ48" s="14">
        <f>BY48*VLOOKUP('Données projet'!$B$12,Paramètres!$A$1:$I$89,3,0)*VLOOKUP('Données projet'!$B$12,Paramètres!$A$1:$I$89,5,0)</f>
        <v>162.14016000000015</v>
      </c>
      <c r="CA48" s="14">
        <f t="shared" si="39"/>
        <v>41.324860537333748</v>
      </c>
      <c r="CB48" s="22">
        <f t="shared" si="10"/>
        <v>354.36824410252319</v>
      </c>
      <c r="CC48" s="62">
        <f t="shared" si="11"/>
        <v>605.99500165335735</v>
      </c>
      <c r="CD48" s="62">
        <f ca="1">AVERAGE(OFFSET($CC$3,0,0,'Données projet'!$E$12+1,1))-AVERAGE(OFFSET($H$3,0,0,'Données projet'!$E$12+1,1))</f>
        <v>298.28891728374822</v>
      </c>
      <c r="CE48" s="62">
        <f t="shared" si="40"/>
        <v>275.07405533331371</v>
      </c>
      <c r="CF48" s="16">
        <f>IF(ISNA(VLOOKUP(A48,'Données projet'!$A$113:$I$133,3,0)),0,VLOOKUP(A48,'Données projet'!$A$113:$I$133,3,0))</f>
        <v>3</v>
      </c>
      <c r="CG48" s="16">
        <f>IF(ISNA(VLOOKUP(A48,'Données projet'!$A$113:$I$133,4,0)),0,VLOOKUP(A48,'Données projet'!$A$113:$I$133,4,0))</f>
        <v>39.299999999999997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14.1</v>
      </c>
      <c r="CT48" s="13">
        <f>IF('Données projet'!$A$140&gt;35,CT47+CS48-DB47,IF(A48&lt;'Données projet'!$A$140,$CQ$205^A48,IF(A48='Données projet'!$A$140,'Données projet'!$B$140,CT47+CS48-DB47)))</f>
        <v>244.5</v>
      </c>
      <c r="CU48" s="18">
        <f>CT48*VLOOKUP('Données projet'!$B$13,Paramètres!$A$1:$I$89,3,0)*VLOOKUP('Données projet'!$B$13,Paramètres!$A$1:$I$89,5,0)</f>
        <v>146.21100000000001</v>
      </c>
      <c r="CV48" s="14">
        <f t="shared" si="41"/>
        <v>37.71624383608448</v>
      </c>
      <c r="CW48" s="22">
        <f t="shared" si="13"/>
        <v>320.33994968118049</v>
      </c>
      <c r="CX48" s="62">
        <f t="shared" si="14"/>
        <v>571.96670723201464</v>
      </c>
      <c r="CY48" s="62">
        <f ca="1">AVERAGE(OFFSET($CX$3,0,0,'Données projet'!$E$13+1,1))-AVERAGE(OFFSET($H$3,0,0,'Données projet'!$E$13+1,1))</f>
        <v>320.46614113586043</v>
      </c>
      <c r="CZ48" s="62">
        <f t="shared" si="42"/>
        <v>250.7806929924491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0</v>
      </c>
      <c r="DG48" s="23">
        <f>EXP(-LN(2)/25)*DG47+(1-EXP(-LN(2)/25))/(LN(2)/25)*Calculateur!DB48*Calculateur!DD48*VLOOKUP('Données projet'!$B$13,Paramètres!$A$1:$I$89,3,0)*0.475*44/12</f>
        <v>0</v>
      </c>
      <c r="DH48" s="23">
        <f>EXP(-LN(2)/2)*DH47+(1-EXP(-LN(2)/2))/(LN(2)/2)*DB48*DE48*VLOOKUP('Données projet'!$B$13,Paramètres!$A$1:$I$89,3,0)*0.475*44/12</f>
        <v>5.2364841266140688E-2</v>
      </c>
      <c r="DI48" s="24">
        <f t="shared" si="15"/>
        <v>5.2364841266140688E-2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20.399999999999999</v>
      </c>
      <c r="DO48" s="13">
        <f>IF('Données projet'!$A$166&gt;35,DO47+DN48-DW47,IF(A48&lt;'Données projet'!$A$166,$DL$205^A48,IF(A48='Données projet'!$A$166,'Données projet'!$B$166,DO47+DN48-DW47)))</f>
        <v>277.99999999999989</v>
      </c>
      <c r="DP48" s="18">
        <f>DO48*VLOOKUP('Données projet'!$B$14,Paramètres!$A$1:$I$89,3,0)*VLOOKUP('Données projet'!$B$14,Paramètres!$A$1:$I$89,5,0)</f>
        <v>130.10399999999996</v>
      </c>
      <c r="DQ48" s="14">
        <f t="shared" si="43"/>
        <v>34.020389560268086</v>
      </c>
      <c r="DR48" s="22">
        <f t="shared" si="16"/>
        <v>285.84997848413349</v>
      </c>
      <c r="DS48" s="62">
        <f t="shared" si="17"/>
        <v>537.47673603496764</v>
      </c>
      <c r="DT48" s="62">
        <f ca="1">AVERAGE(OFFSET($DS$3,0,0,'Données projet'!$E$14+1,1))-AVERAGE(OFFSET($H$3,0,0,'Données projet'!$E$14+1,1))</f>
        <v>429.87867712133851</v>
      </c>
      <c r="DU48" s="62">
        <f t="shared" si="44"/>
        <v>182.81277865988014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153.2051282051282</v>
      </c>
      <c r="EH48" s="13">
        <f>VLOOKUP(A48,'Données projet'!$A$191:$I$211,9,0)</f>
        <v>5.7692307692307683</v>
      </c>
      <c r="EI48" s="13">
        <f t="array" ref="EI48">INDEX(EH:EH,MIN(IF(ISNUMBER(EH48:EH244),ROW(EH48:EH244),"")))</f>
        <v>5.7692307692307683</v>
      </c>
      <c r="EJ48" s="13">
        <f>IF('Données projet'!$A$192&gt;35,EJ47+EI48-ER47,IF(A48&lt;'Données projet'!$A$192,$EG$205^A48,IF(A48='Données projet'!$A$192,'Données projet'!$B$192,EJ47+EI48-ER47)))</f>
        <v>153.2051282051282</v>
      </c>
      <c r="EK48" s="18">
        <f>EJ48*VLOOKUP('Données projet'!$B$15,Paramètres!$A$1:$I$89,3,0)*VLOOKUP('Données projet'!$B$15,Paramètres!$A$1:$I$89,5,0)</f>
        <v>102.77</v>
      </c>
      <c r="EL48" s="14">
        <f t="shared" si="45"/>
        <v>27.620858785253475</v>
      </c>
      <c r="EM48" s="22">
        <f t="shared" si="19"/>
        <v>227.09741238431647</v>
      </c>
      <c r="EN48" s="62">
        <f t="shared" si="20"/>
        <v>478.7241699351506</v>
      </c>
      <c r="EO48" s="62">
        <f ca="1">AVERAGE(OFFSET($EN$3,0,0,'Données projet'!$E$15+1,1))-AVERAGE(OFFSET($H$3,0,0,'Données projet'!$E$15+1,1))</f>
        <v>296.18088377871669</v>
      </c>
      <c r="EP48" s="62">
        <f t="shared" si="46"/>
        <v>252.23833925792056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>
        <f>VLOOKUP(A48,'Données projet'!$A$217:$I$237,2,0)</f>
        <v>153.2051282051282</v>
      </c>
      <c r="FC48" s="13">
        <f>VLOOKUP(A48,'Données projet'!$A$217:$I$237,9,0)</f>
        <v>5.7692307692307683</v>
      </c>
      <c r="FD48" s="13">
        <f t="array" ref="FD48">INDEX(FC:FC,MIN(IF(ISNUMBER(FC48:FC244),ROW(FC48:FC244),"")))</f>
        <v>5.7692307692307683</v>
      </c>
      <c r="FE48" s="13">
        <f>IF('Données projet'!$A$218&gt;35,FE47+FD48-FM47,IF(A48&lt;'Données projet'!$A$218,$FB$205^A48,IF(A48='Données projet'!$A$218,'Données projet'!$B$218,FE47+FD48-FM47)))</f>
        <v>153.2051282051282</v>
      </c>
      <c r="FF48" s="18">
        <f>FE48*VLOOKUP('Données projet'!$B$16,Paramètres!$A$1:$I$89,3,0)*VLOOKUP('Données projet'!$B$16,Paramètres!$A$1:$I$89,5,0)</f>
        <v>131.45000000000002</v>
      </c>
      <c r="FG48" s="14">
        <f t="shared" si="47"/>
        <v>34.331195156222918</v>
      </c>
      <c r="FH48" s="22">
        <f t="shared" si="22"/>
        <v>288.73558156375492</v>
      </c>
      <c r="FI48" s="62">
        <f t="shared" si="23"/>
        <v>540.36233911458908</v>
      </c>
      <c r="FJ48" s="62">
        <f ca="1">AVERAGE(OFFSET($FI$3,0,0,'Données projet'!$E$16+1,1))-AVERAGE(OFFSET($H$3,0,0,'Données projet'!$E$16+1,1))</f>
        <v>359.20464555327072</v>
      </c>
      <c r="FK48" s="62">
        <f t="shared" si="48"/>
        <v>305.54154052071863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8.1999999999999993</v>
      </c>
      <c r="N49" s="14">
        <f>IF('Données projet'!$A$36&gt;35,N48+M49-V48,IF(A49&lt;'Données projet'!$A$36,$K$205^A49,IF(A49='Données projet'!$A$36,'Données projet'!$B$36,N48+M49-V48)))</f>
        <v>166.20000000000005</v>
      </c>
      <c r="O49" s="14">
        <f>N49*VLOOKUP('Données projet'!$B$9,Paramètres!$A$1:$I$89,3,0)*VLOOKUP('Données projet'!$B$9,Paramètres!$A$1:$I$89,5,0)</f>
        <v>168.52680000000007</v>
      </c>
      <c r="P49" s="14">
        <f t="shared" si="33"/>
        <v>42.759908842532369</v>
      </c>
      <c r="Q49" s="22">
        <f t="shared" si="53"/>
        <v>367.991017900744</v>
      </c>
      <c r="R49" s="62">
        <f t="shared" si="0"/>
        <v>620.34129129946962</v>
      </c>
      <c r="S49" s="62">
        <f ca="1">AVERAGE(OFFSET($R$3,0,0,'Données projet'!$E$9+1,1))-AVERAGE(OFFSET($H$3,0,0,'Données projet'!$E$9+1,1))</f>
        <v>516.30971934066179</v>
      </c>
      <c r="T49" s="62">
        <f t="shared" si="34"/>
        <v>290.84286505723571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166.20000000000005</v>
      </c>
      <c r="AJ49" s="14">
        <f>AI49*VLOOKUP('Données projet'!$B$10,Paramètres!$A$1:$I$89,3,0)*VLOOKUP('Données projet'!$B$10,Paramètres!$A$1:$I$89,5,0)</f>
        <v>178.89768000000004</v>
      </c>
      <c r="AK49" s="14">
        <f t="shared" si="35"/>
        <v>45.076852665999411</v>
      </c>
      <c r="AL49" s="22">
        <f t="shared" si="4"/>
        <v>390.08897772661572</v>
      </c>
      <c r="AM49" s="62">
        <f t="shared" si="5"/>
        <v>642.43925112534134</v>
      </c>
      <c r="AN49" s="62">
        <f ca="1">AVERAGE(OFFSET($AM$3,0,0,'Données projet'!$E$10+1,1))-AVERAGE(OFFSET($H$3,0,0,'Données projet'!$E$10+1,1))</f>
        <v>542.90832990875208</v>
      </c>
      <c r="AO49" s="62">
        <f t="shared" si="36"/>
        <v>304.94365539329362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166.20000000000005</v>
      </c>
      <c r="BE49" s="14">
        <f>BD49*VLOOKUP('Données projet'!$B$11,Paramètres!$A$1:$I$89,3,0)*VLOOKUP('Données projet'!$B$11,Paramètres!$A$1:$I$89,5,0)</f>
        <v>160.74864000000005</v>
      </c>
      <c r="BF49" s="14">
        <f t="shared" si="37"/>
        <v>41.011327345272264</v>
      </c>
      <c r="BG49" s="22">
        <f t="shared" si="7"/>
        <v>351.39860979301596</v>
      </c>
      <c r="BH49" s="62">
        <f t="shared" si="8"/>
        <v>603.74888319174158</v>
      </c>
      <c r="BI49" s="62">
        <f ca="1">AVERAGE(OFFSET($BH$3,0,0,'Données projet'!$E$11+1,1))-AVERAGE(OFFSET($H$3,0,0,'Données projet'!$E$11+1,1))</f>
        <v>496.33873798282525</v>
      </c>
      <c r="BJ49" s="62">
        <f t="shared" si="38"/>
        <v>280.25465074992246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5.580000000000001</v>
      </c>
      <c r="BY49" s="13">
        <f>IF('Données projet'!$A$114&gt;35,BY48+BX49-CG48,IF(A49&lt;'Données projet'!$A$114,$BV$205^A49,IF(A49='Données projet'!$A$114,'Données projet'!$B$114,BY48+BX49-CG48)))</f>
        <v>151.88000000000017</v>
      </c>
      <c r="BZ49" s="14">
        <f>BY49*VLOOKUP('Données projet'!$B$12,Paramètres!$A$1:$I$89,3,0)*VLOOKUP('Données projet'!$B$12,Paramètres!$A$1:$I$89,5,0)</f>
        <v>132.68236800000017</v>
      </c>
      <c r="CA49" s="14">
        <f t="shared" si="39"/>
        <v>34.61543715207867</v>
      </c>
      <c r="CB49" s="22">
        <f t="shared" si="10"/>
        <v>291.37701063987066</v>
      </c>
      <c r="CC49" s="62">
        <f t="shared" si="11"/>
        <v>543.72728403859628</v>
      </c>
      <c r="CD49" s="62">
        <f ca="1">AVERAGE(OFFSET($CC$3,0,0,'Données projet'!$E$12+1,1))-AVERAGE(OFFSET($H$3,0,0,'Données projet'!$E$12+1,1))</f>
        <v>298.28891728374822</v>
      </c>
      <c r="CE49" s="62">
        <f t="shared" si="40"/>
        <v>275.07405533331371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14.1</v>
      </c>
      <c r="CT49" s="13">
        <f>IF('Données projet'!$A$140&gt;35,CT48+CS49-DB48,IF(A49&lt;'Données projet'!$A$140,$CQ$205^A49,IF(A49='Données projet'!$A$140,'Données projet'!$B$140,CT48+CS49-DB48)))</f>
        <v>258.60000000000002</v>
      </c>
      <c r="CU49" s="18">
        <f>CT49*VLOOKUP('Données projet'!$B$13,Paramètres!$A$1:$I$89,3,0)*VLOOKUP('Données projet'!$B$13,Paramètres!$A$1:$I$89,5,0)</f>
        <v>154.64280000000002</v>
      </c>
      <c r="CV49" s="14">
        <f t="shared" si="41"/>
        <v>39.631799470164985</v>
      </c>
      <c r="CW49" s="22">
        <f t="shared" si="13"/>
        <v>338.36159407720407</v>
      </c>
      <c r="CX49" s="62">
        <f t="shared" si="14"/>
        <v>590.71186747592969</v>
      </c>
      <c r="CY49" s="62">
        <f ca="1">AVERAGE(OFFSET($CX$3,0,0,'Données projet'!$E$13+1,1))-AVERAGE(OFFSET($H$3,0,0,'Données projet'!$E$13+1,1))</f>
        <v>320.46614113586043</v>
      </c>
      <c r="CZ49" s="62">
        <f t="shared" si="42"/>
        <v>250.7806929924491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0</v>
      </c>
      <c r="DG49" s="23">
        <f>EXP(-LN(2)/25)*DG48+(1-EXP(-LN(2)/25))/(LN(2)/25)*Calculateur!DB49*Calculateur!DD49*VLOOKUP('Données projet'!$B$13,Paramètres!$A$1:$I$89,3,0)*0.475*44/12</f>
        <v>0</v>
      </c>
      <c r="DH49" s="23">
        <f>EXP(-LN(2)/2)*DH48+(1-EXP(-LN(2)/2))/(LN(2)/2)*DB49*DE49*VLOOKUP('Données projet'!$B$13,Paramètres!$A$1:$I$89,3,0)*0.475*44/12</f>
        <v>3.7027534355045237E-2</v>
      </c>
      <c r="DI49" s="24">
        <f t="shared" si="15"/>
        <v>3.7027534355045237E-2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20.399999999999999</v>
      </c>
      <c r="DO49" s="13">
        <f>IF('Données projet'!$A$166&gt;35,DO48+DN49-DW48,IF(A49&lt;'Données projet'!$A$166,$DL$205^A49,IF(A49='Données projet'!$A$166,'Données projet'!$B$166,DO48+DN49-DW48)))</f>
        <v>298.39999999999986</v>
      </c>
      <c r="DP49" s="18">
        <f>DO49*VLOOKUP('Données projet'!$B$14,Paramètres!$A$1:$I$89,3,0)*VLOOKUP('Données projet'!$B$14,Paramètres!$A$1:$I$89,5,0)</f>
        <v>139.65119999999993</v>
      </c>
      <c r="DQ49" s="14">
        <f t="shared" si="43"/>
        <v>36.217088715919452</v>
      </c>
      <c r="DR49" s="22">
        <f t="shared" si="16"/>
        <v>306.30393618022629</v>
      </c>
      <c r="DS49" s="62">
        <f t="shared" si="17"/>
        <v>558.65420957895196</v>
      </c>
      <c r="DT49" s="62">
        <f ca="1">AVERAGE(OFFSET($DS$3,0,0,'Données projet'!$E$14+1,1))-AVERAGE(OFFSET($H$3,0,0,'Données projet'!$E$14+1,1))</f>
        <v>429.87867712133851</v>
      </c>
      <c r="DU49" s="62">
        <f t="shared" si="44"/>
        <v>182.81277865988014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5.5128205128205137</v>
      </c>
      <c r="EJ49" s="13">
        <f>IF('Données projet'!$A$192&gt;35,EJ48+EI49-ER48,IF(A49&lt;'Données projet'!$A$192,$EG$205^A49,IF(A49='Données projet'!$A$192,'Données projet'!$B$192,EJ48+EI49-ER48)))</f>
        <v>158.71794871794873</v>
      </c>
      <c r="EK49" s="18">
        <f>EJ49*VLOOKUP('Données projet'!$B$15,Paramètres!$A$1:$I$89,3,0)*VLOOKUP('Données projet'!$B$15,Paramètres!$A$1:$I$89,5,0)</f>
        <v>106.468</v>
      </c>
      <c r="EL49" s="14">
        <f t="shared" si="45"/>
        <v>28.497243809169849</v>
      </c>
      <c r="EM49" s="22">
        <f t="shared" si="19"/>
        <v>235.06446630097085</v>
      </c>
      <c r="EN49" s="62">
        <f t="shared" si="20"/>
        <v>487.4147396996965</v>
      </c>
      <c r="EO49" s="62">
        <f ca="1">AVERAGE(OFFSET($EN$3,0,0,'Données projet'!$E$15+1,1))-AVERAGE(OFFSET($H$3,0,0,'Données projet'!$E$15+1,1))</f>
        <v>296.18088377871669</v>
      </c>
      <c r="EP49" s="62">
        <f t="shared" si="46"/>
        <v>252.23833925792056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5.5128205128205137</v>
      </c>
      <c r="FE49" s="13">
        <f>IF('Données projet'!$A$218&gt;35,FE48+FD49-FM48,IF(A49&lt;'Données projet'!$A$218,$FB$205^A49,IF(A49='Données projet'!$A$218,'Données projet'!$B$218,FE48+FD49-FM48)))</f>
        <v>158.71794871794873</v>
      </c>
      <c r="FF49" s="18">
        <f>FE49*VLOOKUP('Données projet'!$B$16,Paramètres!$A$1:$I$89,3,0)*VLOOKUP('Données projet'!$B$16,Paramètres!$A$1:$I$89,5,0)</f>
        <v>136.18000000000004</v>
      </c>
      <c r="FG49" s="14">
        <f t="shared" si="47"/>
        <v>35.420493122009795</v>
      </c>
      <c r="FH49" s="22">
        <f t="shared" si="22"/>
        <v>298.87085885416707</v>
      </c>
      <c r="FI49" s="62">
        <f t="shared" si="23"/>
        <v>551.22113225289274</v>
      </c>
      <c r="FJ49" s="62">
        <f ca="1">AVERAGE(OFFSET($FI$3,0,0,'Données projet'!$E$16+1,1))-AVERAGE(OFFSET($H$3,0,0,'Données projet'!$E$16+1,1))</f>
        <v>359.20464555327072</v>
      </c>
      <c r="FK49" s="62">
        <f t="shared" si="48"/>
        <v>305.54154052071863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8.1999999999999993</v>
      </c>
      <c r="N50" s="14">
        <f>IF('Données projet'!$A$36&gt;35,N49+M50-V49,IF(A50&lt;'Données projet'!$A$36,$K$205^A50,IF(A50='Données projet'!$A$36,'Données projet'!$B$36,N49+M50-V49)))</f>
        <v>174.40000000000003</v>
      </c>
      <c r="O50" s="14">
        <f>N50*VLOOKUP('Données projet'!$B$9,Paramètres!$A$1:$I$89,3,0)*VLOOKUP('Données projet'!$B$9,Paramètres!$A$1:$I$89,5,0)</f>
        <v>176.84160000000006</v>
      </c>
      <c r="P50" s="14">
        <f t="shared" si="33"/>
        <v>44.618778032982952</v>
      </c>
      <c r="Q50" s="22">
        <f t="shared" si="53"/>
        <v>385.71015840744536</v>
      </c>
      <c r="R50" s="62">
        <f t="shared" si="0"/>
        <v>638.7713962716407</v>
      </c>
      <c r="S50" s="62">
        <f ca="1">AVERAGE(OFFSET($R$3,0,0,'Données projet'!$E$9+1,1))-AVERAGE(OFFSET($H$3,0,0,'Données projet'!$E$9+1,1))</f>
        <v>516.30971934066179</v>
      </c>
      <c r="T50" s="62">
        <f t="shared" si="34"/>
        <v>290.84286505723571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174.40000000000003</v>
      </c>
      <c r="AJ50" s="14">
        <f>AI50*VLOOKUP('Données projet'!$B$10,Paramètres!$A$1:$I$89,3,0)*VLOOKUP('Données projet'!$B$10,Paramètres!$A$1:$I$89,5,0)</f>
        <v>187.72416000000004</v>
      </c>
      <c r="AK50" s="14">
        <f t="shared" si="35"/>
        <v>47.036444603668812</v>
      </c>
      <c r="AL50" s="22">
        <f t="shared" si="4"/>
        <v>408.87471968472323</v>
      </c>
      <c r="AM50" s="62">
        <f t="shared" si="5"/>
        <v>661.93595754891862</v>
      </c>
      <c r="AN50" s="62">
        <f ca="1">AVERAGE(OFFSET($AM$3,0,0,'Données projet'!$E$10+1,1))-AVERAGE(OFFSET($H$3,0,0,'Données projet'!$E$10+1,1))</f>
        <v>542.90832990875208</v>
      </c>
      <c r="AO50" s="62">
        <f t="shared" si="36"/>
        <v>304.94365539329362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174.40000000000003</v>
      </c>
      <c r="BE50" s="14">
        <f>BD50*VLOOKUP('Données projet'!$B$11,Paramètres!$A$1:$I$89,3,0)*VLOOKUP('Données projet'!$B$11,Paramètres!$A$1:$I$89,5,0)</f>
        <v>168.67968000000002</v>
      </c>
      <c r="BF50" s="14">
        <f t="shared" si="37"/>
        <v>42.794181774227013</v>
      </c>
      <c r="BG50" s="22">
        <f t="shared" si="7"/>
        <v>368.3169759234454</v>
      </c>
      <c r="BH50" s="62">
        <f t="shared" si="8"/>
        <v>621.37821378764079</v>
      </c>
      <c r="BI50" s="62">
        <f ca="1">AVERAGE(OFFSET($BH$3,0,0,'Données projet'!$E$11+1,1))-AVERAGE(OFFSET($H$3,0,0,'Données projet'!$E$11+1,1))</f>
        <v>496.33873798282525</v>
      </c>
      <c r="BJ50" s="62">
        <f t="shared" si="38"/>
        <v>280.25465074992246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5.580000000000001</v>
      </c>
      <c r="BY50" s="13">
        <f>IF('Données projet'!$A$114&gt;35,BY49+BX50-CG49,IF(A50&lt;'Données projet'!$A$114,$BV$205^A50,IF(A50='Données projet'!$A$114,'Données projet'!$B$114,BY49+BX50-CG49)))</f>
        <v>157.46000000000018</v>
      </c>
      <c r="BZ50" s="14">
        <f>BY50*VLOOKUP('Données projet'!$B$12,Paramètres!$A$1:$I$89,3,0)*VLOOKUP('Données projet'!$B$12,Paramètres!$A$1:$I$89,5,0)</f>
        <v>137.55705600000019</v>
      </c>
      <c r="CA50" s="14">
        <f t="shared" si="39"/>
        <v>35.736789248452347</v>
      </c>
      <c r="CB50" s="22">
        <f t="shared" si="10"/>
        <v>301.82011380772144</v>
      </c>
      <c r="CC50" s="62">
        <f t="shared" si="11"/>
        <v>554.88135167191683</v>
      </c>
      <c r="CD50" s="62">
        <f ca="1">AVERAGE(OFFSET($CC$3,0,0,'Données projet'!$E$12+1,1))-AVERAGE(OFFSET($H$3,0,0,'Données projet'!$E$12+1,1))</f>
        <v>298.28891728374822</v>
      </c>
      <c r="CE50" s="62">
        <f t="shared" si="40"/>
        <v>275.07405533331371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14.1</v>
      </c>
      <c r="CT50" s="13">
        <f>IF('Données projet'!$A$140&gt;35,CT49+CS50-DB49,IF(A50&lt;'Données projet'!$A$140,$CQ$205^A50,IF(A50='Données projet'!$A$140,'Données projet'!$B$140,CT49+CS50-DB49)))</f>
        <v>272.70000000000005</v>
      </c>
      <c r="CU50" s="18">
        <f>CT50*VLOOKUP('Données projet'!$B$13,Paramètres!$A$1:$I$89,3,0)*VLOOKUP('Données projet'!$B$13,Paramètres!$A$1:$I$89,5,0)</f>
        <v>163.07460000000003</v>
      </c>
      <c r="CV50" s="14">
        <f t="shared" si="41"/>
        <v>41.535229926099966</v>
      </c>
      <c r="CW50" s="22">
        <f t="shared" si="13"/>
        <v>356.36212045462412</v>
      </c>
      <c r="CX50" s="62">
        <f t="shared" si="14"/>
        <v>609.42335831881951</v>
      </c>
      <c r="CY50" s="62">
        <f ca="1">AVERAGE(OFFSET($CX$3,0,0,'Données projet'!$E$13+1,1))-AVERAGE(OFFSET($H$3,0,0,'Données projet'!$E$13+1,1))</f>
        <v>320.46614113586043</v>
      </c>
      <c r="CZ50" s="62">
        <f t="shared" si="42"/>
        <v>250.7806929924491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0</v>
      </c>
      <c r="DG50" s="23">
        <f>EXP(-LN(2)/25)*DG49+(1-EXP(-LN(2)/25))/(LN(2)/25)*Calculateur!DB50*Calculateur!DD50*VLOOKUP('Données projet'!$B$13,Paramètres!$A$1:$I$89,3,0)*0.475*44/12</f>
        <v>0</v>
      </c>
      <c r="DH50" s="23">
        <f>EXP(-LN(2)/2)*DH49+(1-EXP(-LN(2)/2))/(LN(2)/2)*DB50*DE50*VLOOKUP('Données projet'!$B$13,Paramètres!$A$1:$I$89,3,0)*0.475*44/12</f>
        <v>2.6182420633070344E-2</v>
      </c>
      <c r="DI50" s="24">
        <f t="shared" si="15"/>
        <v>2.6182420633070344E-2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20.399999999999999</v>
      </c>
      <c r="DO50" s="13">
        <f>IF('Données projet'!$A$166&gt;35,DO49+DN50-DW49,IF(A50&lt;'Données projet'!$A$166,$DL$205^A50,IF(A50='Données projet'!$A$166,'Données projet'!$B$166,DO49+DN50-DW49)))</f>
        <v>318.79999999999984</v>
      </c>
      <c r="DP50" s="18">
        <f>DO50*VLOOKUP('Données projet'!$B$14,Paramètres!$A$1:$I$89,3,0)*VLOOKUP('Données projet'!$B$14,Paramètres!$A$1:$I$89,5,0)</f>
        <v>149.19839999999994</v>
      </c>
      <c r="DQ50" s="14">
        <f t="shared" si="43"/>
        <v>38.396362373864498</v>
      </c>
      <c r="DR50" s="22">
        <f t="shared" si="16"/>
        <v>326.72754446781386</v>
      </c>
      <c r="DS50" s="62">
        <f t="shared" si="17"/>
        <v>579.7887823320093</v>
      </c>
      <c r="DT50" s="62">
        <f ca="1">AVERAGE(OFFSET($DS$3,0,0,'Données projet'!$E$14+1,1))-AVERAGE(OFFSET($H$3,0,0,'Données projet'!$E$14+1,1))</f>
        <v>429.87867712133851</v>
      </c>
      <c r="DU50" s="62">
        <f t="shared" si="44"/>
        <v>182.81277865988014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5.5128205128205137</v>
      </c>
      <c r="EJ50" s="13">
        <f>IF('Données projet'!$A$192&gt;35,EJ49+EI50-ER49,IF(A50&lt;'Données projet'!$A$192,$EG$205^A50,IF(A50='Données projet'!$A$192,'Données projet'!$B$192,EJ49+EI50-ER49)))</f>
        <v>164.23076923076925</v>
      </c>
      <c r="EK50" s="18">
        <f>EJ50*VLOOKUP('Données projet'!$B$15,Paramètres!$A$1:$I$89,3,0)*VLOOKUP('Données projet'!$B$15,Paramètres!$A$1:$I$89,5,0)</f>
        <v>110.16600000000003</v>
      </c>
      <c r="EL50" s="14">
        <f t="shared" si="45"/>
        <v>29.370092034164426</v>
      </c>
      <c r="EM50" s="22">
        <f t="shared" si="19"/>
        <v>243.02536029283638</v>
      </c>
      <c r="EN50" s="62">
        <f t="shared" si="20"/>
        <v>496.08659815703174</v>
      </c>
      <c r="EO50" s="62">
        <f ca="1">AVERAGE(OFFSET($EN$3,0,0,'Données projet'!$E$15+1,1))-AVERAGE(OFFSET($H$3,0,0,'Données projet'!$E$15+1,1))</f>
        <v>296.18088377871669</v>
      </c>
      <c r="EP50" s="62">
        <f t="shared" si="46"/>
        <v>252.23833925792056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5.5128205128205137</v>
      </c>
      <c r="FE50" s="13">
        <f>IF('Données projet'!$A$218&gt;35,FE49+FD50-FM49,IF(A50&lt;'Données projet'!$A$218,$FB$205^A50,IF(A50='Données projet'!$A$218,'Données projet'!$B$218,FE49+FD50-FM49)))</f>
        <v>164.23076923076925</v>
      </c>
      <c r="FF50" s="18">
        <f>FE50*VLOOKUP('Données projet'!$B$16,Paramètres!$A$1:$I$89,3,0)*VLOOKUP('Données projet'!$B$16,Paramètres!$A$1:$I$89,5,0)</f>
        <v>140.91000000000003</v>
      </c>
      <c r="FG50" s="14">
        <f t="shared" si="47"/>
        <v>36.505395042946844</v>
      </c>
      <c r="FH50" s="22">
        <f t="shared" si="22"/>
        <v>308.99847969979913</v>
      </c>
      <c r="FI50" s="62">
        <f t="shared" si="23"/>
        <v>562.05971756399458</v>
      </c>
      <c r="FJ50" s="62">
        <f ca="1">AVERAGE(OFFSET($FI$3,0,0,'Données projet'!$E$16+1,1))-AVERAGE(OFFSET($H$3,0,0,'Données projet'!$E$16+1,1))</f>
        <v>359.20464555327072</v>
      </c>
      <c r="FK50" s="62">
        <f t="shared" si="48"/>
        <v>305.54154052071863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8.1999999999999993</v>
      </c>
      <c r="N51" s="14">
        <f>IF('Données projet'!$A$36&gt;35,N50+M51-V50,IF(A51&lt;'Données projet'!$A$36,$K$205^A51,IF(A51='Données projet'!$A$36,'Données projet'!$B$36,N50+M51-V50)))</f>
        <v>182.60000000000002</v>
      </c>
      <c r="O51" s="14">
        <f>N51*VLOOKUP('Données projet'!$B$9,Paramètres!$A$1:$I$89,3,0)*VLOOKUP('Données projet'!$B$9,Paramètres!$A$1:$I$89,5,0)</f>
        <v>185.15640000000002</v>
      </c>
      <c r="P51" s="14">
        <f t="shared" si="33"/>
        <v>46.467497591770453</v>
      </c>
      <c r="Q51" s="22">
        <f t="shared" si="53"/>
        <v>403.4116216390002</v>
      </c>
      <c r="R51" s="62">
        <f t="shared" si="0"/>
        <v>657.17149032466796</v>
      </c>
      <c r="S51" s="62">
        <f ca="1">AVERAGE(OFFSET($R$3,0,0,'Données projet'!$E$9+1,1))-AVERAGE(OFFSET($H$3,0,0,'Données projet'!$E$9+1,1))</f>
        <v>516.30971934066179</v>
      </c>
      <c r="T51" s="62">
        <f t="shared" si="34"/>
        <v>290.84286505723571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182.60000000000002</v>
      </c>
      <c r="AJ51" s="14">
        <f>AI51*VLOOKUP('Données projet'!$B$10,Paramètres!$A$1:$I$89,3,0)*VLOOKUP('Données projet'!$B$10,Paramètres!$A$1:$I$89,5,0)</f>
        <v>196.55064000000002</v>
      </c>
      <c r="AK51" s="14">
        <f t="shared" si="35"/>
        <v>48.985336952319578</v>
      </c>
      <c r="AL51" s="22">
        <f t="shared" si="4"/>
        <v>427.6418265252899</v>
      </c>
      <c r="AM51" s="62">
        <f t="shared" si="5"/>
        <v>681.40169521095754</v>
      </c>
      <c r="AN51" s="62">
        <f ca="1">AVERAGE(OFFSET($AM$3,0,0,'Données projet'!$E$10+1,1))-AVERAGE(OFFSET($H$3,0,0,'Données projet'!$E$10+1,1))</f>
        <v>542.90832990875208</v>
      </c>
      <c r="AO51" s="62">
        <f t="shared" si="36"/>
        <v>304.94365539329362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182.60000000000002</v>
      </c>
      <c r="BE51" s="14">
        <f>BD51*VLOOKUP('Données projet'!$B$11,Paramètres!$A$1:$I$89,3,0)*VLOOKUP('Données projet'!$B$11,Paramètres!$A$1:$I$89,5,0)</f>
        <v>176.61072000000004</v>
      </c>
      <c r="BF51" s="14">
        <f t="shared" si="37"/>
        <v>44.56730162053563</v>
      </c>
      <c r="BG51" s="22">
        <f t="shared" si="7"/>
        <v>385.21838765576626</v>
      </c>
      <c r="BH51" s="62">
        <f t="shared" si="8"/>
        <v>638.97825634143396</v>
      </c>
      <c r="BI51" s="62">
        <f ca="1">AVERAGE(OFFSET($BH$3,0,0,'Données projet'!$E$11+1,1))-AVERAGE(OFFSET($H$3,0,0,'Données projet'!$E$11+1,1))</f>
        <v>496.33873798282525</v>
      </c>
      <c r="BJ51" s="62">
        <f t="shared" si="38"/>
        <v>280.25465074992246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5.580000000000001</v>
      </c>
      <c r="BY51" s="13">
        <f>IF('Données projet'!$A$114&gt;35,BY50+BX51-CG50,IF(A51&lt;'Données projet'!$A$114,$BV$205^A51,IF(A51='Données projet'!$A$114,'Données projet'!$B$114,BY50+BX51-CG50)))</f>
        <v>163.04000000000019</v>
      </c>
      <c r="BZ51" s="14">
        <f>BY51*VLOOKUP('Données projet'!$B$12,Paramètres!$A$1:$I$89,3,0)*VLOOKUP('Données projet'!$B$12,Paramètres!$A$1:$I$89,5,0)</f>
        <v>142.43174400000018</v>
      </c>
      <c r="CA51" s="14">
        <f t="shared" si="39"/>
        <v>36.853524348246673</v>
      </c>
      <c r="CB51" s="22">
        <f t="shared" si="10"/>
        <v>312.25517570652994</v>
      </c>
      <c r="CC51" s="62">
        <f t="shared" si="11"/>
        <v>566.01504439219764</v>
      </c>
      <c r="CD51" s="62">
        <f ca="1">AVERAGE(OFFSET($CC$3,0,0,'Données projet'!$E$12+1,1))-AVERAGE(OFFSET($H$3,0,0,'Données projet'!$E$12+1,1))</f>
        <v>298.28891728374822</v>
      </c>
      <c r="CE51" s="62">
        <f t="shared" si="40"/>
        <v>275.07405533331371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14.1</v>
      </c>
      <c r="CT51" s="13">
        <f>IF('Données projet'!$A$140&gt;35,CT50+CS51-DB50,IF(A51&lt;'Données projet'!$A$140,$CQ$205^A51,IF(A51='Données projet'!$A$140,'Données projet'!$B$140,CT50+CS51-DB50)))</f>
        <v>286.80000000000007</v>
      </c>
      <c r="CU51" s="18">
        <f>CT51*VLOOKUP('Données projet'!$B$13,Paramètres!$A$1:$I$89,3,0)*VLOOKUP('Données projet'!$B$13,Paramètres!$A$1:$I$89,5,0)</f>
        <v>171.50640000000004</v>
      </c>
      <c r="CV51" s="14">
        <f t="shared" si="41"/>
        <v>43.427233649451665</v>
      </c>
      <c r="CW51" s="22">
        <f t="shared" si="13"/>
        <v>374.34274527279507</v>
      </c>
      <c r="CX51" s="62">
        <f t="shared" si="14"/>
        <v>628.10261395846283</v>
      </c>
      <c r="CY51" s="62">
        <f ca="1">AVERAGE(OFFSET($CX$3,0,0,'Données projet'!$E$13+1,1))-AVERAGE(OFFSET($H$3,0,0,'Données projet'!$E$13+1,1))</f>
        <v>320.46614113586043</v>
      </c>
      <c r="CZ51" s="62">
        <f t="shared" si="42"/>
        <v>250.7806929924491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0</v>
      </c>
      <c r="DG51" s="23">
        <f>EXP(-LN(2)/25)*DG50+(1-EXP(-LN(2)/25))/(LN(2)/25)*Calculateur!DB51*Calculateur!DD51*VLOOKUP('Données projet'!$B$13,Paramètres!$A$1:$I$89,3,0)*0.475*44/12</f>
        <v>0</v>
      </c>
      <c r="DH51" s="23">
        <f>EXP(-LN(2)/2)*DH50+(1-EXP(-LN(2)/2))/(LN(2)/2)*DB51*DE51*VLOOKUP('Données projet'!$B$13,Paramètres!$A$1:$I$89,3,0)*0.475*44/12</f>
        <v>1.8513767177522619E-2</v>
      </c>
      <c r="DI51" s="24">
        <f t="shared" si="15"/>
        <v>1.8513767177522619E-2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20.399999999999999</v>
      </c>
      <c r="DO51" s="13">
        <f>IF('Données projet'!$A$166&gt;35,DO50+DN51-DW50,IF(A51&lt;'Données projet'!$A$166,$DL$205^A51,IF(A51='Données projet'!$A$166,'Données projet'!$B$166,DO50+DN51-DW50)))</f>
        <v>339.19999999999982</v>
      </c>
      <c r="DP51" s="18">
        <f>DO51*VLOOKUP('Données projet'!$B$14,Paramètres!$A$1:$I$89,3,0)*VLOOKUP('Données projet'!$B$14,Paramètres!$A$1:$I$89,5,0)</f>
        <v>158.74559999999991</v>
      </c>
      <c r="DQ51" s="14">
        <f t="shared" si="43"/>
        <v>40.559452507902058</v>
      </c>
      <c r="DR51" s="22">
        <f t="shared" si="16"/>
        <v>347.12296645126258</v>
      </c>
      <c r="DS51" s="62">
        <f t="shared" si="17"/>
        <v>600.88283513693023</v>
      </c>
      <c r="DT51" s="62">
        <f ca="1">AVERAGE(OFFSET($DS$3,0,0,'Données projet'!$E$14+1,1))-AVERAGE(OFFSET($H$3,0,0,'Données projet'!$E$14+1,1))</f>
        <v>429.87867712133851</v>
      </c>
      <c r="DU51" s="62">
        <f t="shared" si="44"/>
        <v>182.81277865988014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5.5128205128205137</v>
      </c>
      <c r="EJ51" s="13">
        <f>IF('Données projet'!$A$192&gt;35,EJ50+EI51-ER50,IF(A51&lt;'Données projet'!$A$192,$EG$205^A51,IF(A51='Données projet'!$A$192,'Données projet'!$B$192,EJ50+EI51-ER50)))</f>
        <v>169.74358974358978</v>
      </c>
      <c r="EK51" s="18">
        <f>EJ51*VLOOKUP('Données projet'!$B$15,Paramètres!$A$1:$I$89,3,0)*VLOOKUP('Données projet'!$B$15,Paramètres!$A$1:$I$89,5,0)</f>
        <v>113.86400000000003</v>
      </c>
      <c r="EL51" s="14">
        <f t="shared" si="45"/>
        <v>30.239535792902171</v>
      </c>
      <c r="EM51" s="22">
        <f t="shared" si="19"/>
        <v>250.98032483930464</v>
      </c>
      <c r="EN51" s="62">
        <f t="shared" si="20"/>
        <v>504.74019352497237</v>
      </c>
      <c r="EO51" s="62">
        <f ca="1">AVERAGE(OFFSET($EN$3,0,0,'Données projet'!$E$15+1,1))-AVERAGE(OFFSET($H$3,0,0,'Données projet'!$E$15+1,1))</f>
        <v>296.18088377871669</v>
      </c>
      <c r="EP51" s="62">
        <f t="shared" si="46"/>
        <v>252.23833925792056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5.5128205128205137</v>
      </c>
      <c r="FE51" s="13">
        <f>IF('Données projet'!$A$218&gt;35,FE50+FD51-FM50,IF(A51&lt;'Données projet'!$A$218,$FB$205^A51,IF(A51='Données projet'!$A$218,'Données projet'!$B$218,FE50+FD51-FM50)))</f>
        <v>169.74358974358978</v>
      </c>
      <c r="FF51" s="18">
        <f>FE51*VLOOKUP('Données projet'!$B$16,Paramètres!$A$1:$I$89,3,0)*VLOOKUP('Données projet'!$B$16,Paramètres!$A$1:$I$89,5,0)</f>
        <v>145.64000000000007</v>
      </c>
      <c r="FG51" s="14">
        <f t="shared" si="47"/>
        <v>37.586065401195171</v>
      </c>
      <c r="FH51" s="22">
        <f t="shared" si="22"/>
        <v>319.11873057374834</v>
      </c>
      <c r="FI51" s="62">
        <f t="shared" si="23"/>
        <v>572.87859925941598</v>
      </c>
      <c r="FJ51" s="62">
        <f ca="1">AVERAGE(OFFSET($FI$3,0,0,'Données projet'!$E$16+1,1))-AVERAGE(OFFSET($H$3,0,0,'Données projet'!$E$16+1,1))</f>
        <v>359.20464555327072</v>
      </c>
      <c r="FK51" s="62">
        <f t="shared" si="48"/>
        <v>305.54154052071863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8.1999999999999993</v>
      </c>
      <c r="N52" s="14">
        <f>IF('Données projet'!$A$36&gt;35,N51+M52-V51,IF(A52&lt;'Données projet'!$A$36,$K$205^A52,IF(A52='Données projet'!$A$36,'Données projet'!$B$36,N51+M52-V51)))</f>
        <v>190.8</v>
      </c>
      <c r="O52" s="14">
        <f>N52*VLOOKUP('Données projet'!$B$9,Paramètres!$A$1:$I$89,3,0)*VLOOKUP('Données projet'!$B$9,Paramètres!$A$1:$I$89,5,0)</f>
        <v>193.47120000000001</v>
      </c>
      <c r="P52" s="14">
        <f t="shared" si="33"/>
        <v>48.306575382296536</v>
      </c>
      <c r="Q52" s="22">
        <f t="shared" si="53"/>
        <v>421.09629212416644</v>
      </c>
      <c r="R52" s="62">
        <f t="shared" si="0"/>
        <v>675.54267194845841</v>
      </c>
      <c r="S52" s="62">
        <f ca="1">AVERAGE(OFFSET($R$3,0,0,'Données projet'!$E$9+1,1))-AVERAGE(OFFSET($H$3,0,0,'Données projet'!$E$9+1,1))</f>
        <v>516.30971934066179</v>
      </c>
      <c r="T52" s="62">
        <f t="shared" si="34"/>
        <v>290.84286505723571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190.8</v>
      </c>
      <c r="AJ52" s="14">
        <f>AI52*VLOOKUP('Données projet'!$B$10,Paramètres!$A$1:$I$89,3,0)*VLOOKUP('Données projet'!$B$10,Paramètres!$A$1:$I$89,5,0)</f>
        <v>205.37711999999999</v>
      </c>
      <c r="AK52" s="14">
        <f t="shared" si="35"/>
        <v>50.924065093909938</v>
      </c>
      <c r="AL52" s="22">
        <f t="shared" si="4"/>
        <v>446.39123070522641</v>
      </c>
      <c r="AM52" s="62">
        <f t="shared" si="5"/>
        <v>700.83761052951832</v>
      </c>
      <c r="AN52" s="62">
        <f ca="1">AVERAGE(OFFSET($AM$3,0,0,'Données projet'!$E$10+1,1))-AVERAGE(OFFSET($H$3,0,0,'Données projet'!$E$10+1,1))</f>
        <v>542.90832990875208</v>
      </c>
      <c r="AO52" s="62">
        <f t="shared" si="36"/>
        <v>304.94365539329362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190.8</v>
      </c>
      <c r="BE52" s="14">
        <f>BD52*VLOOKUP('Données projet'!$B$11,Paramètres!$A$1:$I$89,3,0)*VLOOKUP('Données projet'!$B$11,Paramètres!$A$1:$I$89,5,0)</f>
        <v>184.54176000000001</v>
      </c>
      <c r="BF52" s="14">
        <f t="shared" si="37"/>
        <v>46.33117397953523</v>
      </c>
      <c r="BG52" s="22">
        <f t="shared" si="7"/>
        <v>402.10369334769052</v>
      </c>
      <c r="BH52" s="62">
        <f t="shared" si="8"/>
        <v>656.55007317198249</v>
      </c>
      <c r="BI52" s="62">
        <f ca="1">AVERAGE(OFFSET($BH$3,0,0,'Données projet'!$E$11+1,1))-AVERAGE(OFFSET($H$3,0,0,'Données projet'!$E$11+1,1))</f>
        <v>496.33873798282525</v>
      </c>
      <c r="BJ52" s="62">
        <f t="shared" si="38"/>
        <v>280.25465074992246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5.580000000000001</v>
      </c>
      <c r="BY52" s="13">
        <f>IF('Données projet'!$A$114&gt;35,BY51+BX52-CG51,IF(A52&lt;'Données projet'!$A$114,$BV$205^A52,IF(A52='Données projet'!$A$114,'Données projet'!$B$114,BY51+BX52-CG51)))</f>
        <v>168.6200000000002</v>
      </c>
      <c r="BZ52" s="14">
        <f>BY52*VLOOKUP('Données projet'!$B$12,Paramètres!$A$1:$I$89,3,0)*VLOOKUP('Données projet'!$B$12,Paramètres!$A$1:$I$89,5,0)</f>
        <v>147.3064320000002</v>
      </c>
      <c r="CA52" s="14">
        <f t="shared" si="39"/>
        <v>37.965818578874774</v>
      </c>
      <c r="CB52" s="22">
        <f t="shared" si="10"/>
        <v>322.68250309154058</v>
      </c>
      <c r="CC52" s="62">
        <f t="shared" si="11"/>
        <v>577.12888291583249</v>
      </c>
      <c r="CD52" s="62">
        <f ca="1">AVERAGE(OFFSET($CC$3,0,0,'Données projet'!$E$12+1,1))-AVERAGE(OFFSET($H$3,0,0,'Données projet'!$E$12+1,1))</f>
        <v>298.28891728374822</v>
      </c>
      <c r="CE52" s="62">
        <f t="shared" si="40"/>
        <v>275.07405533331371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14.1</v>
      </c>
      <c r="CT52" s="13">
        <f>IF('Données projet'!$A$140&gt;35,CT51+CS52-DB51,IF(A52&lt;'Données projet'!$A$140,$CQ$205^A52,IF(A52='Données projet'!$A$140,'Données projet'!$B$140,CT51+CS52-DB51)))</f>
        <v>300.90000000000009</v>
      </c>
      <c r="CU52" s="18">
        <f>CT52*VLOOKUP('Données projet'!$B$13,Paramètres!$A$1:$I$89,3,0)*VLOOKUP('Données projet'!$B$13,Paramètres!$A$1:$I$89,5,0)</f>
        <v>179.93820000000005</v>
      </c>
      <c r="CV52" s="14">
        <f t="shared" si="41"/>
        <v>45.308436530386629</v>
      </c>
      <c r="CW52" s="22">
        <f t="shared" si="13"/>
        <v>392.30455862375675</v>
      </c>
      <c r="CX52" s="62">
        <f t="shared" si="14"/>
        <v>646.75093844804871</v>
      </c>
      <c r="CY52" s="62">
        <f ca="1">AVERAGE(OFFSET($CX$3,0,0,'Données projet'!$E$13+1,1))-AVERAGE(OFFSET($H$3,0,0,'Données projet'!$E$13+1,1))</f>
        <v>320.46614113586043</v>
      </c>
      <c r="CZ52" s="62">
        <f t="shared" si="42"/>
        <v>250.7806929924491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0</v>
      </c>
      <c r="DG52" s="23">
        <f>EXP(-LN(2)/25)*DG51+(1-EXP(-LN(2)/25))/(LN(2)/25)*Calculateur!DB52*Calculateur!DD52*VLOOKUP('Données projet'!$B$13,Paramètres!$A$1:$I$89,3,0)*0.475*44/12</f>
        <v>0</v>
      </c>
      <c r="DH52" s="23">
        <f>EXP(-LN(2)/2)*DH51+(1-EXP(-LN(2)/2))/(LN(2)/2)*DB52*DE52*VLOOKUP('Données projet'!$B$13,Paramètres!$A$1:$I$89,3,0)*0.475*44/12</f>
        <v>1.3091210316535172E-2</v>
      </c>
      <c r="DI52" s="24">
        <f t="shared" si="15"/>
        <v>1.3091210316535172E-2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20.399999999999999</v>
      </c>
      <c r="DO52" s="13">
        <f>IF('Données projet'!$A$166&gt;35,DO51+DN52-DW51,IF(A52&lt;'Données projet'!$A$166,$DL$205^A52,IF(A52='Données projet'!$A$166,'Données projet'!$B$166,DO51+DN52-DW51)))</f>
        <v>359.5999999999998</v>
      </c>
      <c r="DP52" s="18">
        <f>DO52*VLOOKUP('Données projet'!$B$14,Paramètres!$A$1:$I$89,3,0)*VLOOKUP('Données projet'!$B$14,Paramètres!$A$1:$I$89,5,0)</f>
        <v>168.29279999999991</v>
      </c>
      <c r="DQ52" s="14">
        <f t="shared" si="43"/>
        <v>42.707443263135069</v>
      </c>
      <c r="DR52" s="22">
        <f t="shared" si="16"/>
        <v>367.49209034996011</v>
      </c>
      <c r="DS52" s="62">
        <f t="shared" si="17"/>
        <v>621.93847017425207</v>
      </c>
      <c r="DT52" s="62">
        <f ca="1">AVERAGE(OFFSET($DS$3,0,0,'Données projet'!$E$14+1,1))-AVERAGE(OFFSET($H$3,0,0,'Données projet'!$E$14+1,1))</f>
        <v>429.87867712133851</v>
      </c>
      <c r="DU52" s="62">
        <f t="shared" si="44"/>
        <v>182.81277865988014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5.5128205128205137</v>
      </c>
      <c r="EJ52" s="13">
        <f>IF('Données projet'!$A$192&gt;35,EJ51+EI52-ER51,IF(A52&lt;'Données projet'!$A$192,$EG$205^A52,IF(A52='Données projet'!$A$192,'Données projet'!$B$192,EJ51+EI52-ER51)))</f>
        <v>175.25641025641031</v>
      </c>
      <c r="EK52" s="18">
        <f>EJ52*VLOOKUP('Données projet'!$B$15,Paramètres!$A$1:$I$89,3,0)*VLOOKUP('Données projet'!$B$15,Paramètres!$A$1:$I$89,5,0)</f>
        <v>117.56200000000003</v>
      </c>
      <c r="EL52" s="14">
        <f t="shared" si="45"/>
        <v>31.10569833447618</v>
      </c>
      <c r="EM52" s="22">
        <f t="shared" si="19"/>
        <v>258.92957459921269</v>
      </c>
      <c r="EN52" s="62">
        <f t="shared" si="20"/>
        <v>513.37595442350471</v>
      </c>
      <c r="EO52" s="62">
        <f ca="1">AVERAGE(OFFSET($EN$3,0,0,'Données projet'!$E$15+1,1))-AVERAGE(OFFSET($H$3,0,0,'Données projet'!$E$15+1,1))</f>
        <v>296.18088377871669</v>
      </c>
      <c r="EP52" s="62">
        <f t="shared" si="46"/>
        <v>252.23833925792056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5.5128205128205137</v>
      </c>
      <c r="FE52" s="13">
        <f>IF('Données projet'!$A$218&gt;35,FE51+FD52-FM51,IF(A52&lt;'Données projet'!$A$218,$FB$205^A52,IF(A52='Données projet'!$A$218,'Données projet'!$B$218,FE51+FD52-FM51)))</f>
        <v>175.25641025641031</v>
      </c>
      <c r="FF52" s="18">
        <f>FE52*VLOOKUP('Données projet'!$B$16,Paramètres!$A$1:$I$89,3,0)*VLOOKUP('Données projet'!$B$16,Paramètres!$A$1:$I$89,5,0)</f>
        <v>150.37000000000006</v>
      </c>
      <c r="FG52" s="14">
        <f t="shared" si="47"/>
        <v>38.662657388539984</v>
      </c>
      <c r="FH52" s="22">
        <f t="shared" si="22"/>
        <v>329.23187828504052</v>
      </c>
      <c r="FI52" s="62">
        <f t="shared" si="23"/>
        <v>583.67825810933255</v>
      </c>
      <c r="FJ52" s="62">
        <f ca="1">AVERAGE(OFFSET($FI$3,0,0,'Données projet'!$E$16+1,1))-AVERAGE(OFFSET($H$3,0,0,'Données projet'!$E$16+1,1))</f>
        <v>359.20464555327072</v>
      </c>
      <c r="FK52" s="62">
        <f t="shared" si="48"/>
        <v>305.54154052071863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199</v>
      </c>
      <c r="L53" s="13">
        <f>VLOOKUP(A53,'Données projet'!$A$35:$I$55,9,0)</f>
        <v>8.1999999999999993</v>
      </c>
      <c r="M53" s="13">
        <f t="array" ref="M53">INDEX(L:L,MIN(IF(ISNUMBER(L53:L249),ROW(L53:L249),"")))</f>
        <v>8.1999999999999993</v>
      </c>
      <c r="N53" s="14">
        <f>IF('Données projet'!$A$36&gt;35,N52+M53-V52,IF(A53&lt;'Données projet'!$A$36,$K$205^A53,IF(A53='Données projet'!$A$36,'Données projet'!$B$36,N52+M53-V52)))</f>
        <v>199</v>
      </c>
      <c r="O53" s="14">
        <f>N53*VLOOKUP('Données projet'!$B$9,Paramètres!$A$1:$I$89,3,0)*VLOOKUP('Données projet'!$B$9,Paramètres!$A$1:$I$89,5,0)</f>
        <v>201.786</v>
      </c>
      <c r="P53" s="14">
        <f t="shared" si="33"/>
        <v>50.136473146268756</v>
      </c>
      <c r="Q53" s="22">
        <f t="shared" si="53"/>
        <v>438.76497406308476</v>
      </c>
      <c r="R53" s="62">
        <f t="shared" si="0"/>
        <v>693.88595559255486</v>
      </c>
      <c r="S53" s="62">
        <f ca="1">AVERAGE(OFFSET($R$3,0,0,'Données projet'!$E$9+1,1))-AVERAGE(OFFSET($H$3,0,0,'Données projet'!$E$9+1,1))</f>
        <v>516.30971934066179</v>
      </c>
      <c r="T53" s="62">
        <f t="shared" si="34"/>
        <v>290.84286505723571</v>
      </c>
      <c r="U53" s="16">
        <f>IF(ISNA(VLOOKUP(A53,'Données projet'!$A$35:$I$55,3,0)),0,VLOOKUP(A53,'Données projet'!$A$35:$I$55,3,0))</f>
        <v>3</v>
      </c>
      <c r="V53" s="16">
        <f>IF(ISNA(VLOOKUP(A53,'Données projet'!$A$35:$I$55,4,0)),0,VLOOKUP(A53,'Données projet'!$A$35:$I$55,4,0))</f>
        <v>42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199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199</v>
      </c>
      <c r="AJ53" s="14">
        <f>AI53*VLOOKUP('Données projet'!$B$10,Paramètres!$A$1:$I$89,3,0)*VLOOKUP('Données projet'!$B$10,Paramètres!$A$1:$I$89,5,0)</f>
        <v>214.20360000000002</v>
      </c>
      <c r="AK53" s="14">
        <f t="shared" si="35"/>
        <v>52.853115789602029</v>
      </c>
      <c r="AL53" s="22">
        <f t="shared" si="4"/>
        <v>465.12378000022358</v>
      </c>
      <c r="AM53" s="62">
        <f t="shared" si="5"/>
        <v>720.24476152969373</v>
      </c>
      <c r="AN53" s="62">
        <f ca="1">AVERAGE(OFFSET($AM$3,0,0,'Données projet'!$E$10+1,1))-AVERAGE(OFFSET($H$3,0,0,'Données projet'!$E$10+1,1))</f>
        <v>542.90832990875208</v>
      </c>
      <c r="AO53" s="62">
        <f t="shared" si="36"/>
        <v>304.94365539329362</v>
      </c>
      <c r="AP53" s="16">
        <f>IF(ISNA(VLOOKUP(A53,'Données projet'!$A$61:$I$81,3,0)),0,VLOOKUP(A53,'Données projet'!$A$61:$I$81,3,0))</f>
        <v>3</v>
      </c>
      <c r="AQ53" s="16">
        <f>IF(ISNA(VLOOKUP(A53,'Données projet'!$A$61:$I$81,4,0)),0,VLOOKUP(A53,'Données projet'!$A$61:$I$81,4,0))</f>
        <v>42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199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199</v>
      </c>
      <c r="BE53" s="14">
        <f>BD53*VLOOKUP('Données projet'!$B$11,Paramètres!$A$1:$I$89,3,0)*VLOOKUP('Données projet'!$B$11,Paramètres!$A$1:$I$89,5,0)</f>
        <v>192.47280000000001</v>
      </c>
      <c r="BF53" s="14">
        <f t="shared" si="37"/>
        <v>48.086241710923829</v>
      </c>
      <c r="BG53" s="22">
        <f t="shared" si="7"/>
        <v>418.97366431319239</v>
      </c>
      <c r="BH53" s="62">
        <f t="shared" si="8"/>
        <v>674.09464584266243</v>
      </c>
      <c r="BI53" s="62">
        <f ca="1">AVERAGE(OFFSET($BH$3,0,0,'Données projet'!$E$11+1,1))-AVERAGE(OFFSET($H$3,0,0,'Données projet'!$E$11+1,1))</f>
        <v>496.33873798282525</v>
      </c>
      <c r="BJ53" s="62">
        <f t="shared" si="38"/>
        <v>280.25465074992246</v>
      </c>
      <c r="BK53" s="16">
        <f>IF(ISNA(VLOOKUP(A53,'Données projet'!$A$87:$I$107,3,0)),0,VLOOKUP(A53,'Données projet'!$A$87:$I$107,3,0))</f>
        <v>3</v>
      </c>
      <c r="BL53" s="16">
        <f>IF(ISNA(VLOOKUP(A53,'Données projet'!$A$87:$I$107,4,0)),0,VLOOKUP(A53,'Données projet'!$A$87:$I$107,4,0))</f>
        <v>42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174.20000000000002</v>
      </c>
      <c r="BW53" s="13">
        <f>VLOOKUP(A53,'Données projet'!$A$113:$I$133,9,0)</f>
        <v>5.580000000000001</v>
      </c>
      <c r="BX53" s="13">
        <f t="array" ref="BX53">INDEX(BW:BW,MIN(IF(ISNUMBER(BW53:BW249),ROW(BW53:BW249),"")))</f>
        <v>5.580000000000001</v>
      </c>
      <c r="BY53" s="13">
        <f>IF('Données projet'!$A$114&gt;35,BY52+BX53-CG52,IF(A53&lt;'Données projet'!$A$114,$BV$205^A53,IF(A53='Données projet'!$A$114,'Données projet'!$B$114,BY52+BX53-CG52)))</f>
        <v>174.20000000000022</v>
      </c>
      <c r="BZ53" s="14">
        <f>BY53*VLOOKUP('Données projet'!$B$12,Paramètres!$A$1:$I$89,3,0)*VLOOKUP('Données projet'!$B$12,Paramètres!$A$1:$I$89,5,0)</f>
        <v>152.18112000000022</v>
      </c>
      <c r="CA53" s="14">
        <f t="shared" si="39"/>
        <v>39.073835749338805</v>
      </c>
      <c r="CB53" s="22">
        <f t="shared" si="10"/>
        <v>333.10238126343216</v>
      </c>
      <c r="CC53" s="62">
        <f t="shared" si="11"/>
        <v>588.22336279290221</v>
      </c>
      <c r="CD53" s="62">
        <f ca="1">AVERAGE(OFFSET($CC$3,0,0,'Données projet'!$E$12+1,1))-AVERAGE(OFFSET($H$3,0,0,'Données projet'!$E$12+1,1))</f>
        <v>298.28891728374822</v>
      </c>
      <c r="CE53" s="62">
        <f t="shared" si="40"/>
        <v>275.07405533331371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>
        <f>VLOOKUP(A53,'Données projet'!$A$139:$I$159,2,0)</f>
        <v>315</v>
      </c>
      <c r="CR53" s="13">
        <f>VLOOKUP(A53,'Données projet'!$A$139:$I$159,9,0)</f>
        <v>14.1</v>
      </c>
      <c r="CS53" s="13">
        <f t="array" ref="CS53">INDEX(CR:CR,MIN(IF(ISNUMBER(CR53:CR249),ROW(CR53:CR249),"")))</f>
        <v>14.1</v>
      </c>
      <c r="CT53" s="13">
        <f>IF('Données projet'!$A$140&gt;35,CT52+CS53-DB52,IF(A53&lt;'Données projet'!$A$140,$CQ$205^A53,IF(A53='Données projet'!$A$140,'Données projet'!$B$140,CT52+CS53-DB52)))</f>
        <v>315.00000000000011</v>
      </c>
      <c r="CU53" s="18">
        <f>CT53*VLOOKUP('Données projet'!$B$13,Paramètres!$A$1:$I$89,3,0)*VLOOKUP('Données projet'!$B$13,Paramètres!$A$1:$I$89,5,0)</f>
        <v>188.37000000000009</v>
      </c>
      <c r="CV53" s="14">
        <f t="shared" si="41"/>
        <v>47.179402486491341</v>
      </c>
      <c r="CW53" s="22">
        <f t="shared" si="13"/>
        <v>410.24854266397256</v>
      </c>
      <c r="CX53" s="62">
        <f t="shared" si="14"/>
        <v>665.36952419344266</v>
      </c>
      <c r="CY53" s="62">
        <f ca="1">AVERAGE(OFFSET($CX$3,0,0,'Données projet'!$E$13+1,1))-AVERAGE(OFFSET($H$3,0,0,'Données projet'!$E$13+1,1))</f>
        <v>320.46614113586043</v>
      </c>
      <c r="CZ53" s="62">
        <f t="shared" si="42"/>
        <v>250.7806929924491</v>
      </c>
      <c r="DA53" s="16">
        <f>IF(ISNA(VLOOKUP(A53,'Données projet'!$A$139:$I$159,3,0)),0,VLOOKUP(A53,'Données projet'!$A$139:$I$159,3,0))</f>
        <v>4</v>
      </c>
      <c r="DB53" s="16">
        <f>IF(ISNA(VLOOKUP(A53,'Données projet'!$A$139:$I$159,4,0)),0,VLOOKUP(A53,'Données projet'!$A$139:$I$159,4,0))</f>
        <v>79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0</v>
      </c>
      <c r="DG53" s="23">
        <f>EXP(-LN(2)/25)*DG52+(1-EXP(-LN(2)/25))/(LN(2)/25)*Calculateur!DB53*Calculateur!DD53*VLOOKUP('Données projet'!$B$13,Paramètres!$A$1:$I$89,3,0)*0.475*44/12</f>
        <v>0</v>
      </c>
      <c r="DH53" s="23">
        <f>EXP(-LN(2)/2)*DH52+(1-EXP(-LN(2)/2))/(LN(2)/2)*DB53*DE53*VLOOKUP('Données projet'!$B$13,Paramètres!$A$1:$I$89,3,0)*0.475*44/12</f>
        <v>9.2568835887613093E-3</v>
      </c>
      <c r="DI53" s="24">
        <f t="shared" si="15"/>
        <v>9.2568835887613093E-3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380</v>
      </c>
      <c r="DM53" s="13">
        <f>VLOOKUP(A53,'Données projet'!$A$165:$I$185,9,0)</f>
        <v>20.399999999999999</v>
      </c>
      <c r="DN53" s="13">
        <f t="array" ref="DN53">INDEX(DM:DM,MIN(IF(ISNUMBER(DM53:DM249),ROW(DM53:DM249),"")))</f>
        <v>20.399999999999999</v>
      </c>
      <c r="DO53" s="13">
        <f>IF('Données projet'!$A$166&gt;35,DO52+DN53-DW52,IF(A53&lt;'Données projet'!$A$166,$DL$205^A53,IF(A53='Données projet'!$A$166,'Données projet'!$B$166,DO52+DN53-DW52)))</f>
        <v>379.99999999999977</v>
      </c>
      <c r="DP53" s="18">
        <f>DO53*VLOOKUP('Données projet'!$B$14,Paramètres!$A$1:$I$89,3,0)*VLOOKUP('Données projet'!$B$14,Paramètres!$A$1:$I$89,5,0)</f>
        <v>177.83999999999992</v>
      </c>
      <c r="DQ53" s="14">
        <f t="shared" si="43"/>
        <v>44.841288830609102</v>
      </c>
      <c r="DR53" s="22">
        <f t="shared" si="16"/>
        <v>387.83657804664404</v>
      </c>
      <c r="DS53" s="62">
        <f t="shared" si="17"/>
        <v>642.95755957611414</v>
      </c>
      <c r="DT53" s="62">
        <f ca="1">AVERAGE(OFFSET($DS$3,0,0,'Données projet'!$E$14+1,1))-AVERAGE(OFFSET($H$3,0,0,'Données projet'!$E$14+1,1))</f>
        <v>429.87867712133851</v>
      </c>
      <c r="DU53" s="62">
        <f t="shared" si="44"/>
        <v>182.81277865988014</v>
      </c>
      <c r="DV53" s="16">
        <f>IF(ISNA(VLOOKUP(A53,'Données projet'!$A$165:$I$185,3,0)),0,VLOOKUP(A53,'Données projet'!$A$165:$I$185,3,0))</f>
        <v>2</v>
      </c>
      <c r="DW53" s="16">
        <f>IF(ISNA(VLOOKUP(A53,'Données projet'!$A$165:$I$185,4,0)),0,VLOOKUP(A53,'Données projet'!$A$165:$I$185,4,0))</f>
        <v>91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180.76923076923077</v>
      </c>
      <c r="EH53" s="13">
        <f>VLOOKUP(A53,'Données projet'!$A$191:$I$211,9,0)</f>
        <v>5.5128205128205137</v>
      </c>
      <c r="EI53" s="13">
        <f t="array" ref="EI53">INDEX(EH:EH,MIN(IF(ISNUMBER(EH53:EH249),ROW(EH53:EH249),"")))</f>
        <v>5.5128205128205137</v>
      </c>
      <c r="EJ53" s="13">
        <f>IF('Données projet'!$A$192&gt;35,EJ52+EI53-ER52,IF(A53&lt;'Données projet'!$A$192,$EG$205^A53,IF(A53='Données projet'!$A$192,'Données projet'!$B$192,EJ52+EI53-ER52)))</f>
        <v>180.76923076923083</v>
      </c>
      <c r="EK53" s="18">
        <f>EJ53*VLOOKUP('Données projet'!$B$15,Paramètres!$A$1:$I$89,3,0)*VLOOKUP('Données projet'!$B$15,Paramètres!$A$1:$I$89,5,0)</f>
        <v>121.26000000000005</v>
      </c>
      <c r="EL53" s="14">
        <f t="shared" si="45"/>
        <v>31.968694713827716</v>
      </c>
      <c r="EM53" s="22">
        <f t="shared" si="19"/>
        <v>266.8733099599167</v>
      </c>
      <c r="EN53" s="62">
        <f t="shared" si="20"/>
        <v>521.9942914893868</v>
      </c>
      <c r="EO53" s="62">
        <f ca="1">AVERAGE(OFFSET($EN$3,0,0,'Données projet'!$E$15+1,1))-AVERAGE(OFFSET($H$3,0,0,'Données projet'!$E$15+1,1))</f>
        <v>296.18088377871669</v>
      </c>
      <c r="EP53" s="62">
        <f t="shared" si="46"/>
        <v>252.23833925792056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28.205128205128204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>
        <f>VLOOKUP(A53,'Données projet'!$A$217:$I$237,2,0)</f>
        <v>180.76923076923077</v>
      </c>
      <c r="FC53" s="13">
        <f>VLOOKUP(A53,'Données projet'!$A$217:$I$237,9,0)</f>
        <v>5.5128205128205137</v>
      </c>
      <c r="FD53" s="13">
        <f t="array" ref="FD53">INDEX(FC:FC,MIN(IF(ISNUMBER(FC53:FC249),ROW(FC53:FC249),"")))</f>
        <v>5.5128205128205137</v>
      </c>
      <c r="FE53" s="13">
        <f>IF('Données projet'!$A$218&gt;35,FE52+FD53-FM52,IF(A53&lt;'Données projet'!$A$218,$FB$205^A53,IF(A53='Données projet'!$A$218,'Données projet'!$B$218,FE52+FD53-FM52)))</f>
        <v>180.76923076923083</v>
      </c>
      <c r="FF53" s="18">
        <f>FE53*VLOOKUP('Données projet'!$B$16,Paramètres!$A$1:$I$89,3,0)*VLOOKUP('Données projet'!$B$16,Paramètres!$A$1:$I$89,5,0)</f>
        <v>155.10000000000008</v>
      </c>
      <c r="FG53" s="14">
        <f t="shared" si="47"/>
        <v>39.735314011890537</v>
      </c>
      <c r="FH53" s="22">
        <f t="shared" si="22"/>
        <v>339.33817190404278</v>
      </c>
      <c r="FI53" s="62">
        <f t="shared" si="23"/>
        <v>594.45915343351294</v>
      </c>
      <c r="FJ53" s="62">
        <f ca="1">AVERAGE(OFFSET($FI$3,0,0,'Données projet'!$E$16+1,1))-AVERAGE(OFFSET($H$3,0,0,'Données projet'!$E$16+1,1))</f>
        <v>359.20464555327072</v>
      </c>
      <c r="FK53" s="62">
        <f t="shared" si="48"/>
        <v>305.54154052071863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28.205128205128204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8</v>
      </c>
      <c r="N54" s="14">
        <f>IF('Données projet'!$A$36&gt;35,N53+M54-V53,IF(A54&lt;'Données projet'!$A$36,$K$205^A54,IF(A54='Données projet'!$A$36,'Données projet'!$B$36,N53+M54-V53)))</f>
        <v>165</v>
      </c>
      <c r="O54" s="14">
        <f>N54*VLOOKUP('Données projet'!$B$9,Paramètres!$A$1:$I$89,3,0)*VLOOKUP('Données projet'!$B$9,Paramètres!$A$1:$I$89,5,0)</f>
        <v>167.31</v>
      </c>
      <c r="P54" s="14">
        <f t="shared" si="33"/>
        <v>42.486994942347515</v>
      </c>
      <c r="Q54" s="22">
        <f t="shared" si="53"/>
        <v>365.39643285792187</v>
      </c>
      <c r="R54" s="62">
        <f t="shared" si="0"/>
        <v>621.18031326116875</v>
      </c>
      <c r="S54" s="62">
        <f ca="1">AVERAGE(OFFSET($R$3,0,0,'Données projet'!$E$9+1,1))-AVERAGE(OFFSET($H$3,0,0,'Données projet'!$E$9+1,1))</f>
        <v>516.30971934066179</v>
      </c>
      <c r="T54" s="62">
        <f t="shared" si="34"/>
        <v>290.84286505723571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177.60599999999999</v>
      </c>
      <c r="AK54" s="14">
        <f t="shared" si="35"/>
        <v>44.789150937858665</v>
      </c>
      <c r="AL54" s="22">
        <f t="shared" si="4"/>
        <v>387.33822121677048</v>
      </c>
      <c r="AM54" s="62">
        <f t="shared" si="5"/>
        <v>643.12210162001725</v>
      </c>
      <c r="AN54" s="62">
        <f ca="1">AVERAGE(OFFSET($AM$3,0,0,'Données projet'!$E$10+1,1))-AVERAGE(OFFSET($H$3,0,0,'Données projet'!$E$10+1,1))</f>
        <v>542.90832990875208</v>
      </c>
      <c r="AO54" s="62">
        <f t="shared" si="36"/>
        <v>304.94365539329362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159.58799999999999</v>
      </c>
      <c r="BF54" s="14">
        <f t="shared" si="37"/>
        <v>40.74957371668588</v>
      </c>
      <c r="BG54" s="22">
        <f t="shared" si="7"/>
        <v>348.92127422322784</v>
      </c>
      <c r="BH54" s="62">
        <f t="shared" si="8"/>
        <v>604.70515462647472</v>
      </c>
      <c r="BI54" s="62">
        <f ca="1">AVERAGE(OFFSET($BH$3,0,0,'Données projet'!$E$11+1,1))-AVERAGE(OFFSET($H$3,0,0,'Données projet'!$E$11+1,1))</f>
        <v>496.33873798282525</v>
      </c>
      <c r="BJ54" s="62">
        <f t="shared" si="38"/>
        <v>280.25465074992246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4.7599999999999962</v>
      </c>
      <c r="BY54" s="13">
        <f>IF('Données projet'!$A$114&gt;35,BY53+BX54-CG53,IF(A54&lt;'Données projet'!$A$114,$BV$205^A54,IF(A54='Données projet'!$A$114,'Données projet'!$B$114,BY53+BX54-CG53)))</f>
        <v>178.96000000000021</v>
      </c>
      <c r="BZ54" s="14">
        <f>BY54*VLOOKUP('Données projet'!$B$12,Paramètres!$A$1:$I$89,3,0)*VLOOKUP('Données projet'!$B$12,Paramètres!$A$1:$I$89,5,0)</f>
        <v>156.33945600000021</v>
      </c>
      <c r="CA54" s="14">
        <f t="shared" si="39"/>
        <v>40.015760648523482</v>
      </c>
      <c r="CB54" s="22">
        <f t="shared" si="10"/>
        <v>341.98533566284544</v>
      </c>
      <c r="CC54" s="62">
        <f t="shared" si="11"/>
        <v>597.76921606609221</v>
      </c>
      <c r="CD54" s="62">
        <f ca="1">AVERAGE(OFFSET($CC$3,0,0,'Données projet'!$E$12+1,1))-AVERAGE(OFFSET($H$3,0,0,'Données projet'!$E$12+1,1))</f>
        <v>298.28891728374822</v>
      </c>
      <c r="CE54" s="62">
        <f t="shared" si="40"/>
        <v>275.07405533331371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15.7</v>
      </c>
      <c r="CT54" s="13">
        <f>IF('Données projet'!$A$140&gt;35,CT53+CS54-DB53,IF(A54&lt;'Données projet'!$A$140,$CQ$205^A54,IF(A54='Données projet'!$A$140,'Données projet'!$B$140,CT53+CS54-DB53)))</f>
        <v>251.7000000000001</v>
      </c>
      <c r="CU54" s="18">
        <f>CT54*VLOOKUP('Données projet'!$B$13,Paramètres!$A$1:$I$89,3,0)*VLOOKUP('Données projet'!$B$13,Paramètres!$A$1:$I$89,5,0)</f>
        <v>150.51660000000007</v>
      </c>
      <c r="CV54" s="14">
        <f t="shared" si="41"/>
        <v>38.695961323116059</v>
      </c>
      <c r="CW54" s="22">
        <f t="shared" si="13"/>
        <v>329.54521097109392</v>
      </c>
      <c r="CX54" s="62">
        <f t="shared" si="14"/>
        <v>585.32909137434081</v>
      </c>
      <c r="CY54" s="62">
        <f ca="1">AVERAGE(OFFSET($CX$3,0,0,'Données projet'!$E$13+1,1))-AVERAGE(OFFSET($H$3,0,0,'Données projet'!$E$13+1,1))</f>
        <v>320.46614113586043</v>
      </c>
      <c r="CZ54" s="62">
        <f t="shared" si="42"/>
        <v>250.7806929924491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0</v>
      </c>
      <c r="DG54" s="23">
        <f>EXP(-LN(2)/25)*DG53+(1-EXP(-LN(2)/25))/(LN(2)/25)*Calculateur!DB54*Calculateur!DD54*VLOOKUP('Données projet'!$B$13,Paramètres!$A$1:$I$89,3,0)*0.475*44/12</f>
        <v>0</v>
      </c>
      <c r="DH54" s="23">
        <f>EXP(-LN(2)/2)*DH53+(1-EXP(-LN(2)/2))/(LN(2)/2)*DB54*DE54*VLOOKUP('Données projet'!$B$13,Paramètres!$A$1:$I$89,3,0)*0.475*44/12</f>
        <v>6.545605158267586E-3</v>
      </c>
      <c r="DI54" s="24">
        <f t="shared" si="15"/>
        <v>6.545605158267586E-3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22.7</v>
      </c>
      <c r="DO54" s="13">
        <f>IF('Données projet'!$A$166&gt;35,DO53+DN54-DW53,IF(A54&lt;'Données projet'!$A$166,$DL$205^A54,IF(A54='Données projet'!$A$166,'Données projet'!$B$166,DO53+DN54-DW53)))</f>
        <v>311.69999999999976</v>
      </c>
      <c r="DP54" s="18">
        <f>DO54*VLOOKUP('Données projet'!$B$14,Paramètres!$A$1:$I$89,3,0)*VLOOKUP('Données projet'!$B$14,Paramètres!$A$1:$I$89,5,0)</f>
        <v>145.87559999999988</v>
      </c>
      <c r="DQ54" s="14">
        <f t="shared" si="43"/>
        <v>37.639785440563593</v>
      </c>
      <c r="DR54" s="22">
        <f t="shared" si="16"/>
        <v>319.62262964231468</v>
      </c>
      <c r="DS54" s="62">
        <f t="shared" si="17"/>
        <v>575.4065100455615</v>
      </c>
      <c r="DT54" s="62">
        <f ca="1">AVERAGE(OFFSET($DS$3,0,0,'Données projet'!$E$14+1,1))-AVERAGE(OFFSET($H$3,0,0,'Données projet'!$E$14+1,1))</f>
        <v>429.87867712133851</v>
      </c>
      <c r="DU54" s="62">
        <f t="shared" si="44"/>
        <v>182.81277865988014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5.1282051282051269</v>
      </c>
      <c r="EJ54" s="13">
        <f>IF('Données projet'!$A$192&gt;35,EJ53+EI54-ER53,IF(A54&lt;'Données projet'!$A$192,$EG$205^A54,IF(A54='Données projet'!$A$192,'Données projet'!$B$192,EJ53+EI54-ER53)))</f>
        <v>157.69230769230776</v>
      </c>
      <c r="EK54" s="18">
        <f>EJ54*VLOOKUP('Données projet'!$B$15,Paramètres!$A$1:$I$89,3,0)*VLOOKUP('Données projet'!$B$15,Paramètres!$A$1:$I$89,5,0)</f>
        <v>105.78000000000004</v>
      </c>
      <c r="EL54" s="14">
        <f t="shared" si="45"/>
        <v>28.334467347129156</v>
      </c>
      <c r="EM54" s="22">
        <f t="shared" si="19"/>
        <v>233.58269729624999</v>
      </c>
      <c r="EN54" s="62">
        <f t="shared" si="20"/>
        <v>489.36657769949682</v>
      </c>
      <c r="EO54" s="62">
        <f ca="1">AVERAGE(OFFSET($EN$3,0,0,'Données projet'!$E$15+1,1))-AVERAGE(OFFSET($H$3,0,0,'Données projet'!$E$15+1,1))</f>
        <v>296.18088377871669</v>
      </c>
      <c r="EP54" s="62">
        <f t="shared" si="46"/>
        <v>252.23833925792056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5.1282051282051269</v>
      </c>
      <c r="FE54" s="13">
        <f>IF('Données projet'!$A$218&gt;35,FE53+FD54-FM53,IF(A54&lt;'Données projet'!$A$218,$FB$205^A54,IF(A54='Données projet'!$A$218,'Données projet'!$B$218,FE53+FD54-FM53)))</f>
        <v>157.69230769230776</v>
      </c>
      <c r="FF54" s="18">
        <f>FE54*VLOOKUP('Données projet'!$B$16,Paramètres!$A$1:$I$89,3,0)*VLOOKUP('Données projet'!$B$16,Paramètres!$A$1:$I$89,5,0)</f>
        <v>135.3000000000001</v>
      </c>
      <c r="FG54" s="14">
        <f t="shared" si="47"/>
        <v>35.218171009992723</v>
      </c>
      <c r="FH54" s="22">
        <f t="shared" si="22"/>
        <v>296.98581450907079</v>
      </c>
      <c r="FI54" s="62">
        <f t="shared" si="23"/>
        <v>552.76969491231762</v>
      </c>
      <c r="FJ54" s="62">
        <f ca="1">AVERAGE(OFFSET($FI$3,0,0,'Données projet'!$E$16+1,1))-AVERAGE(OFFSET($H$3,0,0,'Données projet'!$E$16+1,1))</f>
        <v>359.20464555327072</v>
      </c>
      <c r="FK54" s="62">
        <f t="shared" si="48"/>
        <v>305.54154052071863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8</v>
      </c>
      <c r="N55" s="14">
        <f>IF('Données projet'!$A$36&gt;35,N54+M55-V54,IF(A55&lt;'Données projet'!$A$36,$K$205^A55,IF(A55='Données projet'!$A$36,'Données projet'!$B$36,N54+M55-V54)))</f>
        <v>173</v>
      </c>
      <c r="O55" s="14">
        <f>N55*VLOOKUP('Données projet'!$B$9,Paramètres!$A$1:$I$89,3,0)*VLOOKUP('Données projet'!$B$9,Paramètres!$A$1:$I$89,5,0)</f>
        <v>175.422</v>
      </c>
      <c r="P55" s="14">
        <f t="shared" si="33"/>
        <v>44.302143412304737</v>
      </c>
      <c r="Q55" s="22">
        <f t="shared" si="53"/>
        <v>382.68621644309741</v>
      </c>
      <c r="R55" s="62">
        <f t="shared" si="0"/>
        <v>639.12149590668082</v>
      </c>
      <c r="S55" s="62">
        <f ca="1">AVERAGE(OFFSET($R$3,0,0,'Données projet'!$E$9+1,1))-AVERAGE(OFFSET($H$3,0,0,'Données projet'!$E$9+1,1))</f>
        <v>516.30971934066179</v>
      </c>
      <c r="T55" s="62">
        <f t="shared" si="34"/>
        <v>290.84286505723571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186.21719999999999</v>
      </c>
      <c r="AK55" s="14">
        <f t="shared" si="35"/>
        <v>46.702653149673253</v>
      </c>
      <c r="AL55" s="22">
        <f t="shared" si="4"/>
        <v>405.66874423568089</v>
      </c>
      <c r="AM55" s="62">
        <f t="shared" si="5"/>
        <v>662.10402369926419</v>
      </c>
      <c r="AN55" s="62">
        <f ca="1">AVERAGE(OFFSET($AM$3,0,0,'Données projet'!$E$10+1,1))-AVERAGE(OFFSET($H$3,0,0,'Données projet'!$E$10+1,1))</f>
        <v>542.90832990875208</v>
      </c>
      <c r="AO55" s="62">
        <f t="shared" si="36"/>
        <v>304.94365539329362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167.32560000000001</v>
      </c>
      <c r="BF55" s="14">
        <f t="shared" si="37"/>
        <v>42.490495297127609</v>
      </c>
      <c r="BG55" s="22">
        <f t="shared" si="7"/>
        <v>365.42969930916388</v>
      </c>
      <c r="BH55" s="62">
        <f t="shared" si="8"/>
        <v>621.86497877274724</v>
      </c>
      <c r="BI55" s="62">
        <f ca="1">AVERAGE(OFFSET($BH$3,0,0,'Données projet'!$E$11+1,1))-AVERAGE(OFFSET($H$3,0,0,'Données projet'!$E$11+1,1))</f>
        <v>496.33873798282525</v>
      </c>
      <c r="BJ55" s="62">
        <f t="shared" si="38"/>
        <v>280.25465074992246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4.7599999999999962</v>
      </c>
      <c r="BY55" s="13">
        <f>IF('Données projet'!$A$114&gt;35,BY54+BX55-CG54,IF(A55&lt;'Données projet'!$A$114,$BV$205^A55,IF(A55='Données projet'!$A$114,'Données projet'!$B$114,BY54+BX55-CG54)))</f>
        <v>183.7200000000002</v>
      </c>
      <c r="BZ55" s="14">
        <f>BY55*VLOOKUP('Données projet'!$B$12,Paramètres!$A$1:$I$89,3,0)*VLOOKUP('Données projet'!$B$12,Paramètres!$A$1:$I$89,5,0)</f>
        <v>160.49779200000017</v>
      </c>
      <c r="CA55" s="14">
        <f t="shared" si="39"/>
        <v>40.95477347484691</v>
      </c>
      <c r="CB55" s="22">
        <f t="shared" si="10"/>
        <v>350.86321820202534</v>
      </c>
      <c r="CC55" s="62">
        <f t="shared" si="11"/>
        <v>607.29849766560869</v>
      </c>
      <c r="CD55" s="62">
        <f ca="1">AVERAGE(OFFSET($CC$3,0,0,'Données projet'!$E$12+1,1))-AVERAGE(OFFSET($H$3,0,0,'Données projet'!$E$12+1,1))</f>
        <v>298.28891728374822</v>
      </c>
      <c r="CE55" s="62">
        <f t="shared" si="40"/>
        <v>275.07405533331371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15.7</v>
      </c>
      <c r="CT55" s="13">
        <f>IF('Données projet'!$A$140&gt;35,CT54+CS55-DB54,IF(A55&lt;'Données projet'!$A$140,$CQ$205^A55,IF(A55='Données projet'!$A$140,'Données projet'!$B$140,CT54+CS55-DB54)))</f>
        <v>267.40000000000009</v>
      </c>
      <c r="CU55" s="18">
        <f>CT55*VLOOKUP('Données projet'!$B$13,Paramètres!$A$1:$I$89,3,0)*VLOOKUP('Données projet'!$B$13,Paramètres!$A$1:$I$89,5,0)</f>
        <v>159.90520000000006</v>
      </c>
      <c r="CV55" s="14">
        <f t="shared" si="41"/>
        <v>40.821132264574658</v>
      </c>
      <c r="CW55" s="22">
        <f t="shared" si="13"/>
        <v>349.59836202746766</v>
      </c>
      <c r="CX55" s="62">
        <f t="shared" si="14"/>
        <v>606.03364149105096</v>
      </c>
      <c r="CY55" s="62">
        <f ca="1">AVERAGE(OFFSET($CX$3,0,0,'Données projet'!$E$13+1,1))-AVERAGE(OFFSET($H$3,0,0,'Données projet'!$E$13+1,1))</f>
        <v>320.46614113586043</v>
      </c>
      <c r="CZ55" s="62">
        <f t="shared" si="42"/>
        <v>250.7806929924491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0</v>
      </c>
      <c r="DG55" s="23">
        <f>EXP(-LN(2)/25)*DG54+(1-EXP(-LN(2)/25))/(LN(2)/25)*Calculateur!DB55*Calculateur!DD55*VLOOKUP('Données projet'!$B$13,Paramètres!$A$1:$I$89,3,0)*0.475*44/12</f>
        <v>0</v>
      </c>
      <c r="DH55" s="23">
        <f>EXP(-LN(2)/2)*DH54+(1-EXP(-LN(2)/2))/(LN(2)/2)*DB55*DE55*VLOOKUP('Données projet'!$B$13,Paramètres!$A$1:$I$89,3,0)*0.475*44/12</f>
        <v>4.6284417943806546E-3</v>
      </c>
      <c r="DI55" s="24">
        <f t="shared" si="15"/>
        <v>4.6284417943806546E-3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22.7</v>
      </c>
      <c r="DO55" s="13">
        <f>IF('Données projet'!$A$166&gt;35,DO54+DN55-DW54,IF(A55&lt;'Données projet'!$A$166,$DL$205^A55,IF(A55='Données projet'!$A$166,'Données projet'!$B$166,DO54+DN55-DW54)))</f>
        <v>334.39999999999975</v>
      </c>
      <c r="DP55" s="18">
        <f>DO55*VLOOKUP('Données projet'!$B$14,Paramètres!$A$1:$I$89,3,0)*VLOOKUP('Données projet'!$B$14,Paramètres!$A$1:$I$89,5,0)</f>
        <v>156.49919999999989</v>
      </c>
      <c r="DQ55" s="14">
        <f t="shared" si="43"/>
        <v>40.051886402928353</v>
      </c>
      <c r="DR55" s="22">
        <f t="shared" si="16"/>
        <v>342.32647548509999</v>
      </c>
      <c r="DS55" s="62">
        <f t="shared" si="17"/>
        <v>598.76175494868335</v>
      </c>
      <c r="DT55" s="62">
        <f ca="1">AVERAGE(OFFSET($DS$3,0,0,'Données projet'!$E$14+1,1))-AVERAGE(OFFSET($H$3,0,0,'Données projet'!$E$14+1,1))</f>
        <v>429.87867712133851</v>
      </c>
      <c r="DU55" s="62">
        <f t="shared" si="44"/>
        <v>182.81277865988014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0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0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5.1282051282051269</v>
      </c>
      <c r="EJ55" s="13">
        <f>IF('Données projet'!$A$192&gt;35,EJ54+EI55-ER54,IF(A55&lt;'Données projet'!$A$192,$EG$205^A55,IF(A55='Données projet'!$A$192,'Données projet'!$B$192,EJ54+EI55-ER54)))</f>
        <v>162.8205128205129</v>
      </c>
      <c r="EK55" s="18">
        <f>EJ55*VLOOKUP('Données projet'!$B$15,Paramètres!$A$1:$I$89,3,0)*VLOOKUP('Données projet'!$B$15,Paramètres!$A$1:$I$89,5,0)</f>
        <v>109.22000000000007</v>
      </c>
      <c r="EL55" s="14">
        <f t="shared" si="45"/>
        <v>29.14713444600703</v>
      </c>
      <c r="EM55" s="22">
        <f t="shared" si="19"/>
        <v>240.9894258267957</v>
      </c>
      <c r="EN55" s="62">
        <f t="shared" si="20"/>
        <v>497.42470529037905</v>
      </c>
      <c r="EO55" s="62">
        <f ca="1">AVERAGE(OFFSET($EN$3,0,0,'Données projet'!$E$15+1,1))-AVERAGE(OFFSET($H$3,0,0,'Données projet'!$E$15+1,1))</f>
        <v>296.18088377871669</v>
      </c>
      <c r="EP55" s="62">
        <f t="shared" si="46"/>
        <v>252.23833925792056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0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0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5.1282051282051269</v>
      </c>
      <c r="FE55" s="13">
        <f>IF('Données projet'!$A$218&gt;35,FE54+FD55-FM54,IF(A55&lt;'Données projet'!$A$218,$FB$205^A55,IF(A55='Données projet'!$A$218,'Données projet'!$B$218,FE54+FD55-FM54)))</f>
        <v>162.8205128205129</v>
      </c>
      <c r="FF55" s="18">
        <f>FE55*VLOOKUP('Données projet'!$B$16,Paramètres!$A$1:$I$89,3,0)*VLOOKUP('Données projet'!$B$16,Paramètres!$A$1:$I$89,5,0)</f>
        <v>139.70000000000007</v>
      </c>
      <c r="FG55" s="14">
        <f t="shared" si="47"/>
        <v>36.228271129816413</v>
      </c>
      <c r="FH55" s="22">
        <f t="shared" si="22"/>
        <v>306.40840555109708</v>
      </c>
      <c r="FI55" s="62">
        <f t="shared" si="23"/>
        <v>562.84368501468043</v>
      </c>
      <c r="FJ55" s="62">
        <f ca="1">AVERAGE(OFFSET($FI$3,0,0,'Données projet'!$E$16+1,1))-AVERAGE(OFFSET($H$3,0,0,'Données projet'!$E$16+1,1))</f>
        <v>359.20464555327072</v>
      </c>
      <c r="FK55" s="62">
        <f t="shared" si="48"/>
        <v>305.54154052071863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0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0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8</v>
      </c>
      <c r="N56" s="14">
        <f>IF('Données projet'!$A$36&gt;35,N55+M56-V55,IF(A56&lt;'Données projet'!$A$36,$K$205^A56,IF(A56='Données projet'!$A$36,'Données projet'!$B$36,N55+M56-V55)))</f>
        <v>181</v>
      </c>
      <c r="O56" s="14">
        <f>N56*VLOOKUP('Données projet'!$B$9,Paramètres!$A$1:$I$89,3,0)*VLOOKUP('Données projet'!$B$9,Paramètres!$A$1:$I$89,5,0)</f>
        <v>183.53400000000002</v>
      </c>
      <c r="P56" s="14">
        <f t="shared" si="33"/>
        <v>46.107544136839593</v>
      </c>
      <c r="Q56" s="22">
        <f t="shared" si="53"/>
        <v>399.95902270499568</v>
      </c>
      <c r="R56" s="62">
        <f t="shared" si="0"/>
        <v>657.03440091152891</v>
      </c>
      <c r="S56" s="62">
        <f ca="1">AVERAGE(OFFSET($R$3,0,0,'Données projet'!$E$9+1,1))-AVERAGE(OFFSET($H$3,0,0,'Données projet'!$E$9+1,1))</f>
        <v>516.30971934066179</v>
      </c>
      <c r="T56" s="62">
        <f t="shared" si="34"/>
        <v>290.84286505723571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194.82839999999999</v>
      </c>
      <c r="AK56" s="14">
        <f t="shared" si="35"/>
        <v>48.605879434898533</v>
      </c>
      <c r="AL56" s="22">
        <f t="shared" si="4"/>
        <v>423.98137001578152</v>
      </c>
      <c r="AM56" s="62">
        <f t="shared" si="5"/>
        <v>681.05674822231481</v>
      </c>
      <c r="AN56" s="62">
        <f ca="1">AVERAGE(OFFSET($AM$3,0,0,'Données projet'!$E$10+1,1))-AVERAGE(OFFSET($H$3,0,0,'Données projet'!$E$10+1,1))</f>
        <v>542.90832990875208</v>
      </c>
      <c r="AO56" s="62">
        <f t="shared" si="36"/>
        <v>304.94365539329362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175.06319999999999</v>
      </c>
      <c r="BF56" s="14">
        <f t="shared" si="37"/>
        <v>44.22206774682472</v>
      </c>
      <c r="BG56" s="22">
        <f t="shared" si="7"/>
        <v>381.9218413257197</v>
      </c>
      <c r="BH56" s="62">
        <f t="shared" si="8"/>
        <v>638.99721953225298</v>
      </c>
      <c r="BI56" s="62">
        <f ca="1">AVERAGE(OFFSET($BH$3,0,0,'Données projet'!$E$11+1,1))-AVERAGE(OFFSET($H$3,0,0,'Données projet'!$E$11+1,1))</f>
        <v>496.33873798282525</v>
      </c>
      <c r="BJ56" s="62">
        <f t="shared" si="38"/>
        <v>280.25465074992246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4.7599999999999962</v>
      </c>
      <c r="BY56" s="13">
        <f>IF('Données projet'!$A$114&gt;35,BY55+BX56-CG55,IF(A56&lt;'Données projet'!$A$114,$BV$205^A56,IF(A56='Données projet'!$A$114,'Données projet'!$B$114,BY55+BX56-CG55)))</f>
        <v>188.48000000000019</v>
      </c>
      <c r="BZ56" s="14">
        <f>BY56*VLOOKUP('Données projet'!$B$12,Paramètres!$A$1:$I$89,3,0)*VLOOKUP('Données projet'!$B$12,Paramètres!$A$1:$I$89,5,0)</f>
        <v>164.65612800000019</v>
      </c>
      <c r="CA56" s="14">
        <f t="shared" si="39"/>
        <v>41.890958351593589</v>
      </c>
      <c r="CB56" s="22">
        <f t="shared" si="10"/>
        <v>359.7361753956925</v>
      </c>
      <c r="CC56" s="62">
        <f t="shared" si="11"/>
        <v>616.81155360222579</v>
      </c>
      <c r="CD56" s="62">
        <f ca="1">AVERAGE(OFFSET($CC$3,0,0,'Données projet'!$E$12+1,1))-AVERAGE(OFFSET($H$3,0,0,'Données projet'!$E$12+1,1))</f>
        <v>298.28891728374822</v>
      </c>
      <c r="CE56" s="62">
        <f t="shared" si="40"/>
        <v>275.07405533331371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15.7</v>
      </c>
      <c r="CT56" s="13">
        <f>IF('Données projet'!$A$140&gt;35,CT55+CS56-DB55,IF(A56&lt;'Données projet'!$A$140,$CQ$205^A56,IF(A56='Données projet'!$A$140,'Données projet'!$B$140,CT55+CS56-DB55)))</f>
        <v>283.10000000000008</v>
      </c>
      <c r="CU56" s="18">
        <f>CT56*VLOOKUP('Données projet'!$B$13,Paramètres!$A$1:$I$89,3,0)*VLOOKUP('Données projet'!$B$13,Paramètres!$A$1:$I$89,5,0)</f>
        <v>169.29380000000009</v>
      </c>
      <c r="CV56" s="14">
        <f t="shared" si="41"/>
        <v>42.931819978697277</v>
      </c>
      <c r="CW56" s="22">
        <f t="shared" si="13"/>
        <v>369.6262881295645</v>
      </c>
      <c r="CX56" s="62">
        <f t="shared" si="14"/>
        <v>626.70166633609779</v>
      </c>
      <c r="CY56" s="62">
        <f ca="1">AVERAGE(OFFSET($CX$3,0,0,'Données projet'!$E$13+1,1))-AVERAGE(OFFSET($H$3,0,0,'Données projet'!$E$13+1,1))</f>
        <v>320.46614113586043</v>
      </c>
      <c r="CZ56" s="62">
        <f t="shared" si="42"/>
        <v>250.7806929924491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0</v>
      </c>
      <c r="DG56" s="23">
        <f>EXP(-LN(2)/25)*DG55+(1-EXP(-LN(2)/25))/(LN(2)/25)*Calculateur!DB56*Calculateur!DD56*VLOOKUP('Données projet'!$B$13,Paramètres!$A$1:$I$89,3,0)*0.475*44/12</f>
        <v>0</v>
      </c>
      <c r="DH56" s="23">
        <f>EXP(-LN(2)/2)*DH55+(1-EXP(-LN(2)/2))/(LN(2)/2)*DB56*DE56*VLOOKUP('Données projet'!$B$13,Paramètres!$A$1:$I$89,3,0)*0.475*44/12</f>
        <v>3.272802579133793E-3</v>
      </c>
      <c r="DI56" s="24">
        <f t="shared" si="15"/>
        <v>3.272802579133793E-3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22.7</v>
      </c>
      <c r="DO56" s="13">
        <f>IF('Données projet'!$A$166&gt;35,DO55+DN56-DW55,IF(A56&lt;'Données projet'!$A$166,$DL$205^A56,IF(A56='Données projet'!$A$166,'Données projet'!$B$166,DO55+DN56-DW55)))</f>
        <v>357.09999999999974</v>
      </c>
      <c r="DP56" s="18">
        <f>DO56*VLOOKUP('Données projet'!$B$14,Paramètres!$A$1:$I$89,3,0)*VLOOKUP('Données projet'!$B$14,Paramètres!$A$1:$I$89,5,0)</f>
        <v>167.12279999999987</v>
      </c>
      <c r="DQ56" s="14">
        <f t="shared" si="43"/>
        <v>42.444987720629342</v>
      </c>
      <c r="DR56" s="22">
        <f t="shared" si="16"/>
        <v>364.99723028009589</v>
      </c>
      <c r="DS56" s="62">
        <f t="shared" si="17"/>
        <v>622.07260848662918</v>
      </c>
      <c r="DT56" s="62">
        <f ca="1">AVERAGE(OFFSET($DS$3,0,0,'Données projet'!$E$14+1,1))-AVERAGE(OFFSET($H$3,0,0,'Données projet'!$E$14+1,1))</f>
        <v>429.87867712133851</v>
      </c>
      <c r="DU56" s="62">
        <f t="shared" si="44"/>
        <v>182.81277865988014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0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0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5.1282051282051269</v>
      </c>
      <c r="EJ56" s="13">
        <f>IF('Données projet'!$A$192&gt;35,EJ55+EI56-ER55,IF(A56&lt;'Données projet'!$A$192,$EG$205^A56,IF(A56='Données projet'!$A$192,'Données projet'!$B$192,EJ55+EI56-ER55)))</f>
        <v>167.94871794871804</v>
      </c>
      <c r="EK56" s="18">
        <f>EJ56*VLOOKUP('Données projet'!$B$15,Paramètres!$A$1:$I$89,3,0)*VLOOKUP('Données projet'!$B$15,Paramètres!$A$1:$I$89,5,0)</f>
        <v>112.66000000000007</v>
      </c>
      <c r="EL56" s="14">
        <f t="shared" si="45"/>
        <v>29.956827127251987</v>
      </c>
      <c r="EM56" s="22">
        <f t="shared" si="19"/>
        <v>248.39097391329733</v>
      </c>
      <c r="EN56" s="62">
        <f t="shared" si="20"/>
        <v>505.46635211983056</v>
      </c>
      <c r="EO56" s="62">
        <f ca="1">AVERAGE(OFFSET($EN$3,0,0,'Données projet'!$E$15+1,1))-AVERAGE(OFFSET($H$3,0,0,'Données projet'!$E$15+1,1))</f>
        <v>296.18088377871669</v>
      </c>
      <c r="EP56" s="62">
        <f t="shared" si="46"/>
        <v>252.23833925792056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0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0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5.1282051282051269</v>
      </c>
      <c r="FE56" s="13">
        <f>IF('Données projet'!$A$218&gt;35,FE55+FD56-FM55,IF(A56&lt;'Données projet'!$A$218,$FB$205^A56,IF(A56='Données projet'!$A$218,'Données projet'!$B$218,FE55+FD56-FM55)))</f>
        <v>167.94871794871804</v>
      </c>
      <c r="FF56" s="18">
        <f>FE56*VLOOKUP('Données projet'!$B$16,Paramètres!$A$1:$I$89,3,0)*VLOOKUP('Données projet'!$B$16,Paramètres!$A$1:$I$89,5,0)</f>
        <v>144.10000000000011</v>
      </c>
      <c r="FG56" s="14">
        <f t="shared" si="47"/>
        <v>37.234674213533239</v>
      </c>
      <c r="FH56" s="22">
        <f t="shared" si="22"/>
        <v>315.82455758857049</v>
      </c>
      <c r="FI56" s="62">
        <f t="shared" si="23"/>
        <v>572.89993579510372</v>
      </c>
      <c r="FJ56" s="62">
        <f ca="1">AVERAGE(OFFSET($FI$3,0,0,'Données projet'!$E$16+1,1))-AVERAGE(OFFSET($H$3,0,0,'Données projet'!$E$16+1,1))</f>
        <v>359.20464555327072</v>
      </c>
      <c r="FK56" s="62">
        <f t="shared" si="48"/>
        <v>305.54154052071863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0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0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8</v>
      </c>
      <c r="N57" s="14">
        <f>IF('Données projet'!$A$36&gt;35,N56+M57-V56,IF(A57&lt;'Données projet'!$A$36,$K$205^A57,IF(A57='Données projet'!$A$36,'Données projet'!$B$36,N56+M57-V56)))</f>
        <v>189</v>
      </c>
      <c r="O57" s="14">
        <f>N57*VLOOKUP('Données projet'!$B$9,Paramètres!$A$1:$I$89,3,0)*VLOOKUP('Données projet'!$B$9,Paramètres!$A$1:$I$89,5,0)</f>
        <v>191.64600000000002</v>
      </c>
      <c r="P57" s="14">
        <f t="shared" si="33"/>
        <v>47.903677189291635</v>
      </c>
      <c r="Q57" s="22">
        <f t="shared" si="53"/>
        <v>417.21568777134962</v>
      </c>
      <c r="R57" s="62">
        <f t="shared" si="0"/>
        <v>674.92006043868901</v>
      </c>
      <c r="S57" s="62">
        <f ca="1">AVERAGE(OFFSET($R$3,0,0,'Données projet'!$E$9+1,1))-AVERAGE(OFFSET($H$3,0,0,'Données projet'!$E$9+1,1))</f>
        <v>516.30971934066179</v>
      </c>
      <c r="T57" s="62">
        <f t="shared" si="34"/>
        <v>290.84286505723571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203.43960000000001</v>
      </c>
      <c r="AK57" s="14">
        <f t="shared" si="35"/>
        <v>50.499335879627459</v>
      </c>
      <c r="AL57" s="22">
        <f t="shared" si="4"/>
        <v>442.27697999035109</v>
      </c>
      <c r="AM57" s="62">
        <f t="shared" si="5"/>
        <v>699.98135265769042</v>
      </c>
      <c r="AN57" s="62">
        <f ca="1">AVERAGE(OFFSET($AM$3,0,0,'Données projet'!$E$10+1,1))-AVERAGE(OFFSET($H$3,0,0,'Données projet'!$E$10+1,1))</f>
        <v>542.90832990875208</v>
      </c>
      <c r="AO57" s="62">
        <f t="shared" si="36"/>
        <v>304.94365539329362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182.80079999999998</v>
      </c>
      <c r="BF57" s="14">
        <f t="shared" si="37"/>
        <v>45.944751507471658</v>
      </c>
      <c r="BG57" s="22">
        <f t="shared" si="7"/>
        <v>398.39850220884642</v>
      </c>
      <c r="BH57" s="62">
        <f t="shared" si="8"/>
        <v>656.10287487618575</v>
      </c>
      <c r="BI57" s="62">
        <f ca="1">AVERAGE(OFFSET($BH$3,0,0,'Données projet'!$E$11+1,1))-AVERAGE(OFFSET($H$3,0,0,'Données projet'!$E$11+1,1))</f>
        <v>496.33873798282525</v>
      </c>
      <c r="BJ57" s="62">
        <f t="shared" si="38"/>
        <v>280.25465074992246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4.7599999999999962</v>
      </c>
      <c r="BY57" s="13">
        <f>IF('Données projet'!$A$114&gt;35,BY56+BX57-CG56,IF(A57&lt;'Données projet'!$A$114,$BV$205^A57,IF(A57='Données projet'!$A$114,'Données projet'!$B$114,BY56+BX57-CG56)))</f>
        <v>193.24000000000018</v>
      </c>
      <c r="BZ57" s="14">
        <f>BY57*VLOOKUP('Données projet'!$B$12,Paramètres!$A$1:$I$89,3,0)*VLOOKUP('Données projet'!$B$12,Paramètres!$A$1:$I$89,5,0)</f>
        <v>168.81446400000019</v>
      </c>
      <c r="CA57" s="14">
        <f t="shared" si="39"/>
        <v>42.824394910906719</v>
      </c>
      <c r="CB57" s="22">
        <f t="shared" si="10"/>
        <v>368.60434593649614</v>
      </c>
      <c r="CC57" s="62">
        <f t="shared" si="11"/>
        <v>626.30871860383547</v>
      </c>
      <c r="CD57" s="62">
        <f ca="1">AVERAGE(OFFSET($CC$3,0,0,'Données projet'!$E$12+1,1))-AVERAGE(OFFSET($H$3,0,0,'Données projet'!$E$12+1,1))</f>
        <v>298.28891728374822</v>
      </c>
      <c r="CE57" s="62">
        <f t="shared" si="40"/>
        <v>275.07405533331371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15.7</v>
      </c>
      <c r="CT57" s="13">
        <f>IF('Données projet'!$A$140&gt;35,CT56+CS57-DB56,IF(A57&lt;'Données projet'!$A$140,$CQ$205^A57,IF(A57='Données projet'!$A$140,'Données projet'!$B$140,CT56+CS57-DB56)))</f>
        <v>298.80000000000007</v>
      </c>
      <c r="CU57" s="18">
        <f>CT57*VLOOKUP('Données projet'!$B$13,Paramètres!$A$1:$I$89,3,0)*VLOOKUP('Données projet'!$B$13,Paramètres!$A$1:$I$89,5,0)</f>
        <v>178.68240000000006</v>
      </c>
      <c r="CV57" s="14">
        <f t="shared" si="41"/>
        <v>45.028919214980071</v>
      </c>
      <c r="CW57" s="22">
        <f t="shared" si="13"/>
        <v>389.63054763275704</v>
      </c>
      <c r="CX57" s="62">
        <f t="shared" si="14"/>
        <v>647.33492030009643</v>
      </c>
      <c r="CY57" s="62">
        <f ca="1">AVERAGE(OFFSET($CX$3,0,0,'Données projet'!$E$13+1,1))-AVERAGE(OFFSET($H$3,0,0,'Données projet'!$E$13+1,1))</f>
        <v>320.46614113586043</v>
      </c>
      <c r="CZ57" s="62">
        <f t="shared" si="42"/>
        <v>250.7806929924491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0</v>
      </c>
      <c r="DG57" s="23">
        <f>EXP(-LN(2)/25)*DG56+(1-EXP(-LN(2)/25))/(LN(2)/25)*Calculateur!DB57*Calculateur!DD57*VLOOKUP('Données projet'!$B$13,Paramètres!$A$1:$I$89,3,0)*0.475*44/12</f>
        <v>0</v>
      </c>
      <c r="DH57" s="23">
        <f>EXP(-LN(2)/2)*DH56+(1-EXP(-LN(2)/2))/(LN(2)/2)*DB57*DE57*VLOOKUP('Données projet'!$B$13,Paramètres!$A$1:$I$89,3,0)*0.475*44/12</f>
        <v>2.3142208971903273E-3</v>
      </c>
      <c r="DI57" s="24">
        <f t="shared" si="15"/>
        <v>2.3142208971903273E-3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22.7</v>
      </c>
      <c r="DO57" s="13">
        <f>IF('Données projet'!$A$166&gt;35,DO56+DN57-DW56,IF(A57&lt;'Données projet'!$A$166,$DL$205^A57,IF(A57='Données projet'!$A$166,'Données projet'!$B$166,DO56+DN57-DW56)))</f>
        <v>379.79999999999973</v>
      </c>
      <c r="DP57" s="18">
        <f>DO57*VLOOKUP('Données projet'!$B$14,Paramètres!$A$1:$I$89,3,0)*VLOOKUP('Données projet'!$B$14,Paramètres!$A$1:$I$89,5,0)</f>
        <v>177.74639999999988</v>
      </c>
      <c r="DQ57" s="14">
        <f t="shared" si="43"/>
        <v>44.820434632332443</v>
      </c>
      <c r="DR57" s="22">
        <f t="shared" si="16"/>
        <v>387.63723698464543</v>
      </c>
      <c r="DS57" s="62">
        <f t="shared" si="17"/>
        <v>645.34160965198475</v>
      </c>
      <c r="DT57" s="62">
        <f ca="1">AVERAGE(OFFSET($DS$3,0,0,'Données projet'!$E$14+1,1))-AVERAGE(OFFSET($H$3,0,0,'Données projet'!$E$14+1,1))</f>
        <v>429.87867712133851</v>
      </c>
      <c r="DU57" s="62">
        <f t="shared" si="44"/>
        <v>182.81277865988014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0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0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5.1282051282051269</v>
      </c>
      <c r="EJ57" s="13">
        <f>IF('Données projet'!$A$192&gt;35,EJ56+EI57-ER56,IF(A57&lt;'Données projet'!$A$192,$EG$205^A57,IF(A57='Données projet'!$A$192,'Données projet'!$B$192,EJ56+EI57-ER56)))</f>
        <v>173.07692307692318</v>
      </c>
      <c r="EK57" s="18">
        <f>EJ57*VLOOKUP('Données projet'!$B$15,Paramètres!$A$1:$I$89,3,0)*VLOOKUP('Données projet'!$B$15,Paramètres!$A$1:$I$89,5,0)</f>
        <v>116.10000000000007</v>
      </c>
      <c r="EL57" s="14">
        <f t="shared" si="45"/>
        <v>30.763646636385982</v>
      </c>
      <c r="EM57" s="22">
        <f t="shared" si="19"/>
        <v>255.78751789170568</v>
      </c>
      <c r="EN57" s="62">
        <f t="shared" si="20"/>
        <v>513.49189055904503</v>
      </c>
      <c r="EO57" s="62">
        <f ca="1">AVERAGE(OFFSET($EN$3,0,0,'Données projet'!$E$15+1,1))-AVERAGE(OFFSET($H$3,0,0,'Données projet'!$E$15+1,1))</f>
        <v>296.18088377871669</v>
      </c>
      <c r="EP57" s="62">
        <f t="shared" si="46"/>
        <v>252.23833925792056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0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0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5.1282051282051269</v>
      </c>
      <c r="FE57" s="13">
        <f>IF('Données projet'!$A$218&gt;35,FE56+FD57-FM56,IF(A57&lt;'Données projet'!$A$218,$FB$205^A57,IF(A57='Données projet'!$A$218,'Données projet'!$B$218,FE56+FD57-FM56)))</f>
        <v>173.07692307692318</v>
      </c>
      <c r="FF57" s="18">
        <f>FE57*VLOOKUP('Données projet'!$B$16,Paramètres!$A$1:$I$89,3,0)*VLOOKUP('Données projet'!$B$16,Paramètres!$A$1:$I$89,5,0)</f>
        <v>148.50000000000009</v>
      </c>
      <c r="FG57" s="14">
        <f t="shared" si="47"/>
        <v>38.237506103710253</v>
      </c>
      <c r="FH57" s="22">
        <f t="shared" si="22"/>
        <v>325.23448979729551</v>
      </c>
      <c r="FI57" s="62">
        <f t="shared" si="23"/>
        <v>582.93886246463489</v>
      </c>
      <c r="FJ57" s="62">
        <f ca="1">AVERAGE(OFFSET($FI$3,0,0,'Données projet'!$E$16+1,1))-AVERAGE(OFFSET($H$3,0,0,'Données projet'!$E$16+1,1))</f>
        <v>359.20464555327072</v>
      </c>
      <c r="FK57" s="62">
        <f t="shared" si="48"/>
        <v>305.54154052071863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0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0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197</v>
      </c>
      <c r="L58" s="13">
        <f>VLOOKUP(A58,'Données projet'!$A$35:$I$55,9,0)</f>
        <v>8</v>
      </c>
      <c r="M58" s="13">
        <f t="array" ref="M58">INDEX(L:L,MIN(IF(ISNUMBER(L58:L254),ROW(L58:L254),"")))</f>
        <v>8</v>
      </c>
      <c r="N58" s="14">
        <f>IF('Données projet'!$A$36&gt;35,N57+M58-V57,IF(A58&lt;'Données projet'!$A$36,$K$205^A58,IF(A58='Données projet'!$A$36,'Données projet'!$B$36,N57+M58-V57)))</f>
        <v>197</v>
      </c>
      <c r="O58" s="14">
        <f>N58*VLOOKUP('Données projet'!$B$9,Paramètres!$A$1:$I$89,3,0)*VLOOKUP('Données projet'!$B$9,Paramètres!$A$1:$I$89,5,0)</f>
        <v>199.75800000000004</v>
      </c>
      <c r="P58" s="14">
        <f t="shared" si="33"/>
        <v>49.690979702964015</v>
      </c>
      <c r="Q58" s="22">
        <f t="shared" si="53"/>
        <v>434.45697298266236</v>
      </c>
      <c r="R58" s="62">
        <f t="shared" si="0"/>
        <v>692.77942846313374</v>
      </c>
      <c r="S58" s="62">
        <f ca="1">AVERAGE(OFFSET($R$3,0,0,'Données projet'!$E$9+1,1))-AVERAGE(OFFSET($H$3,0,0,'Données projet'!$E$9+1,1))</f>
        <v>516.30971934066179</v>
      </c>
      <c r="T58" s="62">
        <f t="shared" si="34"/>
        <v>290.84286505723571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212.05079999999998</v>
      </c>
      <c r="AK58" s="14">
        <f t="shared" si="35"/>
        <v>52.383483303212302</v>
      </c>
      <c r="AL58" s="22">
        <f t="shared" si="4"/>
        <v>460.55637675309475</v>
      </c>
      <c r="AM58" s="62">
        <f t="shared" si="5"/>
        <v>718.87883223356607</v>
      </c>
      <c r="AN58" s="62">
        <f ca="1">AVERAGE(OFFSET($AM$3,0,0,'Données projet'!$E$10+1,1))-AVERAGE(OFFSET($H$3,0,0,'Données projet'!$E$10+1,1))</f>
        <v>542.90832990875208</v>
      </c>
      <c r="AO58" s="62">
        <f t="shared" si="36"/>
        <v>304.94365539329362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190.5384</v>
      </c>
      <c r="BF58" s="14">
        <f t="shared" si="37"/>
        <v>47.658965836673829</v>
      </c>
      <c r="BG58" s="22">
        <f t="shared" si="7"/>
        <v>414.86041216554025</v>
      </c>
      <c r="BH58" s="62">
        <f t="shared" si="8"/>
        <v>673.18286764601157</v>
      </c>
      <c r="BI58" s="62">
        <f ca="1">AVERAGE(OFFSET($BH$3,0,0,'Données projet'!$E$11+1,1))-AVERAGE(OFFSET($H$3,0,0,'Données projet'!$E$11+1,1))</f>
        <v>496.33873798282525</v>
      </c>
      <c r="BJ58" s="62">
        <f t="shared" si="38"/>
        <v>280.25465074992246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198</v>
      </c>
      <c r="BW58" s="13">
        <f>VLOOKUP(A58,'Données projet'!$A$113:$I$133,9,0)</f>
        <v>4.7599999999999962</v>
      </c>
      <c r="BX58" s="13">
        <f t="array" ref="BX58">INDEX(BW:BW,MIN(IF(ISNUMBER(BW58:BW254),ROW(BW58:BW254),"")))</f>
        <v>4.7599999999999962</v>
      </c>
      <c r="BY58" s="13">
        <f>IF('Données projet'!$A$114&gt;35,BY57+BX58-CG57,IF(A58&lt;'Données projet'!$A$114,$BV$205^A58,IF(A58='Données projet'!$A$114,'Données projet'!$B$114,BY57+BX58-CG57)))</f>
        <v>198.00000000000017</v>
      </c>
      <c r="BZ58" s="14">
        <f>BY58*VLOOKUP('Données projet'!$B$12,Paramètres!$A$1:$I$89,3,0)*VLOOKUP('Données projet'!$B$12,Paramètres!$A$1:$I$89,5,0)</f>
        <v>172.97280000000018</v>
      </c>
      <c r="CA58" s="14">
        <f t="shared" si="39"/>
        <v>43.755158638197322</v>
      </c>
      <c r="CB58" s="22">
        <f t="shared" si="10"/>
        <v>377.4678612948606</v>
      </c>
      <c r="CC58" s="62">
        <f t="shared" si="11"/>
        <v>635.79031677533203</v>
      </c>
      <c r="CD58" s="62">
        <f ca="1">AVERAGE(OFFSET($CC$3,0,0,'Données projet'!$E$12+1,1))-AVERAGE(OFFSET($H$3,0,0,'Données projet'!$E$12+1,1))</f>
        <v>298.28891728374822</v>
      </c>
      <c r="CE58" s="62">
        <f t="shared" si="40"/>
        <v>275.07405533331371</v>
      </c>
      <c r="CF58" s="16">
        <f>IF(ISNA(VLOOKUP(A58,'Données projet'!$A$113:$I$133,3,0)),0,VLOOKUP(A58,'Données projet'!$A$113:$I$133,3,0))</f>
        <v>4</v>
      </c>
      <c r="CG58" s="16">
        <f>IF(ISNA(VLOOKUP(A58,'Données projet'!$A$113:$I$133,4,0)),0,VLOOKUP(A58,'Données projet'!$A$113:$I$133,4,0))</f>
        <v>23.8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15.7</v>
      </c>
      <c r="CT58" s="13">
        <f>IF('Données projet'!$A$140&gt;35,CT57+CS58-DB57,IF(A58&lt;'Données projet'!$A$140,$CQ$205^A58,IF(A58='Données projet'!$A$140,'Données projet'!$B$140,CT57+CS58-DB57)))</f>
        <v>314.50000000000006</v>
      </c>
      <c r="CU58" s="18">
        <f>CT58*VLOOKUP('Données projet'!$B$13,Paramètres!$A$1:$I$89,3,0)*VLOOKUP('Données projet'!$B$13,Paramètres!$A$1:$I$89,5,0)</f>
        <v>188.07100000000005</v>
      </c>
      <c r="CV58" s="14">
        <f t="shared" si="41"/>
        <v>47.113225385753083</v>
      </c>
      <c r="CW58" s="22">
        <f t="shared" si="13"/>
        <v>409.61252588018669</v>
      </c>
      <c r="CX58" s="62">
        <f t="shared" si="14"/>
        <v>667.93498136065807</v>
      </c>
      <c r="CY58" s="62">
        <f ca="1">AVERAGE(OFFSET($CX$3,0,0,'Données projet'!$E$13+1,1))-AVERAGE(OFFSET($H$3,0,0,'Données projet'!$E$13+1,1))</f>
        <v>320.46614113586043</v>
      </c>
      <c r="CZ58" s="62">
        <f t="shared" si="42"/>
        <v>250.7806929924491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0</v>
      </c>
      <c r="DG58" s="23">
        <f>EXP(-LN(2)/25)*DG57+(1-EXP(-LN(2)/25))/(LN(2)/25)*Calculateur!DB58*Calculateur!DD58*VLOOKUP('Données projet'!$B$13,Paramètres!$A$1:$I$89,3,0)*0.475*44/12</f>
        <v>0</v>
      </c>
      <c r="DH58" s="23">
        <f>EXP(-LN(2)/2)*DH57+(1-EXP(-LN(2)/2))/(LN(2)/2)*DB58*DE58*VLOOKUP('Données projet'!$B$13,Paramètres!$A$1:$I$89,3,0)*0.475*44/12</f>
        <v>1.6364012895668965E-3</v>
      </c>
      <c r="DI58" s="24">
        <f t="shared" si="15"/>
        <v>1.6364012895668965E-3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22.7</v>
      </c>
      <c r="DO58" s="13">
        <f>IF('Données projet'!$A$166&gt;35,DO57+DN58-DW57,IF(A58&lt;'Données projet'!$A$166,$DL$205^A58,IF(A58='Données projet'!$A$166,'Données projet'!$B$166,DO57+DN58-DW57)))</f>
        <v>402.49999999999972</v>
      </c>
      <c r="DP58" s="18">
        <f>DO58*VLOOKUP('Données projet'!$B$14,Paramètres!$A$1:$I$89,3,0)*VLOOKUP('Données projet'!$B$14,Paramètres!$A$1:$I$89,5,0)</f>
        <v>188.36999999999986</v>
      </c>
      <c r="DQ58" s="14">
        <f t="shared" si="43"/>
        <v>47.179402486491256</v>
      </c>
      <c r="DR58" s="22">
        <f t="shared" si="16"/>
        <v>410.24854266397205</v>
      </c>
      <c r="DS58" s="62">
        <f t="shared" si="17"/>
        <v>668.57099814444337</v>
      </c>
      <c r="DT58" s="62">
        <f ca="1">AVERAGE(OFFSET($DS$3,0,0,'Données projet'!$E$14+1,1))-AVERAGE(OFFSET($H$3,0,0,'Données projet'!$E$14+1,1))</f>
        <v>429.87867712133851</v>
      </c>
      <c r="DU58" s="62">
        <f t="shared" si="44"/>
        <v>182.81277865988014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0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0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178.2051282051282</v>
      </c>
      <c r="EH58" s="13">
        <f>VLOOKUP(A58,'Données projet'!$A$191:$I$211,9,0)</f>
        <v>5.1282051282051269</v>
      </c>
      <c r="EI58" s="13">
        <f t="array" ref="EI58">INDEX(EH:EH,MIN(IF(ISNUMBER(EH58:EH254),ROW(EH58:EH254),"")))</f>
        <v>5.1282051282051269</v>
      </c>
      <c r="EJ58" s="13">
        <f>IF('Données projet'!$A$192&gt;35,EJ57+EI58-ER57,IF(A58&lt;'Données projet'!$A$192,$EG$205^A58,IF(A58='Données projet'!$A$192,'Données projet'!$B$192,EJ57+EI58-ER57)))</f>
        <v>178.20512820512832</v>
      </c>
      <c r="EK58" s="18">
        <f>EJ58*VLOOKUP('Données projet'!$B$15,Paramètres!$A$1:$I$89,3,0)*VLOOKUP('Données projet'!$B$15,Paramètres!$A$1:$I$89,5,0)</f>
        <v>119.54000000000009</v>
      </c>
      <c r="EL58" s="14">
        <f t="shared" si="45"/>
        <v>31.567687878137313</v>
      </c>
      <c r="EM58" s="22">
        <f t="shared" si="19"/>
        <v>263.17922305442261</v>
      </c>
      <c r="EN58" s="62">
        <f t="shared" si="20"/>
        <v>521.50167853489393</v>
      </c>
      <c r="EO58" s="62">
        <f ca="1">AVERAGE(OFFSET($EN$3,0,0,'Données projet'!$E$15+1,1))-AVERAGE(OFFSET($H$3,0,0,'Données projet'!$E$15+1,1))</f>
        <v>296.18088377871669</v>
      </c>
      <c r="EP58" s="62">
        <f t="shared" si="46"/>
        <v>252.23833925792056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0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0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>
        <f>VLOOKUP(A58,'Données projet'!$A$217:$I$237,2,0)</f>
        <v>178.2051282051282</v>
      </c>
      <c r="FC58" s="13">
        <f>VLOOKUP(A58,'Données projet'!$A$217:$I$237,9,0)</f>
        <v>5.1282051282051269</v>
      </c>
      <c r="FD58" s="13">
        <f t="array" ref="FD58">INDEX(FC:FC,MIN(IF(ISNUMBER(FC58:FC254),ROW(FC58:FC254),"")))</f>
        <v>5.1282051282051269</v>
      </c>
      <c r="FE58" s="13">
        <f>IF('Données projet'!$A$218&gt;35,FE57+FD58-FM57,IF(A58&lt;'Données projet'!$A$218,$FB$205^A58,IF(A58='Données projet'!$A$218,'Données projet'!$B$218,FE57+FD58-FM57)))</f>
        <v>178.20512820512832</v>
      </c>
      <c r="FF58" s="18">
        <f>FE58*VLOOKUP('Données projet'!$B$16,Paramètres!$A$1:$I$89,3,0)*VLOOKUP('Données projet'!$B$16,Paramètres!$A$1:$I$89,5,0)</f>
        <v>152.90000000000012</v>
      </c>
      <c r="FG58" s="14">
        <f t="shared" si="47"/>
        <v>39.236884761659596</v>
      </c>
      <c r="FH58" s="22">
        <f t="shared" si="22"/>
        <v>334.6384076265573</v>
      </c>
      <c r="FI58" s="62">
        <f t="shared" si="23"/>
        <v>592.96086310702867</v>
      </c>
      <c r="FJ58" s="62">
        <f ca="1">AVERAGE(OFFSET($FI$3,0,0,'Données projet'!$E$16+1,1))-AVERAGE(OFFSET($H$3,0,0,'Données projet'!$E$16+1,1))</f>
        <v>359.20464555327072</v>
      </c>
      <c r="FK58" s="62">
        <f t="shared" si="48"/>
        <v>305.54154052071863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0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0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7.6</v>
      </c>
      <c r="N59" s="14">
        <f>IF('Données projet'!$A$36&gt;35,N58+M59-V58,IF(A59&lt;'Données projet'!$A$36,$K$205^A59,IF(A59='Données projet'!$A$36,'Données projet'!$B$36,N58+M59-V58)))</f>
        <v>204.6</v>
      </c>
      <c r="O59" s="14">
        <f>N59*VLOOKUP('Données projet'!$B$9,Paramètres!$A$1:$I$89,3,0)*VLOOKUP('Données projet'!$B$9,Paramètres!$A$1:$I$89,5,0)</f>
        <v>207.46440000000001</v>
      </c>
      <c r="P59" s="14">
        <f t="shared" si="33"/>
        <v>51.381102169014063</v>
      </c>
      <c r="Q59" s="22">
        <f t="shared" si="53"/>
        <v>450.82258294436616</v>
      </c>
      <c r="R59" s="62">
        <f t="shared" si="0"/>
        <v>709.7523988829879</v>
      </c>
      <c r="S59" s="62">
        <f ca="1">AVERAGE(OFFSET($R$3,0,0,'Données projet'!$E$9+1,1))-AVERAGE(OFFSET($H$3,0,0,'Données projet'!$E$9+1,1))</f>
        <v>516.30971934066179</v>
      </c>
      <c r="T59" s="62">
        <f t="shared" si="34"/>
        <v>290.84286505723571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204.6</v>
      </c>
      <c r="AJ59" s="14">
        <f>AI59*VLOOKUP('Données projet'!$B$10,Paramètres!$A$1:$I$89,3,0)*VLOOKUP('Données projet'!$B$10,Paramètres!$A$1:$I$89,5,0)</f>
        <v>220.23143999999996</v>
      </c>
      <c r="AK59" s="14">
        <f t="shared" si="35"/>
        <v>54.165184982469711</v>
      </c>
      <c r="AL59" s="22">
        <f t="shared" si="4"/>
        <v>477.9074551778013</v>
      </c>
      <c r="AM59" s="62">
        <f t="shared" si="5"/>
        <v>736.83727111642304</v>
      </c>
      <c r="AN59" s="62">
        <f ca="1">AVERAGE(OFFSET($AM$3,0,0,'Données projet'!$E$10+1,1))-AVERAGE(OFFSET($H$3,0,0,'Données projet'!$E$10+1,1))</f>
        <v>542.90832990875208</v>
      </c>
      <c r="AO59" s="62">
        <f t="shared" si="36"/>
        <v>304.94365539329362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204.6</v>
      </c>
      <c r="BE59" s="14">
        <f>BD59*VLOOKUP('Données projet'!$B$11,Paramètres!$A$1:$I$89,3,0)*VLOOKUP('Données projet'!$B$11,Paramètres!$A$1:$I$89,5,0)</f>
        <v>197.88911999999999</v>
      </c>
      <c r="BF59" s="14">
        <f t="shared" si="37"/>
        <v>49.279974103179534</v>
      </c>
      <c r="BG59" s="22">
        <f t="shared" si="7"/>
        <v>430.48617222970438</v>
      </c>
      <c r="BH59" s="62">
        <f t="shared" si="8"/>
        <v>689.41598816832607</v>
      </c>
      <c r="BI59" s="62">
        <f ca="1">AVERAGE(OFFSET($BH$3,0,0,'Données projet'!$E$11+1,1))-AVERAGE(OFFSET($H$3,0,0,'Données projet'!$E$11+1,1))</f>
        <v>496.33873798282525</v>
      </c>
      <c r="BJ59" s="62">
        <f t="shared" si="38"/>
        <v>280.25465074992246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4.0600000000000023</v>
      </c>
      <c r="BY59" s="13">
        <f>IF('Données projet'!$A$114&gt;35,BY58+BX59-CG58,IF(A59&lt;'Données projet'!$A$114,$BV$205^A59,IF(A59='Données projet'!$A$114,'Données projet'!$B$114,BY58+BX59-CG58)))</f>
        <v>178.26000000000016</v>
      </c>
      <c r="BZ59" s="14">
        <f>BY59*VLOOKUP('Données projet'!$B$12,Paramètres!$A$1:$I$89,3,0)*VLOOKUP('Données projet'!$B$12,Paramètres!$A$1:$I$89,5,0)</f>
        <v>155.72793600000014</v>
      </c>
      <c r="CA59" s="14">
        <f t="shared" si="39"/>
        <v>39.87742699338623</v>
      </c>
      <c r="CB59" s="22">
        <f t="shared" si="10"/>
        <v>340.67934054681456</v>
      </c>
      <c r="CC59" s="62">
        <f t="shared" si="11"/>
        <v>599.6091564854363</v>
      </c>
      <c r="CD59" s="62">
        <f ca="1">AVERAGE(OFFSET($CC$3,0,0,'Données projet'!$E$12+1,1))-AVERAGE(OFFSET($H$3,0,0,'Données projet'!$E$12+1,1))</f>
        <v>298.28891728374822</v>
      </c>
      <c r="CE59" s="62">
        <f t="shared" si="40"/>
        <v>275.07405533331371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15.7</v>
      </c>
      <c r="CT59" s="13">
        <f>IF('Données projet'!$A$140&gt;35,CT58+CS59-DB58,IF(A59&lt;'Données projet'!$A$140,$CQ$205^A59,IF(A59='Données projet'!$A$140,'Données projet'!$B$140,CT58+CS59-DB58)))</f>
        <v>330.20000000000005</v>
      </c>
      <c r="CU59" s="18">
        <f>CT59*VLOOKUP('Données projet'!$B$13,Paramètres!$A$1:$I$89,3,0)*VLOOKUP('Données projet'!$B$13,Paramètres!$A$1:$I$89,5,0)</f>
        <v>197.45960000000005</v>
      </c>
      <c r="CV59" s="14">
        <f t="shared" si="41"/>
        <v>49.185450002435452</v>
      </c>
      <c r="CW59" s="22">
        <f t="shared" si="13"/>
        <v>429.57346208757514</v>
      </c>
      <c r="CX59" s="62">
        <f t="shared" si="14"/>
        <v>688.50327802619688</v>
      </c>
      <c r="CY59" s="62">
        <f ca="1">AVERAGE(OFFSET($CX$3,0,0,'Données projet'!$E$13+1,1))-AVERAGE(OFFSET($H$3,0,0,'Données projet'!$E$13+1,1))</f>
        <v>320.46614113586043</v>
      </c>
      <c r="CZ59" s="62">
        <f t="shared" si="42"/>
        <v>250.7806929924491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0</v>
      </c>
      <c r="DG59" s="23">
        <f>EXP(-LN(2)/25)*DG58+(1-EXP(-LN(2)/25))/(LN(2)/25)*Calculateur!DB59*Calculateur!DD59*VLOOKUP('Données projet'!$B$13,Paramètres!$A$1:$I$89,3,0)*0.475*44/12</f>
        <v>0</v>
      </c>
      <c r="DH59" s="23">
        <f>EXP(-LN(2)/2)*DH58+(1-EXP(-LN(2)/2))/(LN(2)/2)*DB59*DE59*VLOOKUP('Données projet'!$B$13,Paramètres!$A$1:$I$89,3,0)*0.475*44/12</f>
        <v>1.1571104485951637E-3</v>
      </c>
      <c r="DI59" s="24">
        <f t="shared" si="15"/>
        <v>1.1571104485951637E-3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22.7</v>
      </c>
      <c r="DO59" s="13">
        <f>IF('Données projet'!$A$166&gt;35,DO58+DN59-DW58,IF(A59&lt;'Données projet'!$A$166,$DL$205^A59,IF(A59='Données projet'!$A$166,'Données projet'!$B$166,DO58+DN59-DW58)))</f>
        <v>425.1999999999997</v>
      </c>
      <c r="DP59" s="18">
        <f>DO59*VLOOKUP('Données projet'!$B$14,Paramètres!$A$1:$I$89,3,0)*VLOOKUP('Données projet'!$B$14,Paramètres!$A$1:$I$89,5,0)</f>
        <v>198.99359999999987</v>
      </c>
      <c r="DQ59" s="14">
        <f t="shared" si="43"/>
        <v>49.522926570252494</v>
      </c>
      <c r="DR59" s="22">
        <f t="shared" si="16"/>
        <v>432.83295044318953</v>
      </c>
      <c r="DS59" s="62">
        <f t="shared" si="17"/>
        <v>691.76276638181128</v>
      </c>
      <c r="DT59" s="62">
        <f ca="1">AVERAGE(OFFSET($DS$3,0,0,'Données projet'!$E$14+1,1))-AVERAGE(OFFSET($H$3,0,0,'Données projet'!$E$14+1,1))</f>
        <v>429.87867712133851</v>
      </c>
      <c r="DU59" s="62">
        <f t="shared" si="44"/>
        <v>182.81277865988014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0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0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4.8717948717948731</v>
      </c>
      <c r="EJ59" s="13">
        <f>IF('Données projet'!$A$192&gt;35,EJ58+EI59-ER58,IF(A59&lt;'Données projet'!$A$192,$EG$205^A59,IF(A59='Données projet'!$A$192,'Données projet'!$B$192,EJ58+EI59-ER58)))</f>
        <v>183.07692307692318</v>
      </c>
      <c r="EK59" s="18">
        <f>EJ59*VLOOKUP('Données projet'!$B$15,Paramètres!$A$1:$I$89,3,0)*VLOOKUP('Données projet'!$B$15,Paramètres!$A$1:$I$89,5,0)</f>
        <v>122.80800000000006</v>
      </c>
      <c r="EL59" s="14">
        <f t="shared" si="45"/>
        <v>32.329034931240123</v>
      </c>
      <c r="EM59" s="22">
        <f t="shared" si="19"/>
        <v>270.19700250524335</v>
      </c>
      <c r="EN59" s="62">
        <f t="shared" si="20"/>
        <v>529.12681844386509</v>
      </c>
      <c r="EO59" s="62">
        <f ca="1">AVERAGE(OFFSET($EN$3,0,0,'Données projet'!$E$15+1,1))-AVERAGE(OFFSET($H$3,0,0,'Données projet'!$E$15+1,1))</f>
        <v>296.18088377871669</v>
      </c>
      <c r="EP59" s="62">
        <f t="shared" si="46"/>
        <v>252.23833925792056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0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0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4.8717948717948731</v>
      </c>
      <c r="FE59" s="13">
        <f>IF('Données projet'!$A$218&gt;35,FE58+FD59-FM58,IF(A59&lt;'Données projet'!$A$218,$FB$205^A59,IF(A59='Données projet'!$A$218,'Données projet'!$B$218,FE58+FD59-FM58)))</f>
        <v>183.07692307692318</v>
      </c>
      <c r="FF59" s="18">
        <f>FE59*VLOOKUP('Données projet'!$B$16,Paramètres!$A$1:$I$89,3,0)*VLOOKUP('Données projet'!$B$16,Paramètres!$A$1:$I$89,5,0)</f>
        <v>157.0800000000001</v>
      </c>
      <c r="FG59" s="14">
        <f t="shared" si="47"/>
        <v>40.183196911651237</v>
      </c>
      <c r="FH59" s="22">
        <f t="shared" si="22"/>
        <v>343.56673462112605</v>
      </c>
      <c r="FI59" s="62">
        <f t="shared" si="23"/>
        <v>602.49655055974779</v>
      </c>
      <c r="FJ59" s="62">
        <f ca="1">AVERAGE(OFFSET($FI$3,0,0,'Données projet'!$E$16+1,1))-AVERAGE(OFFSET($H$3,0,0,'Données projet'!$E$16+1,1))</f>
        <v>359.20464555327072</v>
      </c>
      <c r="FK59" s="62">
        <f t="shared" si="48"/>
        <v>305.54154052071863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0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0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7.6</v>
      </c>
      <c r="N60" s="14">
        <f>IF('Données projet'!$A$36&gt;35,N59+M60-V59,IF(A60&lt;'Données projet'!$A$36,$K$205^A60,IF(A60='Données projet'!$A$36,'Données projet'!$B$36,N59+M60-V59)))</f>
        <v>212.2</v>
      </c>
      <c r="O60" s="14">
        <f>N60*VLOOKUP('Données projet'!$B$9,Paramètres!$A$1:$I$89,3,0)*VLOOKUP('Données projet'!$B$9,Paramètres!$A$1:$I$89,5,0)</f>
        <v>215.17080000000001</v>
      </c>
      <c r="P60" s="14">
        <f t="shared" si="33"/>
        <v>53.063930965723607</v>
      </c>
      <c r="Q60" s="22">
        <f t="shared" si="53"/>
        <v>467.17548976530185</v>
      </c>
      <c r="R60" s="62">
        <f t="shared" si="0"/>
        <v>726.70212981597956</v>
      </c>
      <c r="S60" s="62">
        <f ca="1">AVERAGE(OFFSET($R$3,0,0,'Données projet'!$E$9+1,1))-AVERAGE(OFFSET($H$3,0,0,'Données projet'!$E$9+1,1))</f>
        <v>516.30971934066179</v>
      </c>
      <c r="T60" s="62">
        <f t="shared" si="34"/>
        <v>290.84286505723571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212.2</v>
      </c>
      <c r="AJ60" s="14">
        <f>AI60*VLOOKUP('Données projet'!$B$10,Paramètres!$A$1:$I$89,3,0)*VLOOKUP('Données projet'!$B$10,Paramètres!$A$1:$I$89,5,0)</f>
        <v>228.41207999999997</v>
      </c>
      <c r="AK60" s="14">
        <f t="shared" si="35"/>
        <v>55.939197785226767</v>
      </c>
      <c r="AL60" s="22">
        <f t="shared" si="4"/>
        <v>495.24514214260324</v>
      </c>
      <c r="AM60" s="62">
        <f t="shared" si="5"/>
        <v>754.77178219328096</v>
      </c>
      <c r="AN60" s="62">
        <f ca="1">AVERAGE(OFFSET($AM$3,0,0,'Données projet'!$E$10+1,1))-AVERAGE(OFFSET($H$3,0,0,'Données projet'!$E$10+1,1))</f>
        <v>542.90832990875208</v>
      </c>
      <c r="AO60" s="62">
        <f t="shared" si="36"/>
        <v>304.94365539329362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212.2</v>
      </c>
      <c r="BE60" s="14">
        <f>BD60*VLOOKUP('Données projet'!$B$11,Paramètres!$A$1:$I$89,3,0)*VLOOKUP('Données projet'!$B$11,Paramètres!$A$1:$I$89,5,0)</f>
        <v>205.23983999999999</v>
      </c>
      <c r="BF60" s="14">
        <f t="shared" si="37"/>
        <v>50.893986960458122</v>
      </c>
      <c r="BG60" s="22">
        <f t="shared" si="7"/>
        <v>446.0997486227979</v>
      </c>
      <c r="BH60" s="62">
        <f t="shared" si="8"/>
        <v>705.62638867347562</v>
      </c>
      <c r="BI60" s="62">
        <f ca="1">AVERAGE(OFFSET($BH$3,0,0,'Données projet'!$E$11+1,1))-AVERAGE(OFFSET($H$3,0,0,'Données projet'!$E$11+1,1))</f>
        <v>496.33873798282525</v>
      </c>
      <c r="BJ60" s="62">
        <f t="shared" si="38"/>
        <v>280.25465074992246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4.0600000000000023</v>
      </c>
      <c r="BY60" s="13">
        <f>IF('Données projet'!$A$114&gt;35,BY59+BX60-CG59,IF(A60&lt;'Données projet'!$A$114,$BV$205^A60,IF(A60='Données projet'!$A$114,'Données projet'!$B$114,BY59+BX60-CG59)))</f>
        <v>182.32000000000016</v>
      </c>
      <c r="BZ60" s="14">
        <f>BY60*VLOOKUP('Données projet'!$B$12,Paramètres!$A$1:$I$89,3,0)*VLOOKUP('Données projet'!$B$12,Paramètres!$A$1:$I$89,5,0)</f>
        <v>159.27475200000015</v>
      </c>
      <c r="CA60" s="14">
        <f t="shared" si="39"/>
        <v>40.678890468597814</v>
      </c>
      <c r="CB60" s="22">
        <f t="shared" si="10"/>
        <v>348.25259396614143</v>
      </c>
      <c r="CC60" s="62">
        <f t="shared" si="11"/>
        <v>607.77923401681915</v>
      </c>
      <c r="CD60" s="62">
        <f ca="1">AVERAGE(OFFSET($CC$3,0,0,'Données projet'!$E$12+1,1))-AVERAGE(OFFSET($H$3,0,0,'Données projet'!$E$12+1,1))</f>
        <v>298.28891728374822</v>
      </c>
      <c r="CE60" s="62">
        <f t="shared" si="40"/>
        <v>275.07405533331371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15.7</v>
      </c>
      <c r="CT60" s="13">
        <f>IF('Données projet'!$A$140&gt;35,CT59+CS60-DB59,IF(A60&lt;'Données projet'!$A$140,$CQ$205^A60,IF(A60='Données projet'!$A$140,'Données projet'!$B$140,CT59+CS60-DB59)))</f>
        <v>345.90000000000003</v>
      </c>
      <c r="CU60" s="18">
        <f>CT60*VLOOKUP('Données projet'!$B$13,Paramètres!$A$1:$I$89,3,0)*VLOOKUP('Données projet'!$B$13,Paramètres!$A$1:$I$89,5,0)</f>
        <v>206.84820000000005</v>
      </c>
      <c r="CV60" s="14">
        <f t="shared" si="41"/>
        <v>51.246233092829954</v>
      </c>
      <c r="CW60" s="22">
        <f t="shared" si="13"/>
        <v>449.51447097001227</v>
      </c>
      <c r="CX60" s="62">
        <f t="shared" si="14"/>
        <v>709.04111102068998</v>
      </c>
      <c r="CY60" s="62">
        <f ca="1">AVERAGE(OFFSET($CX$3,0,0,'Données projet'!$E$13+1,1))-AVERAGE(OFFSET($H$3,0,0,'Données projet'!$E$13+1,1))</f>
        <v>320.46614113586043</v>
      </c>
      <c r="CZ60" s="62">
        <f t="shared" si="42"/>
        <v>250.7806929924491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0</v>
      </c>
      <c r="DG60" s="23">
        <f>EXP(-LN(2)/25)*DG59+(1-EXP(-LN(2)/25))/(LN(2)/25)*Calculateur!DB60*Calculateur!DD60*VLOOKUP('Données projet'!$B$13,Paramètres!$A$1:$I$89,3,0)*0.475*44/12</f>
        <v>0</v>
      </c>
      <c r="DH60" s="23">
        <f>EXP(-LN(2)/2)*DH59+(1-EXP(-LN(2)/2))/(LN(2)/2)*DB60*DE60*VLOOKUP('Données projet'!$B$13,Paramètres!$A$1:$I$89,3,0)*0.475*44/12</f>
        <v>8.1820064478344825E-4</v>
      </c>
      <c r="DI60" s="24">
        <f t="shared" si="15"/>
        <v>8.1820064478344825E-4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22.7</v>
      </c>
      <c r="DO60" s="13">
        <f>IF('Données projet'!$A$166&gt;35,DO59+DN60-DW59,IF(A60&lt;'Données projet'!$A$166,$DL$205^A60,IF(A60='Données projet'!$A$166,'Données projet'!$B$166,DO59+DN60-DW59)))</f>
        <v>447.89999999999969</v>
      </c>
      <c r="DP60" s="18">
        <f>DO60*VLOOKUP('Données projet'!$B$14,Paramètres!$A$1:$I$89,3,0)*VLOOKUP('Données projet'!$B$14,Paramètres!$A$1:$I$89,5,0)</f>
        <v>209.61719999999985</v>
      </c>
      <c r="DQ60" s="14">
        <f t="shared" si="43"/>
        <v>51.851925386563117</v>
      </c>
      <c r="DR60" s="22">
        <f t="shared" si="16"/>
        <v>455.39206004826383</v>
      </c>
      <c r="DS60" s="62">
        <f t="shared" si="17"/>
        <v>714.9187000989416</v>
      </c>
      <c r="DT60" s="62">
        <f ca="1">AVERAGE(OFFSET($DS$3,0,0,'Données projet'!$E$14+1,1))-AVERAGE(OFFSET($H$3,0,0,'Données projet'!$E$14+1,1))</f>
        <v>429.87867712133851</v>
      </c>
      <c r="DU60" s="62">
        <f t="shared" si="44"/>
        <v>182.81277865988014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0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0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4.8717948717948731</v>
      </c>
      <c r="EJ60" s="13">
        <f>IF('Données projet'!$A$192&gt;35,EJ59+EI60-ER59,IF(A60&lt;'Données projet'!$A$192,$EG$205^A60,IF(A60='Données projet'!$A$192,'Données projet'!$B$192,EJ59+EI60-ER59)))</f>
        <v>187.94871794871804</v>
      </c>
      <c r="EK60" s="18">
        <f>EJ60*VLOOKUP('Données projet'!$B$15,Paramètres!$A$1:$I$89,3,0)*VLOOKUP('Données projet'!$B$15,Paramètres!$A$1:$I$89,5,0)</f>
        <v>126.07600000000006</v>
      </c>
      <c r="EL60" s="14">
        <f t="shared" si="45"/>
        <v>33.088027082698986</v>
      </c>
      <c r="EM60" s="22">
        <f t="shared" si="19"/>
        <v>277.2106805023675</v>
      </c>
      <c r="EN60" s="62">
        <f t="shared" si="20"/>
        <v>536.73732055304527</v>
      </c>
      <c r="EO60" s="62">
        <f ca="1">AVERAGE(OFFSET($EN$3,0,0,'Données projet'!$E$15+1,1))-AVERAGE(OFFSET($H$3,0,0,'Données projet'!$E$15+1,1))</f>
        <v>296.18088377871669</v>
      </c>
      <c r="EP60" s="62">
        <f t="shared" si="46"/>
        <v>252.23833925792056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0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0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4.8717948717948731</v>
      </c>
      <c r="FE60" s="13">
        <f>IF('Données projet'!$A$218&gt;35,FE59+FD60-FM59,IF(A60&lt;'Données projet'!$A$218,$FB$205^A60,IF(A60='Données projet'!$A$218,'Données projet'!$B$218,FE59+FD60-FM59)))</f>
        <v>187.94871794871804</v>
      </c>
      <c r="FF60" s="18">
        <f>FE60*VLOOKUP('Données projet'!$B$16,Paramètres!$A$1:$I$89,3,0)*VLOOKUP('Données projet'!$B$16,Paramètres!$A$1:$I$89,5,0)</f>
        <v>161.2600000000001</v>
      </c>
      <c r="FG60" s="14">
        <f t="shared" si="47"/>
        <v>41.126582049541568</v>
      </c>
      <c r="FH60" s="22">
        <f t="shared" si="22"/>
        <v>352.48996373628512</v>
      </c>
      <c r="FI60" s="62">
        <f t="shared" si="23"/>
        <v>612.01660378696283</v>
      </c>
      <c r="FJ60" s="62">
        <f ca="1">AVERAGE(OFFSET($FI$3,0,0,'Données projet'!$E$16+1,1))-AVERAGE(OFFSET($H$3,0,0,'Données projet'!$E$16+1,1))</f>
        <v>359.20464555327072</v>
      </c>
      <c r="FK60" s="62">
        <f t="shared" si="48"/>
        <v>305.54154052071863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0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0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7.6</v>
      </c>
      <c r="N61" s="14">
        <f>IF('Données projet'!$A$36&gt;35,N60+M61-V60,IF(A61&lt;'Données projet'!$A$36,$K$205^A61,IF(A61='Données projet'!$A$36,'Données projet'!$B$36,N60+M61-V60)))</f>
        <v>219.79999999999998</v>
      </c>
      <c r="O61" s="14">
        <f>N61*VLOOKUP('Données projet'!$B$9,Paramètres!$A$1:$I$89,3,0)*VLOOKUP('Données projet'!$B$9,Paramètres!$A$1:$I$89,5,0)</f>
        <v>222.87720000000002</v>
      </c>
      <c r="P61" s="14">
        <f t="shared" si="33"/>
        <v>54.739757243913829</v>
      </c>
      <c r="Q61" s="22">
        <f t="shared" si="53"/>
        <v>483.51620053314986</v>
      </c>
      <c r="R61" s="62">
        <f t="shared" si="0"/>
        <v>743.62931113183822</v>
      </c>
      <c r="S61" s="62">
        <f ca="1">AVERAGE(OFFSET($R$3,0,0,'Données projet'!$E$9+1,1))-AVERAGE(OFFSET($H$3,0,0,'Données projet'!$E$9+1,1))</f>
        <v>516.30971934066179</v>
      </c>
      <c r="T61" s="62">
        <f t="shared" si="34"/>
        <v>290.84286505723571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219.79999999999998</v>
      </c>
      <c r="AJ61" s="14">
        <f>AI61*VLOOKUP('Données projet'!$B$10,Paramètres!$A$1:$I$89,3,0)*VLOOKUP('Données projet'!$B$10,Paramètres!$A$1:$I$89,5,0)</f>
        <v>236.59271999999999</v>
      </c>
      <c r="AK61" s="14">
        <f t="shared" si="35"/>
        <v>57.705828638299394</v>
      </c>
      <c r="AL61" s="22">
        <f t="shared" si="4"/>
        <v>512.56997221170479</v>
      </c>
      <c r="AM61" s="62">
        <f t="shared" si="5"/>
        <v>772.68308281039322</v>
      </c>
      <c r="AN61" s="62">
        <f ca="1">AVERAGE(OFFSET($AM$3,0,0,'Données projet'!$E$10+1,1))-AVERAGE(OFFSET($H$3,0,0,'Données projet'!$E$10+1,1))</f>
        <v>542.90832990875208</v>
      </c>
      <c r="AO61" s="62">
        <f t="shared" si="36"/>
        <v>304.94365539329362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219.79999999999998</v>
      </c>
      <c r="BE61" s="14">
        <f>BD61*VLOOKUP('Données projet'!$B$11,Paramètres!$A$1:$I$89,3,0)*VLOOKUP('Données projet'!$B$11,Paramètres!$A$1:$I$89,5,0)</f>
        <v>212.59055999999998</v>
      </c>
      <c r="BF61" s="14">
        <f t="shared" si="37"/>
        <v>52.501283653296404</v>
      </c>
      <c r="BG61" s="22">
        <f t="shared" si="7"/>
        <v>461.70162769615786</v>
      </c>
      <c r="BH61" s="62">
        <f t="shared" si="8"/>
        <v>721.81473829484628</v>
      </c>
      <c r="BI61" s="62">
        <f ca="1">AVERAGE(OFFSET($BH$3,0,0,'Données projet'!$E$11+1,1))-AVERAGE(OFFSET($H$3,0,0,'Données projet'!$E$11+1,1))</f>
        <v>496.33873798282525</v>
      </c>
      <c r="BJ61" s="62">
        <f t="shared" si="38"/>
        <v>280.25465074992246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4.0600000000000023</v>
      </c>
      <c r="BY61" s="13">
        <f>IF('Données projet'!$A$114&gt;35,BY60+BX61-CG60,IF(A61&lt;'Données projet'!$A$114,$BV$205^A61,IF(A61='Données projet'!$A$114,'Données projet'!$B$114,BY60+BX61-CG60)))</f>
        <v>186.38000000000017</v>
      </c>
      <c r="BZ61" s="14">
        <f>BY61*VLOOKUP('Données projet'!$B$12,Paramètres!$A$1:$I$89,3,0)*VLOOKUP('Données projet'!$B$12,Paramètres!$A$1:$I$89,5,0)</f>
        <v>162.82156800000016</v>
      </c>
      <c r="CA61" s="14">
        <f t="shared" si="39"/>
        <v>41.47827901290183</v>
      </c>
      <c r="CB61" s="22">
        <f t="shared" si="10"/>
        <v>355.82223354747094</v>
      </c>
      <c r="CC61" s="62">
        <f t="shared" si="11"/>
        <v>615.93534414615942</v>
      </c>
      <c r="CD61" s="62">
        <f ca="1">AVERAGE(OFFSET($CC$3,0,0,'Données projet'!$E$12+1,1))-AVERAGE(OFFSET($H$3,0,0,'Données projet'!$E$12+1,1))</f>
        <v>298.28891728374822</v>
      </c>
      <c r="CE61" s="62">
        <f t="shared" si="40"/>
        <v>275.07405533331371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15.7</v>
      </c>
      <c r="CT61" s="13">
        <f>IF('Données projet'!$A$140&gt;35,CT60+CS61-DB60,IF(A61&lt;'Données projet'!$A$140,$CQ$205^A61,IF(A61='Données projet'!$A$140,'Données projet'!$B$140,CT60+CS61-DB60)))</f>
        <v>361.6</v>
      </c>
      <c r="CU61" s="18">
        <f>CT61*VLOOKUP('Données projet'!$B$13,Paramètres!$A$1:$I$89,3,0)*VLOOKUP('Données projet'!$B$13,Paramètres!$A$1:$I$89,5,0)</f>
        <v>216.23680000000002</v>
      </c>
      <c r="CV61" s="14">
        <f t="shared" si="41"/>
        <v>53.296153300267918</v>
      </c>
      <c r="CW61" s="22">
        <f t="shared" si="13"/>
        <v>469.43656033129997</v>
      </c>
      <c r="CX61" s="62">
        <f t="shared" si="14"/>
        <v>729.54967092998845</v>
      </c>
      <c r="CY61" s="62">
        <f ca="1">AVERAGE(OFFSET($CX$3,0,0,'Données projet'!$E$13+1,1))-AVERAGE(OFFSET($H$3,0,0,'Données projet'!$E$13+1,1))</f>
        <v>320.46614113586043</v>
      </c>
      <c r="CZ61" s="62">
        <f t="shared" si="42"/>
        <v>250.7806929924491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0</v>
      </c>
      <c r="DG61" s="23">
        <f>EXP(-LN(2)/25)*DG60+(1-EXP(-LN(2)/25))/(LN(2)/25)*Calculateur!DB61*Calculateur!DD61*VLOOKUP('Données projet'!$B$13,Paramètres!$A$1:$I$89,3,0)*0.475*44/12</f>
        <v>0</v>
      </c>
      <c r="DH61" s="23">
        <f>EXP(-LN(2)/2)*DH60+(1-EXP(-LN(2)/2))/(LN(2)/2)*DB61*DE61*VLOOKUP('Données projet'!$B$13,Paramètres!$A$1:$I$89,3,0)*0.475*44/12</f>
        <v>5.7855522429758183E-4</v>
      </c>
      <c r="DI61" s="24">
        <f t="shared" si="15"/>
        <v>5.7855522429758183E-4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22.7</v>
      </c>
      <c r="DO61" s="13">
        <f>IF('Données projet'!$A$166&gt;35,DO60+DN61-DW60,IF(A61&lt;'Données projet'!$A$166,$DL$205^A61,IF(A61='Données projet'!$A$166,'Données projet'!$B$166,DO60+DN61-DW60)))</f>
        <v>470.59999999999968</v>
      </c>
      <c r="DP61" s="18">
        <f>DO61*VLOOKUP('Données projet'!$B$14,Paramètres!$A$1:$I$89,3,0)*VLOOKUP('Données projet'!$B$14,Paramètres!$A$1:$I$89,5,0)</f>
        <v>220.24079999999987</v>
      </c>
      <c r="DQ61" s="14">
        <f t="shared" si="43"/>
        <v>54.167219078226751</v>
      </c>
      <c r="DR61" s="22">
        <f t="shared" si="16"/>
        <v>477.92729989457803</v>
      </c>
      <c r="DS61" s="62">
        <f t="shared" si="17"/>
        <v>738.04041049326645</v>
      </c>
      <c r="DT61" s="62">
        <f ca="1">AVERAGE(OFFSET($DS$3,0,0,'Données projet'!$E$14+1,1))-AVERAGE(OFFSET($H$3,0,0,'Données projet'!$E$14+1,1))</f>
        <v>429.87867712133851</v>
      </c>
      <c r="DU61" s="62">
        <f t="shared" si="44"/>
        <v>182.81277865988014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0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0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4.8717948717948731</v>
      </c>
      <c r="EJ61" s="13">
        <f>IF('Données projet'!$A$192&gt;35,EJ60+EI61-ER60,IF(A61&lt;'Données projet'!$A$192,$EG$205^A61,IF(A61='Données projet'!$A$192,'Données projet'!$B$192,EJ60+EI61-ER60)))</f>
        <v>192.8205128205129</v>
      </c>
      <c r="EK61" s="18">
        <f>EJ61*VLOOKUP('Données projet'!$B$15,Paramètres!$A$1:$I$89,3,0)*VLOOKUP('Données projet'!$B$15,Paramètres!$A$1:$I$89,5,0)</f>
        <v>129.34400000000005</v>
      </c>
      <c r="EL61" s="14">
        <f t="shared" si="45"/>
        <v>33.844732391528566</v>
      </c>
      <c r="EM61" s="22">
        <f t="shared" si="19"/>
        <v>284.22037558191232</v>
      </c>
      <c r="EN61" s="62">
        <f t="shared" si="20"/>
        <v>544.33348618060074</v>
      </c>
      <c r="EO61" s="62">
        <f ca="1">AVERAGE(OFFSET($EN$3,0,0,'Données projet'!$E$15+1,1))-AVERAGE(OFFSET($H$3,0,0,'Données projet'!$E$15+1,1))</f>
        <v>296.18088377871669</v>
      </c>
      <c r="EP61" s="62">
        <f t="shared" si="46"/>
        <v>252.23833925792056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0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0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4.8717948717948731</v>
      </c>
      <c r="FE61" s="13">
        <f>IF('Données projet'!$A$218&gt;35,FE60+FD61-FM60,IF(A61&lt;'Données projet'!$A$218,$FB$205^A61,IF(A61='Données projet'!$A$218,'Données projet'!$B$218,FE60+FD61-FM60)))</f>
        <v>192.8205128205129</v>
      </c>
      <c r="FF61" s="18">
        <f>FE61*VLOOKUP('Données projet'!$B$16,Paramètres!$A$1:$I$89,3,0)*VLOOKUP('Données projet'!$B$16,Paramètres!$A$1:$I$89,5,0)</f>
        <v>165.44000000000008</v>
      </c>
      <c r="FG61" s="14">
        <f t="shared" si="47"/>
        <v>42.067124768910162</v>
      </c>
      <c r="FH61" s="22">
        <f t="shared" si="22"/>
        <v>361.40824230585196</v>
      </c>
      <c r="FI61" s="62">
        <f t="shared" si="23"/>
        <v>621.52135290454044</v>
      </c>
      <c r="FJ61" s="62">
        <f ca="1">AVERAGE(OFFSET($FI$3,0,0,'Données projet'!$E$16+1,1))-AVERAGE(OFFSET($H$3,0,0,'Données projet'!$E$16+1,1))</f>
        <v>359.20464555327072</v>
      </c>
      <c r="FK61" s="62">
        <f t="shared" si="48"/>
        <v>305.54154052071863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0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0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7.6</v>
      </c>
      <c r="N62" s="14">
        <f>IF('Données projet'!$A$36&gt;35,N61+M62-V61,IF(A62&lt;'Données projet'!$A$36,$K$205^A62,IF(A62='Données projet'!$A$36,'Données projet'!$B$36,N61+M62-V61)))</f>
        <v>227.39999999999998</v>
      </c>
      <c r="O62" s="14">
        <f>N62*VLOOKUP('Données projet'!$B$9,Paramètres!$A$1:$I$89,3,0)*VLOOKUP('Données projet'!$B$9,Paramètres!$A$1:$I$89,5,0)</f>
        <v>230.58360000000002</v>
      </c>
      <c r="P62" s="14">
        <f t="shared" si="33"/>
        <v>56.408850878327968</v>
      </c>
      <c r="Q62" s="22">
        <f t="shared" si="53"/>
        <v>499.8451852797545</v>
      </c>
      <c r="R62" s="62">
        <f t="shared" si="0"/>
        <v>760.53459247359729</v>
      </c>
      <c r="S62" s="62">
        <f ca="1">AVERAGE(OFFSET($R$3,0,0,'Données projet'!$E$9+1,1))-AVERAGE(OFFSET($H$3,0,0,'Données projet'!$E$9+1,1))</f>
        <v>516.30971934066179</v>
      </c>
      <c r="T62" s="62">
        <f t="shared" si="34"/>
        <v>290.84286505723571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227.39999999999998</v>
      </c>
      <c r="AJ62" s="14">
        <f>AI62*VLOOKUP('Données projet'!$B$10,Paramètres!$A$1:$I$89,3,0)*VLOOKUP('Données projet'!$B$10,Paramètres!$A$1:$I$89,5,0)</f>
        <v>244.77335999999997</v>
      </c>
      <c r="AK62" s="14">
        <f t="shared" si="35"/>
        <v>59.465362039582196</v>
      </c>
      <c r="AL62" s="22">
        <f t="shared" si="4"/>
        <v>529.88244088560566</v>
      </c>
      <c r="AM62" s="62">
        <f t="shared" si="5"/>
        <v>790.5718480794485</v>
      </c>
      <c r="AN62" s="62">
        <f ca="1">AVERAGE(OFFSET($AM$3,0,0,'Données projet'!$E$10+1,1))-AVERAGE(OFFSET($H$3,0,0,'Données projet'!$E$10+1,1))</f>
        <v>542.90832990875208</v>
      </c>
      <c r="AO62" s="62">
        <f t="shared" si="36"/>
        <v>304.94365539329362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227.39999999999998</v>
      </c>
      <c r="BE62" s="14">
        <f>BD62*VLOOKUP('Données projet'!$B$11,Paramètres!$A$1:$I$89,3,0)*VLOOKUP('Données projet'!$B$11,Paramètres!$A$1:$I$89,5,0)</f>
        <v>219.94127999999995</v>
      </c>
      <c r="BF62" s="14">
        <f t="shared" si="37"/>
        <v>54.102123020446285</v>
      </c>
      <c r="BG62" s="22">
        <f t="shared" si="7"/>
        <v>477.29226026061059</v>
      </c>
      <c r="BH62" s="62">
        <f t="shared" si="8"/>
        <v>737.98166745445337</v>
      </c>
      <c r="BI62" s="62">
        <f ca="1">AVERAGE(OFFSET($BH$3,0,0,'Données projet'!$E$11+1,1))-AVERAGE(OFFSET($H$3,0,0,'Données projet'!$E$11+1,1))</f>
        <v>496.33873798282525</v>
      </c>
      <c r="BJ62" s="62">
        <f t="shared" si="38"/>
        <v>280.25465074992246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4.0600000000000023</v>
      </c>
      <c r="BY62" s="13">
        <f>IF('Données projet'!$A$114&gt;35,BY61+BX62-CG61,IF(A62&lt;'Données projet'!$A$114,$BV$205^A62,IF(A62='Données projet'!$A$114,'Données projet'!$B$114,BY61+BX62-CG61)))</f>
        <v>190.44000000000017</v>
      </c>
      <c r="BZ62" s="14">
        <f>BY62*VLOOKUP('Données projet'!$B$12,Paramètres!$A$1:$I$89,3,0)*VLOOKUP('Données projet'!$B$12,Paramètres!$A$1:$I$89,5,0)</f>
        <v>166.36838400000016</v>
      </c>
      <c r="CA62" s="14">
        <f t="shared" si="39"/>
        <v>42.275643030773502</v>
      </c>
      <c r="CB62" s="22">
        <f t="shared" si="10"/>
        <v>363.38834707859746</v>
      </c>
      <c r="CC62" s="62">
        <f t="shared" si="11"/>
        <v>624.07775427244019</v>
      </c>
      <c r="CD62" s="62">
        <f ca="1">AVERAGE(OFFSET($CC$3,0,0,'Données projet'!$E$12+1,1))-AVERAGE(OFFSET($H$3,0,0,'Données projet'!$E$12+1,1))</f>
        <v>298.28891728374822</v>
      </c>
      <c r="CE62" s="62">
        <f t="shared" si="40"/>
        <v>275.07405533331371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15.7</v>
      </c>
      <c r="CT62" s="13">
        <f>IF('Données projet'!$A$140&gt;35,CT61+CS62-DB61,IF(A62&lt;'Données projet'!$A$140,$CQ$205^A62,IF(A62='Données projet'!$A$140,'Données projet'!$B$140,CT61+CS62-DB61)))</f>
        <v>377.3</v>
      </c>
      <c r="CU62" s="18">
        <f>CT62*VLOOKUP('Données projet'!$B$13,Paramètres!$A$1:$I$89,3,0)*VLOOKUP('Données projet'!$B$13,Paramètres!$A$1:$I$89,5,0)</f>
        <v>225.62540000000004</v>
      </c>
      <c r="CV62" s="14">
        <f t="shared" si="41"/>
        <v>55.335736179321074</v>
      </c>
      <c r="CW62" s="22">
        <f t="shared" si="13"/>
        <v>489.34064551231751</v>
      </c>
      <c r="CX62" s="62">
        <f t="shared" si="14"/>
        <v>750.03005270616029</v>
      </c>
      <c r="CY62" s="62">
        <f ca="1">AVERAGE(OFFSET($CX$3,0,0,'Données projet'!$E$13+1,1))-AVERAGE(OFFSET($H$3,0,0,'Données projet'!$E$13+1,1))</f>
        <v>320.46614113586043</v>
      </c>
      <c r="CZ62" s="62">
        <f t="shared" si="42"/>
        <v>250.7806929924491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0</v>
      </c>
      <c r="DG62" s="23">
        <f>EXP(-LN(2)/25)*DG61+(1-EXP(-LN(2)/25))/(LN(2)/25)*Calculateur!DB62*Calculateur!DD62*VLOOKUP('Données projet'!$B$13,Paramètres!$A$1:$I$89,3,0)*0.475*44/12</f>
        <v>0</v>
      </c>
      <c r="DH62" s="23">
        <f>EXP(-LN(2)/2)*DH61+(1-EXP(-LN(2)/2))/(LN(2)/2)*DB62*DE62*VLOOKUP('Données projet'!$B$13,Paramètres!$A$1:$I$89,3,0)*0.475*44/12</f>
        <v>4.0910032239172413E-4</v>
      </c>
      <c r="DI62" s="24">
        <f t="shared" si="15"/>
        <v>4.0910032239172413E-4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22.7</v>
      </c>
      <c r="DO62" s="13">
        <f>IF('Données projet'!$A$166&gt;35,DO61+DN62-DW61,IF(A62&lt;'Données projet'!$A$166,$DL$205^A62,IF(A62='Données projet'!$A$166,'Données projet'!$B$166,DO61+DN62-DW61)))</f>
        <v>493.29999999999967</v>
      </c>
      <c r="DP62" s="18">
        <f>DO62*VLOOKUP('Données projet'!$B$14,Paramètres!$A$1:$I$89,3,0)*VLOOKUP('Données projet'!$B$14,Paramètres!$A$1:$I$89,5,0)</f>
        <v>230.86439999999985</v>
      </c>
      <c r="DQ62" s="14">
        <f t="shared" si="43"/>
        <v>56.469544196332308</v>
      </c>
      <c r="DR62" s="22">
        <f t="shared" si="16"/>
        <v>500.43995280861185</v>
      </c>
      <c r="DS62" s="62">
        <f t="shared" si="17"/>
        <v>761.12936000245463</v>
      </c>
      <c r="DT62" s="62">
        <f ca="1">AVERAGE(OFFSET($DS$3,0,0,'Données projet'!$E$14+1,1))-AVERAGE(OFFSET($H$3,0,0,'Données projet'!$E$14+1,1))</f>
        <v>429.87867712133851</v>
      </c>
      <c r="DU62" s="62">
        <f t="shared" si="44"/>
        <v>182.81277865988014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0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0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4.8717948717948731</v>
      </c>
      <c r="EJ62" s="13">
        <f>IF('Données projet'!$A$192&gt;35,EJ61+EI62-ER61,IF(A62&lt;'Données projet'!$A$192,$EG$205^A62,IF(A62='Données projet'!$A$192,'Données projet'!$B$192,EJ61+EI62-ER61)))</f>
        <v>197.69230769230776</v>
      </c>
      <c r="EK62" s="18">
        <f>EJ62*VLOOKUP('Données projet'!$B$15,Paramètres!$A$1:$I$89,3,0)*VLOOKUP('Données projet'!$B$15,Paramètres!$A$1:$I$89,5,0)</f>
        <v>132.61200000000005</v>
      </c>
      <c r="EL62" s="14">
        <f t="shared" si="45"/>
        <v>34.599215281612565</v>
      </c>
      <c r="EM62" s="22">
        <f t="shared" si="19"/>
        <v>291.22619994880864</v>
      </c>
      <c r="EN62" s="62">
        <f t="shared" si="20"/>
        <v>551.91560714265142</v>
      </c>
      <c r="EO62" s="62">
        <f ca="1">AVERAGE(OFFSET($EN$3,0,0,'Données projet'!$E$15+1,1))-AVERAGE(OFFSET($H$3,0,0,'Données projet'!$E$15+1,1))</f>
        <v>296.18088377871669</v>
      </c>
      <c r="EP62" s="62">
        <f t="shared" si="46"/>
        <v>252.23833925792056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0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0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4.8717948717948731</v>
      </c>
      <c r="FE62" s="13">
        <f>IF('Données projet'!$A$218&gt;35,FE61+FD62-FM61,IF(A62&lt;'Données projet'!$A$218,$FB$205^A62,IF(A62='Données projet'!$A$218,'Données projet'!$B$218,FE61+FD62-FM61)))</f>
        <v>197.69230769230776</v>
      </c>
      <c r="FF62" s="18">
        <f>FE62*VLOOKUP('Données projet'!$B$16,Paramètres!$A$1:$I$89,3,0)*VLOOKUP('Données projet'!$B$16,Paramètres!$A$1:$I$89,5,0)</f>
        <v>169.62000000000009</v>
      </c>
      <c r="FG62" s="14">
        <f t="shared" si="47"/>
        <v>43.004905145070396</v>
      </c>
      <c r="FH62" s="22">
        <f t="shared" si="22"/>
        <v>370.32170979433113</v>
      </c>
      <c r="FI62" s="62">
        <f t="shared" si="23"/>
        <v>631.01111698817385</v>
      </c>
      <c r="FJ62" s="62">
        <f ca="1">AVERAGE(OFFSET($FI$3,0,0,'Données projet'!$E$16+1,1))-AVERAGE(OFFSET($H$3,0,0,'Données projet'!$E$16+1,1))</f>
        <v>359.20464555327072</v>
      </c>
      <c r="FK62" s="62">
        <f t="shared" si="48"/>
        <v>305.54154052071863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0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0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235</v>
      </c>
      <c r="L63" s="13">
        <f>VLOOKUP(A63,'Données projet'!$A$35:$I$55,9,0)</f>
        <v>7.6</v>
      </c>
      <c r="M63" s="13">
        <f t="array" ref="M63">INDEX(L:L,MIN(IF(ISNUMBER(L63:L259),ROW(L63:L259),"")))</f>
        <v>7.6</v>
      </c>
      <c r="N63" s="14">
        <f>IF('Données projet'!$A$36&gt;35,N62+M63-V62,IF(A63&lt;'Données projet'!$A$36,$K$205^A63,IF(A63='Données projet'!$A$36,'Données projet'!$B$36,N62+M63-V62)))</f>
        <v>234.99999999999997</v>
      </c>
      <c r="O63" s="14">
        <f>N63*VLOOKUP('Données projet'!$B$9,Paramètres!$A$1:$I$89,3,0)*VLOOKUP('Données projet'!$B$9,Paramètres!$A$1:$I$89,5,0)</f>
        <v>238.29000000000002</v>
      </c>
      <c r="P63" s="14">
        <f t="shared" si="33"/>
        <v>58.071462681001513</v>
      </c>
      <c r="Q63" s="22">
        <f t="shared" si="53"/>
        <v>516.16288083607753</v>
      </c>
      <c r="R63" s="62">
        <f t="shared" si="0"/>
        <v>777.41858716755496</v>
      </c>
      <c r="S63" s="62">
        <f ca="1">AVERAGE(OFFSET($R$3,0,0,'Données projet'!$E$9+1,1))-AVERAGE(OFFSET($H$3,0,0,'Données projet'!$E$9+1,1))</f>
        <v>516.30971934066179</v>
      </c>
      <c r="T63" s="62">
        <f t="shared" si="34"/>
        <v>290.84286505723571</v>
      </c>
      <c r="U63" s="16">
        <f>IF(ISNA(VLOOKUP(A63,'Données projet'!$A$35:$I$55,3,0)),0,VLOOKUP(A63,'Données projet'!$A$35:$I$55,3,0))</f>
        <v>4</v>
      </c>
      <c r="V63" s="16">
        <f>IF(ISNA(VLOOKUP(A63,'Données projet'!$A$35:$I$55,4,0)),0,VLOOKUP(A63,'Données projet'!$A$35:$I$55,4,0))</f>
        <v>42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235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234.99999999999997</v>
      </c>
      <c r="AJ63" s="14">
        <f>AI63*VLOOKUP('Données projet'!$B$10,Paramètres!$A$1:$I$89,3,0)*VLOOKUP('Données projet'!$B$10,Paramètres!$A$1:$I$89,5,0)</f>
        <v>252.95399999999998</v>
      </c>
      <c r="AK63" s="14">
        <f t="shared" si="35"/>
        <v>61.218062391350081</v>
      </c>
      <c r="AL63" s="22">
        <f t="shared" si="4"/>
        <v>547.18300866493462</v>
      </c>
      <c r="AM63" s="62">
        <f t="shared" si="5"/>
        <v>808.43871499641205</v>
      </c>
      <c r="AN63" s="62">
        <f ca="1">AVERAGE(OFFSET($AM$3,0,0,'Données projet'!$E$10+1,1))-AVERAGE(OFFSET($H$3,0,0,'Données projet'!$E$10+1,1))</f>
        <v>542.90832990875208</v>
      </c>
      <c r="AO63" s="62">
        <f t="shared" si="36"/>
        <v>304.94365539329362</v>
      </c>
      <c r="AP63" s="16">
        <f>IF(ISNA(VLOOKUP(A63,'Données projet'!$A$61:$I$81,3,0)),0,VLOOKUP(A63,'Données projet'!$A$61:$I$81,3,0))</f>
        <v>4</v>
      </c>
      <c r="AQ63" s="16">
        <f>IF(ISNA(VLOOKUP(A63,'Données projet'!$A$61:$I$81,4,0)),0,VLOOKUP(A63,'Données projet'!$A$61:$I$81,4,0))</f>
        <v>42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235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234.99999999999997</v>
      </c>
      <c r="BE63" s="14">
        <f>BD63*VLOOKUP('Données projet'!$B$11,Paramètres!$A$1:$I$89,3,0)*VLOOKUP('Données projet'!$B$11,Paramètres!$A$1:$I$89,5,0)</f>
        <v>227.292</v>
      </c>
      <c r="BF63" s="14">
        <f t="shared" si="37"/>
        <v>55.6967456174837</v>
      </c>
      <c r="BG63" s="22">
        <f t="shared" si="7"/>
        <v>492.87206528378402</v>
      </c>
      <c r="BH63" s="62">
        <f t="shared" si="8"/>
        <v>754.12777161526151</v>
      </c>
      <c r="BI63" s="62">
        <f ca="1">AVERAGE(OFFSET($BH$3,0,0,'Données projet'!$E$11+1,1))-AVERAGE(OFFSET($H$3,0,0,'Données projet'!$E$11+1,1))</f>
        <v>496.33873798282525</v>
      </c>
      <c r="BJ63" s="62">
        <f t="shared" si="38"/>
        <v>280.25465074992246</v>
      </c>
      <c r="BK63" s="16">
        <f>IF(ISNA(VLOOKUP(A63,'Données projet'!$A$87:$I$107,3,0)),0,VLOOKUP(A63,'Données projet'!$A$87:$I$107,3,0))</f>
        <v>4</v>
      </c>
      <c r="BL63" s="16">
        <f>IF(ISNA(VLOOKUP(A63,'Données projet'!$A$87:$I$107,4,0)),0,VLOOKUP(A63,'Données projet'!$A$87:$I$107,4,0))</f>
        <v>42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194.5</v>
      </c>
      <c r="BW63" s="13">
        <f>VLOOKUP(A63,'Données projet'!$A$113:$I$133,9,0)</f>
        <v>4.0600000000000023</v>
      </c>
      <c r="BX63" s="13">
        <f t="array" ref="BX63">INDEX(BW:BW,MIN(IF(ISNUMBER(BW63:BW259),ROW(BW63:BW259),"")))</f>
        <v>4.0600000000000023</v>
      </c>
      <c r="BY63" s="13">
        <f>IF('Données projet'!$A$114&gt;35,BY62+BX63-CG62,IF(A63&lt;'Données projet'!$A$114,$BV$205^A63,IF(A63='Données projet'!$A$114,'Données projet'!$B$114,BY62+BX63-CG62)))</f>
        <v>194.50000000000017</v>
      </c>
      <c r="BZ63" s="14">
        <f>BY63*VLOOKUP('Données projet'!$B$12,Paramètres!$A$1:$I$89,3,0)*VLOOKUP('Données projet'!$B$12,Paramètres!$A$1:$I$89,5,0)</f>
        <v>169.91520000000017</v>
      </c>
      <c r="CA63" s="14">
        <f t="shared" si="39"/>
        <v>43.071030654758864</v>
      </c>
      <c r="CB63" s="22">
        <f t="shared" si="10"/>
        <v>370.95101839037198</v>
      </c>
      <c r="CC63" s="62">
        <f t="shared" si="11"/>
        <v>632.20672472184947</v>
      </c>
      <c r="CD63" s="62">
        <f ca="1">AVERAGE(OFFSET($CC$3,0,0,'Données projet'!$E$12+1,1))-AVERAGE(OFFSET($H$3,0,0,'Données projet'!$E$12+1,1))</f>
        <v>298.28891728374822</v>
      </c>
      <c r="CE63" s="62">
        <f t="shared" si="40"/>
        <v>275.07405533331371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>
        <f>VLOOKUP(A63,'Données projet'!$A$139:$I$159,2,0)</f>
        <v>393</v>
      </c>
      <c r="CR63" s="13">
        <f>VLOOKUP(A63,'Données projet'!$A$139:$I$159,9,0)</f>
        <v>15.7</v>
      </c>
      <c r="CS63" s="13">
        <f t="array" ref="CS63">INDEX(CR:CR,MIN(IF(ISNUMBER(CR63:CR259),ROW(CR63:CR259),"")))</f>
        <v>15.7</v>
      </c>
      <c r="CT63" s="13">
        <f>IF('Données projet'!$A$140&gt;35,CT62+CS63-DB62,IF(A63&lt;'Données projet'!$A$140,$CQ$205^A63,IF(A63='Données projet'!$A$140,'Données projet'!$B$140,CT62+CS63-DB62)))</f>
        <v>393</v>
      </c>
      <c r="CU63" s="18">
        <f>CT63*VLOOKUP('Données projet'!$B$13,Paramètres!$A$1:$I$89,3,0)*VLOOKUP('Données projet'!$B$13,Paramètres!$A$1:$I$89,5,0)</f>
        <v>235.01400000000001</v>
      </c>
      <c r="CV63" s="14">
        <f t="shared" si="41"/>
        <v>57.365461071820548</v>
      </c>
      <c r="CW63" s="22">
        <f t="shared" si="13"/>
        <v>509.22756136675412</v>
      </c>
      <c r="CX63" s="62">
        <f t="shared" si="14"/>
        <v>770.48326769823166</v>
      </c>
      <c r="CY63" s="62">
        <f ca="1">AVERAGE(OFFSET($CX$3,0,0,'Données projet'!$E$13+1,1))-AVERAGE(OFFSET($H$3,0,0,'Données projet'!$E$13+1,1))</f>
        <v>320.46614113586043</v>
      </c>
      <c r="CZ63" s="62">
        <f t="shared" si="42"/>
        <v>250.7806929924491</v>
      </c>
      <c r="DA63" s="16">
        <f>IF(ISNA(VLOOKUP(A63,'Données projet'!$A$139:$I$159,3,0)),0,VLOOKUP(A63,'Données projet'!$A$139:$I$159,3,0))</f>
        <v>5</v>
      </c>
      <c r="DB63" s="16">
        <f>IF(ISNA(VLOOKUP(A63,'Données projet'!$A$139:$I$159,4,0)),0,VLOOKUP(A63,'Données projet'!$A$139:$I$159,4,0))</f>
        <v>88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0</v>
      </c>
      <c r="DG63" s="23">
        <f>EXP(-LN(2)/25)*DG62+(1-EXP(-LN(2)/25))/(LN(2)/25)*Calculateur!DB63*Calculateur!DD63*VLOOKUP('Données projet'!$B$13,Paramètres!$A$1:$I$89,3,0)*0.475*44/12</f>
        <v>0</v>
      </c>
      <c r="DH63" s="23">
        <f>EXP(-LN(2)/2)*DH62+(1-EXP(-LN(2)/2))/(LN(2)/2)*DB63*DE63*VLOOKUP('Données projet'!$B$13,Paramètres!$A$1:$I$89,3,0)*0.475*44/12</f>
        <v>2.8927761214879091E-4</v>
      </c>
      <c r="DI63" s="24">
        <f t="shared" si="15"/>
        <v>2.8927761214879091E-4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516</v>
      </c>
      <c r="DM63" s="13">
        <f>VLOOKUP(A63,'Données projet'!$A$165:$I$185,9,0)</f>
        <v>22.7</v>
      </c>
      <c r="DN63" s="13">
        <f t="array" ref="DN63">INDEX(DM:DM,MIN(IF(ISNUMBER(DM63:DM259),ROW(DM63:DM259),"")))</f>
        <v>22.7</v>
      </c>
      <c r="DO63" s="13">
        <f>IF('Données projet'!$A$166&gt;35,DO62+DN63-DW62,IF(A63&lt;'Données projet'!$A$166,$DL$205^A63,IF(A63='Données projet'!$A$166,'Données projet'!$B$166,DO62+DN63-DW62)))</f>
        <v>515.99999999999966</v>
      </c>
      <c r="DP63" s="18">
        <f>DO63*VLOOKUP('Données projet'!$B$14,Paramètres!$A$1:$I$89,3,0)*VLOOKUP('Données projet'!$B$14,Paramètres!$A$1:$I$89,5,0)</f>
        <v>241.48799999999986</v>
      </c>
      <c r="DQ63" s="14">
        <f t="shared" si="43"/>
        <v>58.759565673424916</v>
      </c>
      <c r="DR63" s="22">
        <f t="shared" si="16"/>
        <v>522.93117688121481</v>
      </c>
      <c r="DS63" s="62">
        <f t="shared" si="17"/>
        <v>784.18688321269224</v>
      </c>
      <c r="DT63" s="62">
        <f ca="1">AVERAGE(OFFSET($DS$3,0,0,'Données projet'!$E$14+1,1))-AVERAGE(OFFSET($H$3,0,0,'Données projet'!$E$14+1,1))</f>
        <v>429.87867712133851</v>
      </c>
      <c r="DU63" s="62">
        <f t="shared" si="44"/>
        <v>182.81277865988014</v>
      </c>
      <c r="DV63" s="16">
        <f>IF(ISNA(VLOOKUP(A63,'Données projet'!$A$165:$I$185,3,0)),0,VLOOKUP(A63,'Données projet'!$A$165:$I$185,3,0))</f>
        <v>3</v>
      </c>
      <c r="DW63" s="16">
        <f>IF(ISNA(VLOOKUP(A63,'Données projet'!$A$165:$I$185,4,0)),0,VLOOKUP(A63,'Données projet'!$A$165:$I$185,4,0))</f>
        <v>112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0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0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202.56410256410257</v>
      </c>
      <c r="EH63" s="13">
        <f>VLOOKUP(A63,'Données projet'!$A$191:$I$211,9,0)</f>
        <v>4.8717948717948731</v>
      </c>
      <c r="EI63" s="13">
        <f t="array" ref="EI63">INDEX(EH:EH,MIN(IF(ISNUMBER(EH63:EH259),ROW(EH63:EH259),"")))</f>
        <v>4.8717948717948731</v>
      </c>
      <c r="EJ63" s="13">
        <f>IF('Données projet'!$A$192&gt;35,EJ62+EI63-ER62,IF(A63&lt;'Données projet'!$A$192,$EG$205^A63,IF(A63='Données projet'!$A$192,'Données projet'!$B$192,EJ62+EI63-ER62)))</f>
        <v>202.56410256410263</v>
      </c>
      <c r="EK63" s="18">
        <f>EJ63*VLOOKUP('Données projet'!$B$15,Paramètres!$A$1:$I$89,3,0)*VLOOKUP('Données projet'!$B$15,Paramètres!$A$1:$I$89,5,0)</f>
        <v>135.88000000000005</v>
      </c>
      <c r="EL63" s="14">
        <f t="shared" si="45"/>
        <v>35.351536820589814</v>
      </c>
      <c r="EM63" s="22">
        <f t="shared" si="19"/>
        <v>298.22825996252732</v>
      </c>
      <c r="EN63" s="62">
        <f t="shared" si="20"/>
        <v>559.48396629400486</v>
      </c>
      <c r="EO63" s="62">
        <f ca="1">AVERAGE(OFFSET($EN$3,0,0,'Données projet'!$E$15+1,1))-AVERAGE(OFFSET($H$3,0,0,'Données projet'!$E$15+1,1))</f>
        <v>296.18088377871669</v>
      </c>
      <c r="EP63" s="62">
        <f t="shared" si="46"/>
        <v>252.23833925792056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26.282051282051281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0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0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202.56410256410257</v>
      </c>
      <c r="FC63" s="13">
        <f>VLOOKUP(A63,'Données projet'!$A$217:$I$237,9,0)</f>
        <v>4.8717948717948731</v>
      </c>
      <c r="FD63" s="13">
        <f t="array" ref="FD63">INDEX(FC:FC,MIN(IF(ISNUMBER(FC63:FC259),ROW(FC63:FC259),"")))</f>
        <v>4.8717948717948731</v>
      </c>
      <c r="FE63" s="13">
        <f>IF('Données projet'!$A$218&gt;35,FE62+FD63-FM62,IF(A63&lt;'Données projet'!$A$218,$FB$205^A63,IF(A63='Données projet'!$A$218,'Données projet'!$B$218,FE62+FD63-FM62)))</f>
        <v>202.56410256410263</v>
      </c>
      <c r="FF63" s="18">
        <f>FE63*VLOOKUP('Données projet'!$B$16,Paramètres!$A$1:$I$89,3,0)*VLOOKUP('Données projet'!$B$16,Paramètres!$A$1:$I$89,5,0)</f>
        <v>173.80000000000007</v>
      </c>
      <c r="FG63" s="14">
        <f t="shared" si="47"/>
        <v>43.939999081709587</v>
      </c>
      <c r="FH63" s="22">
        <f t="shared" si="22"/>
        <v>379.23049840064431</v>
      </c>
      <c r="FI63" s="62">
        <f t="shared" si="23"/>
        <v>640.48620473212179</v>
      </c>
      <c r="FJ63" s="62">
        <f ca="1">AVERAGE(OFFSET($FI$3,0,0,'Données projet'!$E$16+1,1))-AVERAGE(OFFSET($H$3,0,0,'Données projet'!$E$16+1,1))</f>
        <v>359.20464555327072</v>
      </c>
      <c r="FK63" s="62">
        <f t="shared" si="48"/>
        <v>305.54154052071863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26.282051282051281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0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0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7.2</v>
      </c>
      <c r="N64" s="14">
        <f>IF('Données projet'!$A$36&gt;35,N63+M64-V63,IF(A64&lt;'Données projet'!$A$36,$K$205^A64,IF(A64='Données projet'!$A$36,'Données projet'!$B$36,N63+M64-V63)))</f>
        <v>200.19999999999996</v>
      </c>
      <c r="O64" s="14">
        <f>N64*VLOOKUP('Données projet'!$B$9,Paramètres!$A$1:$I$89,3,0)*VLOOKUP('Données projet'!$B$9,Paramètres!$A$1:$I$89,5,0)</f>
        <v>203.00279999999995</v>
      </c>
      <c r="P64" s="14">
        <f t="shared" si="33"/>
        <v>50.403518824343074</v>
      </c>
      <c r="Q64" s="22">
        <f t="shared" si="53"/>
        <v>441.3493386190641</v>
      </c>
      <c r="R64" s="62">
        <f t="shared" si="0"/>
        <v>703.16152006419338</v>
      </c>
      <c r="S64" s="62">
        <f ca="1">AVERAGE(OFFSET($R$3,0,0,'Données projet'!$E$9+1,1))-AVERAGE(OFFSET($H$3,0,0,'Données projet'!$E$9+1,1))</f>
        <v>516.30971934066179</v>
      </c>
      <c r="T64" s="62">
        <f t="shared" si="34"/>
        <v>290.84286505723571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215.49527999999992</v>
      </c>
      <c r="AK64" s="14">
        <f t="shared" si="35"/>
        <v>53.134631326269272</v>
      </c>
      <c r="AL64" s="22">
        <f t="shared" si="4"/>
        <v>467.86376222658549</v>
      </c>
      <c r="AM64" s="62">
        <f t="shared" si="5"/>
        <v>729.67594367171478</v>
      </c>
      <c r="AN64" s="62">
        <f ca="1">AVERAGE(OFFSET($AM$3,0,0,'Données projet'!$E$10+1,1))-AVERAGE(OFFSET($H$3,0,0,'Données projet'!$E$10+1,1))</f>
        <v>542.90832990875208</v>
      </c>
      <c r="AO64" s="62">
        <f t="shared" si="36"/>
        <v>304.94365539329362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193.63343999999998</v>
      </c>
      <c r="BF64" s="14">
        <f t="shared" si="37"/>
        <v>48.342367086681229</v>
      </c>
      <c r="BG64" s="22">
        <f t="shared" si="7"/>
        <v>421.44119734263637</v>
      </c>
      <c r="BH64" s="62">
        <f t="shared" si="8"/>
        <v>683.25337878776577</v>
      </c>
      <c r="BI64" s="62">
        <f ca="1">AVERAGE(OFFSET($BH$3,0,0,'Données projet'!$E$11+1,1))-AVERAGE(OFFSET($H$3,0,0,'Données projet'!$E$11+1,1))</f>
        <v>496.33873798282525</v>
      </c>
      <c r="BJ64" s="62">
        <f t="shared" si="38"/>
        <v>280.25465074992246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3.4400000000000035</v>
      </c>
      <c r="BY64" s="13">
        <f>IF('Données projet'!$A$114&gt;35,BY63+BX64-CG63,IF(A64&lt;'Données projet'!$A$114,$BV$205^A64,IF(A64='Données projet'!$A$114,'Données projet'!$B$114,BY63+BX64-CG63)))</f>
        <v>197.94000000000017</v>
      </c>
      <c r="BZ64" s="14">
        <f>BY64*VLOOKUP('Données projet'!$B$12,Paramètres!$A$1:$I$89,3,0)*VLOOKUP('Données projet'!$B$12,Paramètres!$A$1:$I$89,5,0)</f>
        <v>172.92038400000015</v>
      </c>
      <c r="CA64" s="14">
        <f t="shared" si="39"/>
        <v>43.743442656346502</v>
      </c>
      <c r="CB64" s="22">
        <f t="shared" si="10"/>
        <v>377.35616475980373</v>
      </c>
      <c r="CC64" s="62">
        <f t="shared" si="11"/>
        <v>639.16834620493307</v>
      </c>
      <c r="CD64" s="62">
        <f ca="1">AVERAGE(OFFSET($CC$3,0,0,'Données projet'!$E$12+1,1))-AVERAGE(OFFSET($H$3,0,0,'Données projet'!$E$12+1,1))</f>
        <v>298.28891728374822</v>
      </c>
      <c r="CE64" s="62">
        <f t="shared" si="40"/>
        <v>275.07405533331371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14.3</v>
      </c>
      <c r="CT64" s="13">
        <f>IF('Données projet'!$A$140&gt;35,CT63+CS64-DB63,IF(A64&lt;'Données projet'!$A$140,$CQ$205^A64,IF(A64='Données projet'!$A$140,'Données projet'!$B$140,CT63+CS64-DB63)))</f>
        <v>319.3</v>
      </c>
      <c r="CU64" s="18">
        <f>CT64*VLOOKUP('Données projet'!$B$13,Paramètres!$A$1:$I$89,3,0)*VLOOKUP('Données projet'!$B$13,Paramètres!$A$1:$I$89,5,0)</f>
        <v>190.94140000000002</v>
      </c>
      <c r="CV64" s="14">
        <f t="shared" si="41"/>
        <v>47.748023117802013</v>
      </c>
      <c r="CW64" s="22">
        <f t="shared" si="13"/>
        <v>415.71741193017186</v>
      </c>
      <c r="CX64" s="62">
        <f t="shared" si="14"/>
        <v>677.52959337530115</v>
      </c>
      <c r="CY64" s="62">
        <f ca="1">AVERAGE(OFFSET($CX$3,0,0,'Données projet'!$E$13+1,1))-AVERAGE(OFFSET($H$3,0,0,'Données projet'!$E$13+1,1))</f>
        <v>320.46614113586043</v>
      </c>
      <c r="CZ64" s="62">
        <f t="shared" si="42"/>
        <v>250.7806929924491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0</v>
      </c>
      <c r="DG64" s="23">
        <f>EXP(-LN(2)/25)*DG63+(1-EXP(-LN(2)/25))/(LN(2)/25)*Calculateur!DB64*Calculateur!DD64*VLOOKUP('Données projet'!$B$13,Paramètres!$A$1:$I$89,3,0)*0.475*44/12</f>
        <v>0</v>
      </c>
      <c r="DH64" s="23">
        <f>EXP(-LN(2)/2)*DH63+(1-EXP(-LN(2)/2))/(LN(2)/2)*DB64*DE64*VLOOKUP('Données projet'!$B$13,Paramètres!$A$1:$I$89,3,0)*0.475*44/12</f>
        <v>2.0455016119586206E-4</v>
      </c>
      <c r="DI64" s="24">
        <f t="shared" si="15"/>
        <v>2.0455016119586206E-4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22.7</v>
      </c>
      <c r="DO64" s="13">
        <f>IF('Données projet'!$A$166&gt;35,DO63+DN64-DW63,IF(A64&lt;'Données projet'!$A$166,$DL$205^A64,IF(A64='Données projet'!$A$166,'Données projet'!$B$166,DO63+DN64-DW63)))</f>
        <v>426.6999999999997</v>
      </c>
      <c r="DP64" s="18">
        <f>DO64*VLOOKUP('Données projet'!$B$14,Paramètres!$A$1:$I$89,3,0)*VLOOKUP('Données projet'!$B$14,Paramètres!$A$1:$I$89,5,0)</f>
        <v>199.69559999999984</v>
      </c>
      <c r="DQ64" s="14">
        <f t="shared" si="43"/>
        <v>49.677263889452327</v>
      </c>
      <c r="DR64" s="22">
        <f t="shared" si="16"/>
        <v>434.32440460746255</v>
      </c>
      <c r="DS64" s="62">
        <f t="shared" si="17"/>
        <v>696.13658605259184</v>
      </c>
      <c r="DT64" s="62">
        <f ca="1">AVERAGE(OFFSET($DS$3,0,0,'Données projet'!$E$14+1,1))-AVERAGE(OFFSET($H$3,0,0,'Données projet'!$E$14+1,1))</f>
        <v>429.87867712133851</v>
      </c>
      <c r="DU64" s="62">
        <f t="shared" si="44"/>
        <v>182.81277865988014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0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0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4.4871794871794801</v>
      </c>
      <c r="EJ64" s="13">
        <f>IF('Données projet'!$A$192&gt;35,EJ63+EI64-ER63,IF(A64&lt;'Données projet'!$A$192,$EG$205^A64,IF(A64='Données projet'!$A$192,'Données projet'!$B$192,EJ63+EI64-ER63)))</f>
        <v>180.76923076923083</v>
      </c>
      <c r="EK64" s="18">
        <f>EJ64*VLOOKUP('Données projet'!$B$15,Paramètres!$A$1:$I$89,3,0)*VLOOKUP('Données projet'!$B$15,Paramètres!$A$1:$I$89,5,0)</f>
        <v>121.26000000000005</v>
      </c>
      <c r="EL64" s="14">
        <f t="shared" si="45"/>
        <v>31.968694713827716</v>
      </c>
      <c r="EM64" s="22">
        <f t="shared" si="19"/>
        <v>266.8733099599167</v>
      </c>
      <c r="EN64" s="62">
        <f t="shared" si="20"/>
        <v>528.68549140504604</v>
      </c>
      <c r="EO64" s="62">
        <f ca="1">AVERAGE(OFFSET($EN$3,0,0,'Données projet'!$E$15+1,1))-AVERAGE(OFFSET($H$3,0,0,'Données projet'!$E$15+1,1))</f>
        <v>296.18088377871669</v>
      </c>
      <c r="EP64" s="62">
        <f t="shared" si="46"/>
        <v>252.23833925792056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0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0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4.4871794871794801</v>
      </c>
      <c r="FE64" s="13">
        <f>IF('Données projet'!$A$218&gt;35,FE63+FD64-FM63,IF(A64&lt;'Données projet'!$A$218,$FB$205^A64,IF(A64='Données projet'!$A$218,'Données projet'!$B$218,FE63+FD64-FM63)))</f>
        <v>180.76923076923083</v>
      </c>
      <c r="FF64" s="18">
        <f>FE64*VLOOKUP('Données projet'!$B$16,Paramètres!$A$1:$I$89,3,0)*VLOOKUP('Données projet'!$B$16,Paramètres!$A$1:$I$89,5,0)</f>
        <v>155.10000000000008</v>
      </c>
      <c r="FG64" s="14">
        <f t="shared" si="47"/>
        <v>39.735314011890537</v>
      </c>
      <c r="FH64" s="22">
        <f t="shared" si="22"/>
        <v>339.33817190404278</v>
      </c>
      <c r="FI64" s="62">
        <f t="shared" si="23"/>
        <v>601.15035334917206</v>
      </c>
      <c r="FJ64" s="62">
        <f ca="1">AVERAGE(OFFSET($FI$3,0,0,'Données projet'!$E$16+1,1))-AVERAGE(OFFSET($H$3,0,0,'Données projet'!$E$16+1,1))</f>
        <v>359.20464555327072</v>
      </c>
      <c r="FK64" s="62">
        <f t="shared" si="48"/>
        <v>305.54154052071863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0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0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7.2</v>
      </c>
      <c r="N65" s="14">
        <f>IF('Données projet'!$A$36&gt;35,N64+M65-V64,IF(A65&lt;'Données projet'!$A$36,$K$205^A65,IF(A65='Données projet'!$A$36,'Données projet'!$B$36,N64+M65-V64)))</f>
        <v>207.39999999999995</v>
      </c>
      <c r="O65" s="14">
        <f>N65*VLOOKUP('Données projet'!$B$9,Paramètres!$A$1:$I$89,3,0)*VLOOKUP('Données projet'!$B$9,Paramètres!$A$1:$I$89,5,0)</f>
        <v>210.30359999999996</v>
      </c>
      <c r="P65" s="14">
        <f t="shared" si="33"/>
        <v>52.001924357524459</v>
      </c>
      <c r="Q65" s="22">
        <f t="shared" si="53"/>
        <v>456.84878825602163</v>
      </c>
      <c r="R65" s="62">
        <f t="shared" si="0"/>
        <v>719.20779121567296</v>
      </c>
      <c r="S65" s="62">
        <f ca="1">AVERAGE(OFFSET($R$3,0,0,'Données projet'!$E$9+1,1))-AVERAGE(OFFSET($H$3,0,0,'Données projet'!$E$9+1,1))</f>
        <v>516.30971934066179</v>
      </c>
      <c r="T65" s="62">
        <f t="shared" si="34"/>
        <v>290.84286505723571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223.24535999999995</v>
      </c>
      <c r="AK65" s="14">
        <f t="shared" si="35"/>
        <v>54.819646394591118</v>
      </c>
      <c r="AL65" s="22">
        <f t="shared" si="4"/>
        <v>484.29655280391279</v>
      </c>
      <c r="AM65" s="62">
        <f t="shared" si="5"/>
        <v>746.65555576356405</v>
      </c>
      <c r="AN65" s="62">
        <f ca="1">AVERAGE(OFFSET($AM$3,0,0,'Données projet'!$E$10+1,1))-AVERAGE(OFFSET($H$3,0,0,'Données projet'!$E$10+1,1))</f>
        <v>542.90832990875208</v>
      </c>
      <c r="AO65" s="62">
        <f t="shared" si="36"/>
        <v>304.94365539329362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200.59727999999996</v>
      </c>
      <c r="BF65" s="14">
        <f t="shared" si="37"/>
        <v>49.875409002022977</v>
      </c>
      <c r="BG65" s="22">
        <f t="shared" si="7"/>
        <v>436.23993334518991</v>
      </c>
      <c r="BH65" s="62">
        <f t="shared" si="8"/>
        <v>698.59893630484123</v>
      </c>
      <c r="BI65" s="62">
        <f ca="1">AVERAGE(OFFSET($BH$3,0,0,'Données projet'!$E$11+1,1))-AVERAGE(OFFSET($H$3,0,0,'Données projet'!$E$11+1,1))</f>
        <v>496.33873798282525</v>
      </c>
      <c r="BJ65" s="62">
        <f t="shared" si="38"/>
        <v>280.25465074992246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3.4400000000000035</v>
      </c>
      <c r="BY65" s="13">
        <f>IF('Données projet'!$A$114&gt;35,BY64+BX65-CG64,IF(A65&lt;'Données projet'!$A$114,$BV$205^A65,IF(A65='Données projet'!$A$114,'Données projet'!$B$114,BY64+BX65-CG64)))</f>
        <v>201.38000000000017</v>
      </c>
      <c r="BZ65" s="14">
        <f>BY65*VLOOKUP('Données projet'!$B$12,Paramètres!$A$1:$I$89,3,0)*VLOOKUP('Données projet'!$B$12,Paramètres!$A$1:$I$89,5,0)</f>
        <v>175.92556800000017</v>
      </c>
      <c r="CA65" s="14">
        <f t="shared" si="39"/>
        <v>44.414495727485608</v>
      </c>
      <c r="CB65" s="22">
        <f t="shared" si="10"/>
        <v>383.75894432537103</v>
      </c>
      <c r="CC65" s="62">
        <f t="shared" si="11"/>
        <v>646.11794728502241</v>
      </c>
      <c r="CD65" s="62">
        <f ca="1">AVERAGE(OFFSET($CC$3,0,0,'Données projet'!$E$12+1,1))-AVERAGE(OFFSET($H$3,0,0,'Données projet'!$E$12+1,1))</f>
        <v>298.28891728374822</v>
      </c>
      <c r="CE65" s="62">
        <f t="shared" si="40"/>
        <v>275.07405533331371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14.3</v>
      </c>
      <c r="CT65" s="13">
        <f>IF('Données projet'!$A$140&gt;35,CT64+CS65-DB64,IF(A65&lt;'Données projet'!$A$140,$CQ$205^A65,IF(A65='Données projet'!$A$140,'Données projet'!$B$140,CT64+CS65-DB64)))</f>
        <v>333.6</v>
      </c>
      <c r="CU65" s="18">
        <f>CT65*VLOOKUP('Données projet'!$B$13,Paramètres!$A$1:$I$89,3,0)*VLOOKUP('Données projet'!$B$13,Paramètres!$A$1:$I$89,5,0)</f>
        <v>199.49280000000002</v>
      </c>
      <c r="CV65" s="14">
        <f t="shared" si="41"/>
        <v>49.632684049228061</v>
      </c>
      <c r="CW65" s="22">
        <f t="shared" si="13"/>
        <v>433.89355138573887</v>
      </c>
      <c r="CX65" s="62">
        <f t="shared" si="14"/>
        <v>696.25255434539019</v>
      </c>
      <c r="CY65" s="62">
        <f ca="1">AVERAGE(OFFSET($CX$3,0,0,'Données projet'!$E$13+1,1))-AVERAGE(OFFSET($H$3,0,0,'Données projet'!$E$13+1,1))</f>
        <v>320.46614113586043</v>
      </c>
      <c r="CZ65" s="62">
        <f t="shared" si="42"/>
        <v>250.7806929924491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0</v>
      </c>
      <c r="DG65" s="23">
        <f>EXP(-LN(2)/25)*DG64+(1-EXP(-LN(2)/25))/(LN(2)/25)*Calculateur!DB65*Calculateur!DD65*VLOOKUP('Données projet'!$B$13,Paramètres!$A$1:$I$89,3,0)*0.475*44/12</f>
        <v>0</v>
      </c>
      <c r="DH65" s="23">
        <f>EXP(-LN(2)/2)*DH64+(1-EXP(-LN(2)/2))/(LN(2)/2)*DB65*DE65*VLOOKUP('Données projet'!$B$13,Paramètres!$A$1:$I$89,3,0)*0.475*44/12</f>
        <v>1.4463880607439546E-4</v>
      </c>
      <c r="DI65" s="24">
        <f t="shared" si="15"/>
        <v>1.4463880607439546E-4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22.7</v>
      </c>
      <c r="DO65" s="13">
        <f>IF('Données projet'!$A$166&gt;35,DO64+DN65-DW64,IF(A65&lt;'Données projet'!$A$166,$DL$205^A65,IF(A65='Données projet'!$A$166,'Données projet'!$B$166,DO64+DN65-DW64)))</f>
        <v>449.39999999999969</v>
      </c>
      <c r="DP65" s="18">
        <f>DO65*VLOOKUP('Données projet'!$B$14,Paramètres!$A$1:$I$89,3,0)*VLOOKUP('Données projet'!$B$14,Paramètres!$A$1:$I$89,5,0)</f>
        <v>210.31919999999985</v>
      </c>
      <c r="DQ65" s="14">
        <f t="shared" si="43"/>
        <v>52.005332762093687</v>
      </c>
      <c r="DR65" s="22">
        <f t="shared" si="16"/>
        <v>456.88189456064629</v>
      </c>
      <c r="DS65" s="62">
        <f t="shared" si="17"/>
        <v>719.24089752029761</v>
      </c>
      <c r="DT65" s="62">
        <f ca="1">AVERAGE(OFFSET($DS$3,0,0,'Données projet'!$E$14+1,1))-AVERAGE(OFFSET($H$3,0,0,'Données projet'!$E$14+1,1))</f>
        <v>429.87867712133851</v>
      </c>
      <c r="DU65" s="62">
        <f t="shared" si="44"/>
        <v>182.81277865988014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0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0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4.4871794871794801</v>
      </c>
      <c r="EJ65" s="13">
        <f>IF('Données projet'!$A$192&gt;35,EJ64+EI65-ER64,IF(A65&lt;'Données projet'!$A$192,$EG$205^A65,IF(A65='Données projet'!$A$192,'Données projet'!$B$192,EJ64+EI65-ER64)))</f>
        <v>185.25641025641031</v>
      </c>
      <c r="EK65" s="18">
        <f>EJ65*VLOOKUP('Données projet'!$B$15,Paramètres!$A$1:$I$89,3,0)*VLOOKUP('Données projet'!$B$15,Paramètres!$A$1:$I$89,5,0)</f>
        <v>124.27000000000002</v>
      </c>
      <c r="EL65" s="14">
        <f t="shared" si="45"/>
        <v>32.668871006084437</v>
      </c>
      <c r="EM65" s="22">
        <f t="shared" si="19"/>
        <v>273.33520033559711</v>
      </c>
      <c r="EN65" s="62">
        <f t="shared" si="20"/>
        <v>535.69420329524837</v>
      </c>
      <c r="EO65" s="62">
        <f ca="1">AVERAGE(OFFSET($EN$3,0,0,'Données projet'!$E$15+1,1))-AVERAGE(OFFSET($H$3,0,0,'Données projet'!$E$15+1,1))</f>
        <v>296.18088377871669</v>
      </c>
      <c r="EP65" s="62">
        <f t="shared" si="46"/>
        <v>252.23833925792056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0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0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4.4871794871794801</v>
      </c>
      <c r="FE65" s="13">
        <f>IF('Données projet'!$A$218&gt;35,FE64+FD65-FM64,IF(A65&lt;'Données projet'!$A$218,$FB$205^A65,IF(A65='Données projet'!$A$218,'Données projet'!$B$218,FE64+FD65-FM64)))</f>
        <v>185.25641025641031</v>
      </c>
      <c r="FF65" s="18">
        <f>FE65*VLOOKUP('Données projet'!$B$16,Paramètres!$A$1:$I$89,3,0)*VLOOKUP('Données projet'!$B$16,Paramètres!$A$1:$I$89,5,0)</f>
        <v>158.95000000000007</v>
      </c>
      <c r="FG65" s="14">
        <f t="shared" si="47"/>
        <v>40.605594299701849</v>
      </c>
      <c r="FH65" s="22">
        <f t="shared" si="22"/>
        <v>347.55932673864748</v>
      </c>
      <c r="FI65" s="62">
        <f t="shared" si="23"/>
        <v>609.91832969829875</v>
      </c>
      <c r="FJ65" s="62">
        <f ca="1">AVERAGE(OFFSET($FI$3,0,0,'Données projet'!$E$16+1,1))-AVERAGE(OFFSET($H$3,0,0,'Données projet'!$E$16+1,1))</f>
        <v>359.20464555327072</v>
      </c>
      <c r="FK65" s="62">
        <f t="shared" si="48"/>
        <v>305.54154052071863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0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0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7.2</v>
      </c>
      <c r="N66" s="14">
        <f>IF('Données projet'!$A$36&gt;35,N65+M66-V65,IF(A66&lt;'Données projet'!$A$36,$K$205^A66,IF(A66='Données projet'!$A$36,'Données projet'!$B$36,N65+M66-V65)))</f>
        <v>214.59999999999994</v>
      </c>
      <c r="O66" s="14">
        <f>N66*VLOOKUP('Données projet'!$B$9,Paramètres!$A$1:$I$89,3,0)*VLOOKUP('Données projet'!$B$9,Paramètres!$A$1:$I$89,5,0)</f>
        <v>217.60439999999994</v>
      </c>
      <c r="P66" s="14">
        <f t="shared" si="33"/>
        <v>53.593882578706356</v>
      </c>
      <c r="Q66" s="22">
        <f t="shared" si="53"/>
        <v>472.33700882458015</v>
      </c>
      <c r="R66" s="62">
        <f t="shared" si="0"/>
        <v>735.23334716798627</v>
      </c>
      <c r="S66" s="62">
        <f ca="1">AVERAGE(OFFSET($R$3,0,0,'Données projet'!$E$9+1,1))-AVERAGE(OFFSET($H$3,0,0,'Données projet'!$E$9+1,1))</f>
        <v>516.30971934066179</v>
      </c>
      <c r="T66" s="62">
        <f t="shared" si="34"/>
        <v>290.84286505723571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230.99543999999995</v>
      </c>
      <c r="AK66" s="14">
        <f t="shared" si="35"/>
        <v>56.497864803589785</v>
      </c>
      <c r="AL66" s="22">
        <f t="shared" si="4"/>
        <v>500.71750586625211</v>
      </c>
      <c r="AM66" s="62">
        <f t="shared" si="5"/>
        <v>763.61384420965828</v>
      </c>
      <c r="AN66" s="62">
        <f ca="1">AVERAGE(OFFSET($AM$3,0,0,'Données projet'!$E$10+1,1))-AVERAGE(OFFSET($H$3,0,0,'Données projet'!$E$10+1,1))</f>
        <v>542.90832990875208</v>
      </c>
      <c r="AO66" s="62">
        <f t="shared" si="36"/>
        <v>304.94365539329362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207.56111999999996</v>
      </c>
      <c r="BF66" s="14">
        <f t="shared" si="37"/>
        <v>51.40226725537714</v>
      </c>
      <c r="BG66" s="22">
        <f t="shared" si="7"/>
        <v>451.02789946978169</v>
      </c>
      <c r="BH66" s="62">
        <f t="shared" si="8"/>
        <v>713.9242378131878</v>
      </c>
      <c r="BI66" s="62">
        <f ca="1">AVERAGE(OFFSET($BH$3,0,0,'Données projet'!$E$11+1,1))-AVERAGE(OFFSET($H$3,0,0,'Données projet'!$E$11+1,1))</f>
        <v>496.33873798282525</v>
      </c>
      <c r="BJ66" s="62">
        <f t="shared" si="38"/>
        <v>280.25465074992246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3.4400000000000035</v>
      </c>
      <c r="BY66" s="13">
        <f>IF('Données projet'!$A$114&gt;35,BY65+BX66-CG65,IF(A66&lt;'Données projet'!$A$114,$BV$205^A66,IF(A66='Données projet'!$A$114,'Données projet'!$B$114,BY65+BX66-CG65)))</f>
        <v>204.82000000000016</v>
      </c>
      <c r="BZ66" s="14">
        <f>BY66*VLOOKUP('Données projet'!$B$12,Paramètres!$A$1:$I$89,3,0)*VLOOKUP('Données projet'!$B$12,Paramètres!$A$1:$I$89,5,0)</f>
        <v>178.93075200000015</v>
      </c>
      <c r="CA66" s="14">
        <f t="shared" si="39"/>
        <v>45.084215760441054</v>
      </c>
      <c r="CB66" s="22">
        <f t="shared" si="10"/>
        <v>390.15940218276842</v>
      </c>
      <c r="CC66" s="62">
        <f t="shared" si="11"/>
        <v>653.05574052617453</v>
      </c>
      <c r="CD66" s="62">
        <f ca="1">AVERAGE(OFFSET($CC$3,0,0,'Données projet'!$E$12+1,1))-AVERAGE(OFFSET($H$3,0,0,'Données projet'!$E$12+1,1))</f>
        <v>298.28891728374822</v>
      </c>
      <c r="CE66" s="62">
        <f t="shared" si="40"/>
        <v>275.07405533331371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14.3</v>
      </c>
      <c r="CT66" s="13">
        <f>IF('Données projet'!$A$140&gt;35,CT65+CS66-DB65,IF(A66&lt;'Données projet'!$A$140,$CQ$205^A66,IF(A66='Données projet'!$A$140,'Données projet'!$B$140,CT65+CS66-DB65)))</f>
        <v>347.90000000000003</v>
      </c>
      <c r="CU66" s="18">
        <f>CT66*VLOOKUP('Données projet'!$B$13,Paramètres!$A$1:$I$89,3,0)*VLOOKUP('Données projet'!$B$13,Paramètres!$A$1:$I$89,5,0)</f>
        <v>208.04420000000005</v>
      </c>
      <c r="CV66" s="14">
        <f t="shared" si="41"/>
        <v>51.507961722634242</v>
      </c>
      <c r="CW66" s="22">
        <f t="shared" si="13"/>
        <v>452.05334833358802</v>
      </c>
      <c r="CX66" s="62">
        <f t="shared" si="14"/>
        <v>714.94968667699413</v>
      </c>
      <c r="CY66" s="62">
        <f ca="1">AVERAGE(OFFSET($CX$3,0,0,'Données projet'!$E$13+1,1))-AVERAGE(OFFSET($H$3,0,0,'Données projet'!$E$13+1,1))</f>
        <v>320.46614113586043</v>
      </c>
      <c r="CZ66" s="62">
        <f t="shared" si="42"/>
        <v>250.7806929924491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0</v>
      </c>
      <c r="DG66" s="23">
        <f>EXP(-LN(2)/25)*DG65+(1-EXP(-LN(2)/25))/(LN(2)/25)*Calculateur!DB66*Calculateur!DD66*VLOOKUP('Données projet'!$B$13,Paramètres!$A$1:$I$89,3,0)*0.475*44/12</f>
        <v>0</v>
      </c>
      <c r="DH66" s="23">
        <f>EXP(-LN(2)/2)*DH65+(1-EXP(-LN(2)/2))/(LN(2)/2)*DB66*DE66*VLOOKUP('Données projet'!$B$13,Paramètres!$A$1:$I$89,3,0)*0.475*44/12</f>
        <v>1.0227508059793103E-4</v>
      </c>
      <c r="DI66" s="24">
        <f t="shared" si="15"/>
        <v>1.0227508059793103E-4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22.7</v>
      </c>
      <c r="DO66" s="13">
        <f>IF('Données projet'!$A$166&gt;35,DO65+DN66-DW65,IF(A66&lt;'Données projet'!$A$166,$DL$205^A66,IF(A66='Données projet'!$A$166,'Données projet'!$B$166,DO65+DN66-DW65)))</f>
        <v>472.09999999999968</v>
      </c>
      <c r="DP66" s="18">
        <f>DO66*VLOOKUP('Données projet'!$B$14,Paramètres!$A$1:$I$89,3,0)*VLOOKUP('Données projet'!$B$14,Paramètres!$A$1:$I$89,5,0)</f>
        <v>220.94279999999983</v>
      </c>
      <c r="DQ66" s="14">
        <f t="shared" si="43"/>
        <v>54.31974761568528</v>
      </c>
      <c r="DR66" s="22">
        <f t="shared" si="16"/>
        <v>479.41560376398479</v>
      </c>
      <c r="DS66" s="62">
        <f t="shared" si="17"/>
        <v>742.31194210739091</v>
      </c>
      <c r="DT66" s="62">
        <f ca="1">AVERAGE(OFFSET($DS$3,0,0,'Données projet'!$E$14+1,1))-AVERAGE(OFFSET($H$3,0,0,'Données projet'!$E$14+1,1))</f>
        <v>429.87867712133851</v>
      </c>
      <c r="DU66" s="62">
        <f t="shared" si="44"/>
        <v>182.81277865988014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0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0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4.4871794871794801</v>
      </c>
      <c r="EJ66" s="13">
        <f>IF('Données projet'!$A$192&gt;35,EJ65+EI66-ER65,IF(A66&lt;'Données projet'!$A$192,$EG$205^A66,IF(A66='Données projet'!$A$192,'Données projet'!$B$192,EJ65+EI66-ER65)))</f>
        <v>189.74358974358978</v>
      </c>
      <c r="EK66" s="18">
        <f>EJ66*VLOOKUP('Données projet'!$B$15,Paramètres!$A$1:$I$89,3,0)*VLOOKUP('Données projet'!$B$15,Paramètres!$A$1:$I$89,5,0)</f>
        <v>127.28000000000003</v>
      </c>
      <c r="EL66" s="14">
        <f t="shared" si="45"/>
        <v>33.367075813758639</v>
      </c>
      <c r="EM66" s="22">
        <f t="shared" si="19"/>
        <v>279.79365704229633</v>
      </c>
      <c r="EN66" s="62">
        <f t="shared" si="20"/>
        <v>542.68999538570245</v>
      </c>
      <c r="EO66" s="62">
        <f ca="1">AVERAGE(OFFSET($EN$3,0,0,'Données projet'!$E$15+1,1))-AVERAGE(OFFSET($H$3,0,0,'Données projet'!$E$15+1,1))</f>
        <v>296.18088377871669</v>
      </c>
      <c r="EP66" s="62">
        <f t="shared" si="46"/>
        <v>252.23833925792056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0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0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4.4871794871794801</v>
      </c>
      <c r="FE66" s="13">
        <f>IF('Données projet'!$A$218&gt;35,FE65+FD66-FM65,IF(A66&lt;'Données projet'!$A$218,$FB$205^A66,IF(A66='Données projet'!$A$218,'Données projet'!$B$218,FE65+FD66-FM65)))</f>
        <v>189.74358974358978</v>
      </c>
      <c r="FF66" s="18">
        <f>FE66*VLOOKUP('Données projet'!$B$16,Paramètres!$A$1:$I$89,3,0)*VLOOKUP('Données projet'!$B$16,Paramètres!$A$1:$I$89,5,0)</f>
        <v>162.80000000000007</v>
      </c>
      <c r="FG66" s="14">
        <f t="shared" si="47"/>
        <v>41.473424141548499</v>
      </c>
      <c r="FH66" s="22">
        <f t="shared" si="22"/>
        <v>355.77621371319702</v>
      </c>
      <c r="FI66" s="62">
        <f t="shared" si="23"/>
        <v>618.67255205660308</v>
      </c>
      <c r="FJ66" s="62">
        <f ca="1">AVERAGE(OFFSET($FI$3,0,0,'Données projet'!$E$16+1,1))-AVERAGE(OFFSET($H$3,0,0,'Données projet'!$E$16+1,1))</f>
        <v>359.20464555327072</v>
      </c>
      <c r="FK66" s="62">
        <f t="shared" si="48"/>
        <v>305.54154052071863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0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0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7.2</v>
      </c>
      <c r="N67" s="14">
        <f>IF('Données projet'!$A$36&gt;35,N66+M67-V66,IF(A67&lt;'Données projet'!$A$36,$K$205^A67,IF(A67='Données projet'!$A$36,'Données projet'!$B$36,N66+M67-V66)))</f>
        <v>221.79999999999993</v>
      </c>
      <c r="O67" s="14">
        <f>N67*VLOOKUP('Données projet'!$B$9,Paramètres!$A$1:$I$89,3,0)*VLOOKUP('Données projet'!$B$9,Paramètres!$A$1:$I$89,5,0)</f>
        <v>224.90519999999995</v>
      </c>
      <c r="P67" s="14">
        <f t="shared" si="33"/>
        <v>55.17963460003309</v>
      </c>
      <c r="Q67" s="22">
        <f t="shared" ref="Q67:Q98" si="54">(O67+P67)*0.475*44/12</f>
        <v>487.81442026172425</v>
      </c>
      <c r="R67" s="62">
        <f t="shared" ref="R67:R130" si="55">Q67+(I67+J67)*44/12</f>
        <v>751.23877242127901</v>
      </c>
      <c r="S67" s="62">
        <f ca="1">AVERAGE(OFFSET($R$3,0,0,'Données projet'!$E$9+1,1))-AVERAGE(OFFSET($H$3,0,0,'Données projet'!$E$9+1,1))</f>
        <v>516.30971934066179</v>
      </c>
      <c r="T67" s="62">
        <f t="shared" si="34"/>
        <v>290.84286505723571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238.74551999999991</v>
      </c>
      <c r="AK67" s="14">
        <f t="shared" si="35"/>
        <v>58.169540730060781</v>
      </c>
      <c r="AL67" s="22">
        <f t="shared" si="4"/>
        <v>517.12706410485578</v>
      </c>
      <c r="AM67" s="62">
        <f t="shared" si="5"/>
        <v>780.55141626441059</v>
      </c>
      <c r="AN67" s="62">
        <f ca="1">AVERAGE(OFFSET($AM$3,0,0,'Données projet'!$E$10+1,1))-AVERAGE(OFFSET($H$3,0,0,'Données projet'!$E$10+1,1))</f>
        <v>542.90832990875208</v>
      </c>
      <c r="AO67" s="62">
        <f t="shared" si="36"/>
        <v>304.94365539329362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214.52495999999994</v>
      </c>
      <c r="BF67" s="14">
        <f t="shared" si="37"/>
        <v>52.923173099085716</v>
      </c>
      <c r="BG67" s="22">
        <f t="shared" si="7"/>
        <v>465.80549848090754</v>
      </c>
      <c r="BH67" s="62">
        <f t="shared" si="8"/>
        <v>729.22985064046225</v>
      </c>
      <c r="BI67" s="62">
        <f ca="1">AVERAGE(OFFSET($BH$3,0,0,'Données projet'!$E$11+1,1))-AVERAGE(OFFSET($H$3,0,0,'Données projet'!$E$11+1,1))</f>
        <v>496.33873798282525</v>
      </c>
      <c r="BJ67" s="62">
        <f t="shared" si="38"/>
        <v>280.25465074992246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3.4400000000000035</v>
      </c>
      <c r="BY67" s="13">
        <f>IF('Données projet'!$A$114&gt;35,BY66+BX67-CG66,IF(A67&lt;'Données projet'!$A$114,$BV$205^A67,IF(A67='Données projet'!$A$114,'Données projet'!$B$114,BY66+BX67-CG66)))</f>
        <v>208.26000000000016</v>
      </c>
      <c r="BZ67" s="14">
        <f>BY67*VLOOKUP('Données projet'!$B$12,Paramètres!$A$1:$I$89,3,0)*VLOOKUP('Données projet'!$B$12,Paramètres!$A$1:$I$89,5,0)</f>
        <v>181.93593600000017</v>
      </c>
      <c r="CA67" s="14">
        <f t="shared" si="39"/>
        <v>45.752627727895565</v>
      </c>
      <c r="CB67" s="22">
        <f t="shared" si="10"/>
        <v>396.55758182608514</v>
      </c>
      <c r="CC67" s="62">
        <f t="shared" si="11"/>
        <v>659.9819339856399</v>
      </c>
      <c r="CD67" s="62">
        <f ca="1">AVERAGE(OFFSET($CC$3,0,0,'Données projet'!$E$12+1,1))-AVERAGE(OFFSET($H$3,0,0,'Données projet'!$E$12+1,1))</f>
        <v>298.28891728374822</v>
      </c>
      <c r="CE67" s="62">
        <f t="shared" si="40"/>
        <v>275.07405533331371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14.3</v>
      </c>
      <c r="CT67" s="13">
        <f>IF('Données projet'!$A$140&gt;35,CT66+CS67-DB66,IF(A67&lt;'Données projet'!$A$140,$CQ$205^A67,IF(A67='Données projet'!$A$140,'Données projet'!$B$140,CT66+CS67-DB66)))</f>
        <v>362.20000000000005</v>
      </c>
      <c r="CU67" s="18">
        <f>CT67*VLOOKUP('Données projet'!$B$13,Paramètres!$A$1:$I$89,3,0)*VLOOKUP('Données projet'!$B$13,Paramètres!$A$1:$I$89,5,0)</f>
        <v>216.59560000000005</v>
      </c>
      <c r="CV67" s="14">
        <f t="shared" si="41"/>
        <v>53.374285937607603</v>
      </c>
      <c r="CW67" s="22">
        <f t="shared" si="13"/>
        <v>470.19755134133334</v>
      </c>
      <c r="CX67" s="62">
        <f t="shared" si="14"/>
        <v>733.62190350088804</v>
      </c>
      <c r="CY67" s="62">
        <f ca="1">AVERAGE(OFFSET($CX$3,0,0,'Données projet'!$E$13+1,1))-AVERAGE(OFFSET($H$3,0,0,'Données projet'!$E$13+1,1))</f>
        <v>320.46614113586043</v>
      </c>
      <c r="CZ67" s="62">
        <f t="shared" si="42"/>
        <v>250.7806929924491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0</v>
      </c>
      <c r="DG67" s="23">
        <f>EXP(-LN(2)/25)*DG66+(1-EXP(-LN(2)/25))/(LN(2)/25)*Calculateur!DB67*Calculateur!DD67*VLOOKUP('Données projet'!$B$13,Paramètres!$A$1:$I$89,3,0)*0.475*44/12</f>
        <v>0</v>
      </c>
      <c r="DH67" s="23">
        <f>EXP(-LN(2)/2)*DH66+(1-EXP(-LN(2)/2))/(LN(2)/2)*DB67*DE67*VLOOKUP('Données projet'!$B$13,Paramètres!$A$1:$I$89,3,0)*0.475*44/12</f>
        <v>7.2319403037197729E-5</v>
      </c>
      <c r="DI67" s="24">
        <f t="shared" si="15"/>
        <v>7.2319403037197729E-5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22.7</v>
      </c>
      <c r="DO67" s="13">
        <f>IF('Données projet'!$A$166&gt;35,DO66+DN67-DW66,IF(A67&lt;'Données projet'!$A$166,$DL$205^A67,IF(A67='Données projet'!$A$166,'Données projet'!$B$166,DO66+DN67-DW66)))</f>
        <v>494.79999999999967</v>
      </c>
      <c r="DP67" s="18">
        <f>DO67*VLOOKUP('Données projet'!$B$14,Paramètres!$A$1:$I$89,3,0)*VLOOKUP('Données projet'!$B$14,Paramètres!$A$1:$I$89,5,0)</f>
        <v>231.56639999999985</v>
      </c>
      <c r="DQ67" s="14">
        <f t="shared" si="43"/>
        <v>56.621239926036594</v>
      </c>
      <c r="DR67" s="22">
        <f t="shared" si="16"/>
        <v>501.92680620451353</v>
      </c>
      <c r="DS67" s="62">
        <f t="shared" si="17"/>
        <v>765.35115836406828</v>
      </c>
      <c r="DT67" s="62">
        <f ca="1">AVERAGE(OFFSET($DS$3,0,0,'Données projet'!$E$14+1,1))-AVERAGE(OFFSET($H$3,0,0,'Données projet'!$E$14+1,1))</f>
        <v>429.87867712133851</v>
      </c>
      <c r="DU67" s="62">
        <f t="shared" si="44"/>
        <v>182.81277865988014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0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0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4.4871794871794801</v>
      </c>
      <c r="EJ67" s="13">
        <f>IF('Données projet'!$A$192&gt;35,EJ66+EI67-ER66,IF(A67&lt;'Données projet'!$A$192,$EG$205^A67,IF(A67='Données projet'!$A$192,'Données projet'!$B$192,EJ66+EI67-ER66)))</f>
        <v>194.23076923076925</v>
      </c>
      <c r="EK67" s="18">
        <f>EJ67*VLOOKUP('Données projet'!$B$15,Paramètres!$A$1:$I$89,3,0)*VLOOKUP('Données projet'!$B$15,Paramètres!$A$1:$I$89,5,0)</f>
        <v>130.29000000000002</v>
      </c>
      <c r="EL67" s="14">
        <f t="shared" si="45"/>
        <v>34.063361124931106</v>
      </c>
      <c r="EM67" s="22">
        <f t="shared" si="19"/>
        <v>286.24877062592168</v>
      </c>
      <c r="EN67" s="62">
        <f t="shared" si="20"/>
        <v>549.67312278547638</v>
      </c>
      <c r="EO67" s="62">
        <f ca="1">AVERAGE(OFFSET($EN$3,0,0,'Données projet'!$E$15+1,1))-AVERAGE(OFFSET($H$3,0,0,'Données projet'!$E$15+1,1))</f>
        <v>296.18088377871669</v>
      </c>
      <c r="EP67" s="62">
        <f t="shared" si="46"/>
        <v>252.23833925792056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0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0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4.4871794871794801</v>
      </c>
      <c r="FE67" s="13">
        <f>IF('Données projet'!$A$218&gt;35,FE66+FD67-FM66,IF(A67&lt;'Données projet'!$A$218,$FB$205^A67,IF(A67='Données projet'!$A$218,'Données projet'!$B$218,FE66+FD67-FM66)))</f>
        <v>194.23076923076925</v>
      </c>
      <c r="FF67" s="18">
        <f>FE67*VLOOKUP('Données projet'!$B$16,Paramètres!$A$1:$I$89,3,0)*VLOOKUP('Données projet'!$B$16,Paramètres!$A$1:$I$89,5,0)</f>
        <v>166.65000000000003</v>
      </c>
      <c r="FG67" s="14">
        <f t="shared" si="47"/>
        <v>42.338868155730843</v>
      </c>
      <c r="FH67" s="22">
        <f t="shared" si="22"/>
        <v>363.98894537123124</v>
      </c>
      <c r="FI67" s="62">
        <f t="shared" si="23"/>
        <v>627.41329753078594</v>
      </c>
      <c r="FJ67" s="62">
        <f ca="1">AVERAGE(OFFSET($FI$3,0,0,'Données projet'!$E$16+1,1))-AVERAGE(OFFSET($H$3,0,0,'Données projet'!$E$16+1,1))</f>
        <v>359.20464555327072</v>
      </c>
      <c r="FK67" s="62">
        <f t="shared" si="48"/>
        <v>305.54154052071863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0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0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229</v>
      </c>
      <c r="L68" s="13">
        <f>VLOOKUP(A68,'Données projet'!$A$35:$I$55,9,0)</f>
        <v>7.2</v>
      </c>
      <c r="M68" s="13">
        <f t="array" ref="M68">INDEX(L:L,MIN(IF(ISNUMBER(L68:L264),ROW(L68:L264),"")))</f>
        <v>7.2</v>
      </c>
      <c r="N68" s="14">
        <f>IF('Données projet'!$A$36&gt;35,N67+M68-V67,IF(A68&lt;'Données projet'!$A$36,$K$205^A68,IF(A68='Données projet'!$A$36,'Données projet'!$B$36,N67+M68-V67)))</f>
        <v>228.99999999999991</v>
      </c>
      <c r="O68" s="14">
        <f>N68*VLOOKUP('Données projet'!$B$9,Paramètres!$A$1:$I$89,3,0)*VLOOKUP('Données projet'!$B$9,Paramètres!$A$1:$I$89,5,0)</f>
        <v>232.2059999999999</v>
      </c>
      <c r="P68" s="14">
        <f t="shared" si="33"/>
        <v>56.759404991217522</v>
      </c>
      <c r="Q68" s="22">
        <f t="shared" si="54"/>
        <v>503.281413693037</v>
      </c>
      <c r="R68" s="62">
        <f t="shared" si="55"/>
        <v>767.2246198094922</v>
      </c>
      <c r="S68" s="62">
        <f ca="1">AVERAGE(OFFSET($R$3,0,0,'Données projet'!$E$9+1,1))-AVERAGE(OFFSET($H$3,0,0,'Données projet'!$E$9+1,1))</f>
        <v>516.30971934066179</v>
      </c>
      <c r="T68" s="62">
        <f t="shared" si="34"/>
        <v>290.84286505723571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246.49559999999991</v>
      </c>
      <c r="AK68" s="14">
        <f t="shared" si="35"/>
        <v>59.834910912017278</v>
      </c>
      <c r="AL68" s="22">
        <f t="shared" ref="AL68:AL131" si="58">(AJ68+AK68)*0.475*44/12</f>
        <v>533.52563983842992</v>
      </c>
      <c r="AM68" s="62">
        <f t="shared" ref="AM68:AM131" si="59">AL68+(AD68+AE68)*44/12</f>
        <v>797.46884595488518</v>
      </c>
      <c r="AN68" s="62">
        <f ca="1">AVERAGE(OFFSET($AM$3,0,0,'Données projet'!$E$10+1,1))-AVERAGE(OFFSET($H$3,0,0,'Données projet'!$E$10+1,1))</f>
        <v>542.90832990875208</v>
      </c>
      <c r="AO68" s="62">
        <f t="shared" si="36"/>
        <v>304.94365539329362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221.48879999999991</v>
      </c>
      <c r="BF68" s="14">
        <f t="shared" si="37"/>
        <v>54.43834191952984</v>
      </c>
      <c r="BG68" s="22">
        <f t="shared" ref="BG68:BG131" si="61">(BE68+BF68)*0.475*44/12</f>
        <v>480.57310550984766</v>
      </c>
      <c r="BH68" s="62">
        <f t="shared" ref="BH68:BH131" si="62">BG68+(AY68+AZ68)*44/12</f>
        <v>744.51631162630292</v>
      </c>
      <c r="BI68" s="62">
        <f ca="1">AVERAGE(OFFSET($BH$3,0,0,'Données projet'!$E$11+1,1))-AVERAGE(OFFSET($H$3,0,0,'Données projet'!$E$11+1,1))</f>
        <v>496.33873798282525</v>
      </c>
      <c r="BJ68" s="62">
        <f t="shared" si="38"/>
        <v>280.25465074992246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211.70000000000002</v>
      </c>
      <c r="BW68" s="13">
        <f>VLOOKUP(A68,'Données projet'!$A$113:$I$133,9,0)</f>
        <v>3.4400000000000035</v>
      </c>
      <c r="BX68" s="13">
        <f t="array" ref="BX68">INDEX(BW:BW,MIN(IF(ISNUMBER(BW68:BW264),ROW(BW68:BW264),"")))</f>
        <v>3.4400000000000035</v>
      </c>
      <c r="BY68" s="13">
        <f>IF('Données projet'!$A$114&gt;35,BY67+BX68-CG67,IF(A68&lt;'Données projet'!$A$114,$BV$205^A68,IF(A68='Données projet'!$A$114,'Données projet'!$B$114,BY67+BX68-CG67)))</f>
        <v>211.70000000000016</v>
      </c>
      <c r="BZ68" s="14">
        <f>BY68*VLOOKUP('Données projet'!$B$12,Paramètres!$A$1:$I$89,3,0)*VLOOKUP('Données projet'!$B$12,Paramètres!$A$1:$I$89,5,0)</f>
        <v>184.94112000000018</v>
      </c>
      <c r="CA68" s="14">
        <f t="shared" si="39"/>
        <v>46.419755730249477</v>
      </c>
      <c r="CB68" s="22">
        <f t="shared" ref="CB68:CB131" si="64">(BZ68+CA68)*0.475*44/12</f>
        <v>402.95352523018482</v>
      </c>
      <c r="CC68" s="62">
        <f t="shared" ref="CC68:CC131" si="65">CB68+(BT68+BU68)*44/12</f>
        <v>666.89673134664008</v>
      </c>
      <c r="CD68" s="62">
        <f ca="1">AVERAGE(OFFSET($CC$3,0,0,'Données projet'!$E$12+1,1))-AVERAGE(OFFSET($H$3,0,0,'Données projet'!$E$12+1,1))</f>
        <v>298.28891728374822</v>
      </c>
      <c r="CE68" s="62">
        <f t="shared" si="40"/>
        <v>275.07405533331371</v>
      </c>
      <c r="CF68" s="16">
        <f>IF(ISNA(VLOOKUP(A68,'Données projet'!$A$113:$I$133,3,0)),0,VLOOKUP(A68,'Données projet'!$A$113:$I$133,3,0))</f>
        <v>5</v>
      </c>
      <c r="CG68" s="16">
        <f>IF(ISNA(VLOOKUP(A68,'Données projet'!$A$113:$I$133,4,0)),0,VLOOKUP(A68,'Données projet'!$A$113:$I$133,4,0))</f>
        <v>17.700000000000003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14.3</v>
      </c>
      <c r="CT68" s="13">
        <f>IF('Données projet'!$A$140&gt;35,CT67+CS68-DB67,IF(A68&lt;'Données projet'!$A$140,$CQ$205^A68,IF(A68='Données projet'!$A$140,'Données projet'!$B$140,CT67+CS68-DB67)))</f>
        <v>376.50000000000006</v>
      </c>
      <c r="CU68" s="18">
        <f>CT68*VLOOKUP('Données projet'!$B$13,Paramètres!$A$1:$I$89,3,0)*VLOOKUP('Données projet'!$B$13,Paramètres!$A$1:$I$89,5,0)</f>
        <v>225.14700000000005</v>
      </c>
      <c r="CV68" s="14">
        <f t="shared" si="41"/>
        <v>55.232050634645063</v>
      </c>
      <c r="CW68" s="22">
        <f t="shared" ref="CW68:CW131" si="67">(CU68+CV68)*0.475*44/12</f>
        <v>488.32684652200686</v>
      </c>
      <c r="CX68" s="62">
        <f t="shared" ref="CX68:CX131" si="68">CW68+(CO68+CP68)*44/12</f>
        <v>752.27005263846206</v>
      </c>
      <c r="CY68" s="62">
        <f ca="1">AVERAGE(OFFSET($CX$3,0,0,'Données projet'!$E$13+1,1))-AVERAGE(OFFSET($H$3,0,0,'Données projet'!$E$13+1,1))</f>
        <v>320.46614113586043</v>
      </c>
      <c r="CZ68" s="62">
        <f t="shared" si="42"/>
        <v>250.7806929924491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0</v>
      </c>
      <c r="DG68" s="23">
        <f>EXP(-LN(2)/25)*DG67+(1-EXP(-LN(2)/25))/(LN(2)/25)*Calculateur!DB68*Calculateur!DD68*VLOOKUP('Données projet'!$B$13,Paramètres!$A$1:$I$89,3,0)*0.475*44/12</f>
        <v>0</v>
      </c>
      <c r="DH68" s="23">
        <f>EXP(-LN(2)/2)*DH67+(1-EXP(-LN(2)/2))/(LN(2)/2)*DB68*DE68*VLOOKUP('Données projet'!$B$13,Paramètres!$A$1:$I$89,3,0)*0.475*44/12</f>
        <v>5.1137540298965516E-5</v>
      </c>
      <c r="DI68" s="24">
        <f t="shared" ref="DI68:DI131" si="69">SUM(DF68:DH68)</f>
        <v>5.1137540298965516E-5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22.7</v>
      </c>
      <c r="DO68" s="13">
        <f>IF('Données projet'!$A$166&gt;35,DO67+DN68-DW67,IF(A68&lt;'Données projet'!$A$166,$DL$205^A68,IF(A68='Données projet'!$A$166,'Données projet'!$B$166,DO67+DN68-DW67)))</f>
        <v>517.49999999999966</v>
      </c>
      <c r="DP68" s="18">
        <f>DO68*VLOOKUP('Données projet'!$B$14,Paramètres!$A$1:$I$89,3,0)*VLOOKUP('Données projet'!$B$14,Paramètres!$A$1:$I$89,5,0)</f>
        <v>242.18999999999983</v>
      </c>
      <c r="DQ68" s="14">
        <f t="shared" si="43"/>
        <v>58.910470259429303</v>
      </c>
      <c r="DR68" s="22">
        <f t="shared" ref="DR68:DR131" si="70">(DP68+DQ68)*0.475*44/12</f>
        <v>524.41665236850577</v>
      </c>
      <c r="DS68" s="62">
        <f t="shared" ref="DS68:DS131" si="71">DR68+(DJ68+DK68)*44/12</f>
        <v>788.35985848496102</v>
      </c>
      <c r="DT68" s="62">
        <f ca="1">AVERAGE(OFFSET($DS$3,0,0,'Données projet'!$E$14+1,1))-AVERAGE(OFFSET($H$3,0,0,'Données projet'!$E$14+1,1))</f>
        <v>429.87867712133851</v>
      </c>
      <c r="DU68" s="62">
        <f t="shared" si="44"/>
        <v>182.81277865988014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0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0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>
        <f>VLOOKUP(A68,'Données projet'!$A$191:$I$211,2,0)</f>
        <v>198.7179487179487</v>
      </c>
      <c r="EH68" s="13">
        <f>VLOOKUP(A68,'Données projet'!$A$191:$I$211,9,0)</f>
        <v>4.4871794871794801</v>
      </c>
      <c r="EI68" s="13">
        <f t="array" ref="EI68">INDEX(EH:EH,MIN(IF(ISNUMBER(EH68:EH264),ROW(EH68:EH264),"")))</f>
        <v>4.4871794871794801</v>
      </c>
      <c r="EJ68" s="13">
        <f>IF('Données projet'!$A$192&gt;35,EJ67+EI68-ER67,IF(A68&lt;'Données projet'!$A$192,$EG$205^A68,IF(A68='Données projet'!$A$192,'Données projet'!$B$192,EJ67+EI68-ER67)))</f>
        <v>198.71794871794873</v>
      </c>
      <c r="EK68" s="18">
        <f>EJ68*VLOOKUP('Données projet'!$B$15,Paramètres!$A$1:$I$89,3,0)*VLOOKUP('Données projet'!$B$15,Paramètres!$A$1:$I$89,5,0)</f>
        <v>133.30000000000001</v>
      </c>
      <c r="EL68" s="14">
        <f t="shared" si="45"/>
        <v>34.757776388526544</v>
      </c>
      <c r="EM68" s="22">
        <f t="shared" ref="EM68:EM131" si="73">(EK68+EL68)*0.475*44/12</f>
        <v>292.7006272100171</v>
      </c>
      <c r="EN68" s="62">
        <f t="shared" ref="EN68:EN131" si="74">EM68+(EE68+EF68)*44/12</f>
        <v>556.6438333264723</v>
      </c>
      <c r="EO68" s="62">
        <f ca="1">AVERAGE(OFFSET($EN$3,0,0,'Données projet'!$E$15+1,1))-AVERAGE(OFFSET($H$3,0,0,'Données projet'!$E$15+1,1))</f>
        <v>296.18088377871669</v>
      </c>
      <c r="EP68" s="62">
        <f t="shared" si="46"/>
        <v>252.23833925792056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0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0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>
        <f>VLOOKUP(A68,'Données projet'!$A$217:$I$237,2,0)</f>
        <v>198.7179487179487</v>
      </c>
      <c r="FC68" s="13">
        <f>VLOOKUP(A68,'Données projet'!$A$217:$I$237,9,0)</f>
        <v>4.4871794871794801</v>
      </c>
      <c r="FD68" s="13">
        <f t="array" ref="FD68">INDEX(FC:FC,MIN(IF(ISNUMBER(FC68:FC264),ROW(FC68:FC264),"")))</f>
        <v>4.4871794871794801</v>
      </c>
      <c r="FE68" s="13">
        <f>IF('Données projet'!$A$218&gt;35,FE67+FD68-FM67,IF(A68&lt;'Données projet'!$A$218,$FB$205^A68,IF(A68='Données projet'!$A$218,'Données projet'!$B$218,FE67+FD68-FM67)))</f>
        <v>198.71794871794873</v>
      </c>
      <c r="FF68" s="18">
        <f>FE68*VLOOKUP('Données projet'!$B$16,Paramètres!$A$1:$I$89,3,0)*VLOOKUP('Données projet'!$B$16,Paramètres!$A$1:$I$89,5,0)</f>
        <v>170.50000000000003</v>
      </c>
      <c r="FG68" s="14">
        <f t="shared" si="47"/>
        <v>43.20198780451895</v>
      </c>
      <c r="FH68" s="22">
        <f t="shared" ref="FH68:FH131" si="76">(FF68+FG68)*0.475*44/12</f>
        <v>372.19762875953717</v>
      </c>
      <c r="FI68" s="62">
        <f t="shared" ref="FI68:FI131" si="77">FH68+(EZ68+FA68)*44/12</f>
        <v>636.14083487599237</v>
      </c>
      <c r="FJ68" s="62">
        <f ca="1">AVERAGE(OFFSET($FI$3,0,0,'Données projet'!$E$16+1,1))-AVERAGE(OFFSET($H$3,0,0,'Données projet'!$E$16+1,1))</f>
        <v>359.20464555327072</v>
      </c>
      <c r="FK68" s="62">
        <f t="shared" si="48"/>
        <v>305.54154052071863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0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0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6.8</v>
      </c>
      <c r="N69" s="14">
        <f>IF('Données projet'!$A$36&gt;35,N68+M69-V68,IF(A69&lt;'Données projet'!$A$36,$K$205^A69,IF(A69='Données projet'!$A$36,'Données projet'!$B$36,N68+M69-V68)))</f>
        <v>235.79999999999993</v>
      </c>
      <c r="O69" s="14">
        <f>N69*VLOOKUP('Données projet'!$B$9,Paramètres!$A$1:$I$89,3,0)*VLOOKUP('Données projet'!$B$9,Paramètres!$A$1:$I$89,5,0)</f>
        <v>239.10119999999995</v>
      </c>
      <c r="P69" s="14">
        <f t="shared" ref="P69:P132" si="87">EXP(-1.0587+0.8836*LN(O69)+0.284)</f>
        <v>58.246107075777331</v>
      </c>
      <c r="Q69" s="22">
        <f t="shared" si="54"/>
        <v>517.87989315697871</v>
      </c>
      <c r="R69" s="62">
        <f t="shared" si="55"/>
        <v>782.33295227416579</v>
      </c>
      <c r="S69" s="62">
        <f ca="1">AVERAGE(OFFSET($R$3,0,0,'Données projet'!$E$9+1,1))-AVERAGE(OFFSET($H$3,0,0,'Données projet'!$E$9+1,1))</f>
        <v>516.30971934066179</v>
      </c>
      <c r="T69" s="62">
        <f t="shared" ref="T69:T132" si="88">$T$3</f>
        <v>290.84286505723571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235.79999999999993</v>
      </c>
      <c r="AJ69" s="14">
        <f>AI69*VLOOKUP('Données projet'!$B$10,Paramètres!$A$1:$I$89,3,0)*VLOOKUP('Données projet'!$B$10,Paramètres!$A$1:$I$89,5,0)</f>
        <v>253.81511999999992</v>
      </c>
      <c r="AK69" s="14">
        <f t="shared" ref="AK69:AK132" si="89">EXP(-1.0587+0.8836*LN(AJ69)+0.284)</f>
        <v>61.402169885153235</v>
      </c>
      <c r="AL69" s="22">
        <f t="shared" si="58"/>
        <v>549.00344654997514</v>
      </c>
      <c r="AM69" s="62">
        <f t="shared" si="59"/>
        <v>813.45650566716222</v>
      </c>
      <c r="AN69" s="62">
        <f ca="1">AVERAGE(OFFSET($AM$3,0,0,'Données projet'!$E$10+1,1))-AVERAGE(OFFSET($H$3,0,0,'Données projet'!$E$10+1,1))</f>
        <v>542.90832990875208</v>
      </c>
      <c r="AO69" s="62">
        <f t="shared" ref="AO69:AO132" si="90">$AO$3</f>
        <v>304.94365539329362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235.79999999999993</v>
      </c>
      <c r="BE69" s="14">
        <f>BD69*VLOOKUP('Données projet'!$B$11,Paramètres!$A$1:$I$89,3,0)*VLOOKUP('Données projet'!$B$11,Paramètres!$A$1:$I$89,5,0)</f>
        <v>228.06575999999993</v>
      </c>
      <c r="BF69" s="14">
        <f t="shared" ref="BF69:BF132" si="91">EXP(-1.0587+0.8836*LN(BE69)+0.284)</f>
        <v>55.864248276798108</v>
      </c>
      <c r="BG69" s="22">
        <f t="shared" si="61"/>
        <v>494.51143108208981</v>
      </c>
      <c r="BH69" s="62">
        <f t="shared" si="62"/>
        <v>758.96449019927695</v>
      </c>
      <c r="BI69" s="62">
        <f ca="1">AVERAGE(OFFSET($BH$3,0,0,'Données projet'!$E$11+1,1))-AVERAGE(OFFSET($H$3,0,0,'Données projet'!$E$11+1,1))</f>
        <v>496.33873798282525</v>
      </c>
      <c r="BJ69" s="62">
        <f t="shared" ref="BJ69:BJ132" si="92">$BJ$3</f>
        <v>280.25465074992246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2.919999999999999</v>
      </c>
      <c r="BY69" s="13">
        <f>IF('Données projet'!$A$114&gt;35,BY68+BX69-CG68,IF(A69&lt;'Données projet'!$A$114,$BV$205^A69,IF(A69='Données projet'!$A$114,'Données projet'!$B$114,BY68+BX69-CG68)))</f>
        <v>196.92000000000013</v>
      </c>
      <c r="BZ69" s="14">
        <f>BY69*VLOOKUP('Données projet'!$B$12,Paramètres!$A$1:$I$89,3,0)*VLOOKUP('Données projet'!$B$12,Paramètres!$A$1:$I$89,5,0)</f>
        <v>172.02931200000015</v>
      </c>
      <c r="CA69" s="14">
        <f t="shared" ref="CA69:CA132" si="93">EXP(-1.0587+0.8836*LN(BZ69)+0.284)</f>
        <v>43.544207602176456</v>
      </c>
      <c r="CB69" s="22">
        <f t="shared" si="64"/>
        <v>375.45721330712422</v>
      </c>
      <c r="CC69" s="62">
        <f t="shared" si="65"/>
        <v>639.9102724243113</v>
      </c>
      <c r="CD69" s="62">
        <f ca="1">AVERAGE(OFFSET($CC$3,0,0,'Données projet'!$E$12+1,1))-AVERAGE(OFFSET($H$3,0,0,'Données projet'!$E$12+1,1))</f>
        <v>298.28891728374822</v>
      </c>
      <c r="CE69" s="62">
        <f t="shared" ref="CE69:CE132" si="94">$CE$3</f>
        <v>275.07405533331371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14.3</v>
      </c>
      <c r="CT69" s="13">
        <f>IF('Données projet'!$A$140&gt;35,CT68+CS69-DB68,IF(A69&lt;'Données projet'!$A$140,$CQ$205^A69,IF(A69='Données projet'!$A$140,'Données projet'!$B$140,CT68+CS69-DB68)))</f>
        <v>390.80000000000007</v>
      </c>
      <c r="CU69" s="18">
        <f>CT69*VLOOKUP('Données projet'!$B$13,Paramètres!$A$1:$I$89,3,0)*VLOOKUP('Données projet'!$B$13,Paramètres!$A$1:$I$89,5,0)</f>
        <v>233.69840000000005</v>
      </c>
      <c r="CV69" s="14">
        <f t="shared" ref="CV69:CV132" si="95">EXP(-1.0587+0.8836*LN(CU69)+0.284)</f>
        <v>57.081618134454175</v>
      </c>
      <c r="CW69" s="22">
        <f t="shared" si="67"/>
        <v>506.44186491750776</v>
      </c>
      <c r="CX69" s="62">
        <f t="shared" si="68"/>
        <v>770.8949240346949</v>
      </c>
      <c r="CY69" s="62">
        <f ca="1">AVERAGE(OFFSET($CX$3,0,0,'Données projet'!$E$13+1,1))-AVERAGE(OFFSET($H$3,0,0,'Données projet'!$E$13+1,1))</f>
        <v>320.46614113586043</v>
      </c>
      <c r="CZ69" s="62">
        <f t="shared" ref="CZ69:CZ132" si="96">$CZ$3</f>
        <v>250.7806929924491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0</v>
      </c>
      <c r="DG69" s="23">
        <f>EXP(-LN(2)/25)*DG68+(1-EXP(-LN(2)/25))/(LN(2)/25)*Calculateur!DB69*Calculateur!DD69*VLOOKUP('Données projet'!$B$13,Paramètres!$A$1:$I$89,3,0)*0.475*44/12</f>
        <v>0</v>
      </c>
      <c r="DH69" s="23">
        <f>EXP(-LN(2)/2)*DH68+(1-EXP(-LN(2)/2))/(LN(2)/2)*DB69*DE69*VLOOKUP('Données projet'!$B$13,Paramètres!$A$1:$I$89,3,0)*0.475*44/12</f>
        <v>3.6159701518598864E-5</v>
      </c>
      <c r="DI69" s="24">
        <f t="shared" si="69"/>
        <v>3.6159701518598864E-5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22.7</v>
      </c>
      <c r="DO69" s="13">
        <f>IF('Données projet'!$A$166&gt;35,DO68+DN69-DW68,IF(A69&lt;'Données projet'!$A$166,$DL$205^A69,IF(A69='Données projet'!$A$166,'Données projet'!$B$166,DO68+DN69-DW68)))</f>
        <v>540.1999999999997</v>
      </c>
      <c r="DP69" s="18">
        <f>DO69*VLOOKUP('Données projet'!$B$14,Paramètres!$A$1:$I$89,3,0)*VLOOKUP('Données projet'!$B$14,Paramètres!$A$1:$I$89,5,0)</f>
        <v>252.81359999999987</v>
      </c>
      <c r="DQ69" s="14">
        <f t="shared" ref="DQ69:DQ132" si="97">EXP(-1.0587+0.8836*LN(DP69)+0.284)</f>
        <v>61.188037954168315</v>
      </c>
      <c r="DR69" s="22">
        <f t="shared" si="70"/>
        <v>546.88618610350966</v>
      </c>
      <c r="DS69" s="62">
        <f t="shared" si="71"/>
        <v>811.33924522069674</v>
      </c>
      <c r="DT69" s="62">
        <f ca="1">AVERAGE(OFFSET($DS$3,0,0,'Données projet'!$E$14+1,1))-AVERAGE(OFFSET($H$3,0,0,'Données projet'!$E$14+1,1))</f>
        <v>429.87867712133851</v>
      </c>
      <c r="DU69" s="62">
        <f t="shared" ref="DU69:DU132" si="98">$DU$3</f>
        <v>182.81277865988014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0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0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4.3589743589743595</v>
      </c>
      <c r="EJ69" s="13">
        <f>IF('Données projet'!$A$192&gt;35,EJ68+EI69-ER68,IF(A69&lt;'Données projet'!$A$192,$EG$205^A69,IF(A69='Données projet'!$A$192,'Données projet'!$B$192,EJ68+EI69-ER68)))</f>
        <v>203.07692307692309</v>
      </c>
      <c r="EK69" s="18">
        <f>EJ69*VLOOKUP('Données projet'!$B$15,Paramètres!$A$1:$I$89,3,0)*VLOOKUP('Données projet'!$B$15,Paramètres!$A$1:$I$89,5,0)</f>
        <v>136.22400000000002</v>
      </c>
      <c r="EL69" s="14">
        <f t="shared" ref="EL69:EL132" si="99">EXP(-1.0587+0.8836*LN(EK69)+0.284)</f>
        <v>35.430605225162601</v>
      </c>
      <c r="EM69" s="22">
        <f t="shared" si="73"/>
        <v>298.96510410049149</v>
      </c>
      <c r="EN69" s="62">
        <f t="shared" si="74"/>
        <v>563.41816321767851</v>
      </c>
      <c r="EO69" s="62">
        <f ca="1">AVERAGE(OFFSET($EN$3,0,0,'Données projet'!$E$15+1,1))-AVERAGE(OFFSET($H$3,0,0,'Données projet'!$E$15+1,1))</f>
        <v>296.18088377871669</v>
      </c>
      <c r="EP69" s="62">
        <f t="shared" ref="EP69:EP132" si="100">$EP$3</f>
        <v>252.23833925792056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0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0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4.3589743589743595</v>
      </c>
      <c r="FE69" s="13">
        <f>IF('Données projet'!$A$218&gt;35,FE68+FD69-FM68,IF(A69&lt;'Données projet'!$A$218,$FB$205^A69,IF(A69='Données projet'!$A$218,'Données projet'!$B$218,FE68+FD69-FM68)))</f>
        <v>203.07692307692309</v>
      </c>
      <c r="FF69" s="18">
        <f>FE69*VLOOKUP('Données projet'!$B$16,Paramètres!$A$1:$I$89,3,0)*VLOOKUP('Données projet'!$B$16,Paramètres!$A$1:$I$89,5,0)</f>
        <v>174.24000000000004</v>
      </c>
      <c r="FG69" s="14">
        <f t="shared" ref="FG69:FG132" si="101">EXP(-1.0587+0.8836*LN(FF69)+0.284)</f>
        <v>44.038276722140118</v>
      </c>
      <c r="FH69" s="22">
        <f t="shared" si="76"/>
        <v>380.1679986243941</v>
      </c>
      <c r="FI69" s="62">
        <f t="shared" si="77"/>
        <v>644.62105774158113</v>
      </c>
      <c r="FJ69" s="62">
        <f ca="1">AVERAGE(OFFSET($FI$3,0,0,'Données projet'!$E$16+1,1))-AVERAGE(OFFSET($H$3,0,0,'Données projet'!$E$16+1,1))</f>
        <v>359.20464555327072</v>
      </c>
      <c r="FK69" s="62">
        <f t="shared" ref="FK69:FK132" si="102">$FK$3</f>
        <v>305.54154052071863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0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0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6.8</v>
      </c>
      <c r="N70" s="14">
        <f>IF('Données projet'!$A$36&gt;35,N69+M70-V69,IF(A70&lt;'Données projet'!$A$36,$K$205^A70,IF(A70='Données projet'!$A$36,'Données projet'!$B$36,N69+M70-V69)))</f>
        <v>242.59999999999994</v>
      </c>
      <c r="O70" s="14">
        <f>N70*VLOOKUP('Données projet'!$B$9,Paramètres!$A$1:$I$89,3,0)*VLOOKUP('Données projet'!$B$9,Paramètres!$A$1:$I$89,5,0)</f>
        <v>245.99639999999997</v>
      </c>
      <c r="P70" s="14">
        <f t="shared" si="87"/>
        <v>59.72782632026442</v>
      </c>
      <c r="Q70" s="22">
        <f t="shared" si="54"/>
        <v>532.46969417446041</v>
      </c>
      <c r="R70" s="62">
        <f t="shared" si="55"/>
        <v>797.42376148267726</v>
      </c>
      <c r="S70" s="62">
        <f ca="1">AVERAGE(OFFSET($R$3,0,0,'Données projet'!$E$9+1,1))-AVERAGE(OFFSET($H$3,0,0,'Données projet'!$E$9+1,1))</f>
        <v>516.30971934066179</v>
      </c>
      <c r="T70" s="62">
        <f t="shared" si="88"/>
        <v>290.84286505723571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242.59999999999994</v>
      </c>
      <c r="AJ70" s="14">
        <f>AI70*VLOOKUP('Données projet'!$B$10,Paramètres!$A$1:$I$89,3,0)*VLOOKUP('Données projet'!$B$10,Paramètres!$A$1:$I$89,5,0)</f>
        <v>261.13463999999993</v>
      </c>
      <c r="AK70" s="14">
        <f t="shared" si="89"/>
        <v>62.964176023241265</v>
      </c>
      <c r="AL70" s="22">
        <f t="shared" si="58"/>
        <v>564.47210457381163</v>
      </c>
      <c r="AM70" s="62">
        <f t="shared" si="59"/>
        <v>829.42617188202848</v>
      </c>
      <c r="AN70" s="62">
        <f ca="1">AVERAGE(OFFSET($AM$3,0,0,'Données projet'!$E$10+1,1))-AVERAGE(OFFSET($H$3,0,0,'Données projet'!$E$10+1,1))</f>
        <v>542.90832990875208</v>
      </c>
      <c r="AO70" s="62">
        <f t="shared" si="90"/>
        <v>304.94365539329362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242.59999999999994</v>
      </c>
      <c r="BE70" s="14">
        <f>BD70*VLOOKUP('Données projet'!$B$11,Paramètres!$A$1:$I$89,3,0)*VLOOKUP('Données projet'!$B$11,Paramètres!$A$1:$I$89,5,0)</f>
        <v>234.64271999999994</v>
      </c>
      <c r="BF70" s="14">
        <f t="shared" si="91"/>
        <v>57.285375557336316</v>
      </c>
      <c r="BG70" s="22">
        <f t="shared" si="61"/>
        <v>508.44143309569387</v>
      </c>
      <c r="BH70" s="62">
        <f t="shared" si="62"/>
        <v>773.39550040391077</v>
      </c>
      <c r="BI70" s="62">
        <f ca="1">AVERAGE(OFFSET($BH$3,0,0,'Données projet'!$E$11+1,1))-AVERAGE(OFFSET($H$3,0,0,'Données projet'!$E$11+1,1))</f>
        <v>496.33873798282525</v>
      </c>
      <c r="BJ70" s="62">
        <f t="shared" si="92"/>
        <v>280.25465074992246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2.919999999999999</v>
      </c>
      <c r="BY70" s="13">
        <f>IF('Données projet'!$A$114&gt;35,BY69+BX70-CG69,IF(A70&lt;'Données projet'!$A$114,$BV$205^A70,IF(A70='Données projet'!$A$114,'Données projet'!$B$114,BY69+BX70-CG69)))</f>
        <v>199.84000000000012</v>
      </c>
      <c r="BZ70" s="14">
        <f>BY70*VLOOKUP('Données projet'!$B$12,Paramètres!$A$1:$I$89,3,0)*VLOOKUP('Données projet'!$B$12,Paramètres!$A$1:$I$89,5,0)</f>
        <v>174.58022400000013</v>
      </c>
      <c r="CA70" s="14">
        <f t="shared" si="93"/>
        <v>44.114248761738594</v>
      </c>
      <c r="CB70" s="22">
        <f t="shared" si="64"/>
        <v>380.89287339336153</v>
      </c>
      <c r="CC70" s="62">
        <f t="shared" si="65"/>
        <v>645.84694070157843</v>
      </c>
      <c r="CD70" s="62">
        <f ca="1">AVERAGE(OFFSET($CC$3,0,0,'Données projet'!$E$12+1,1))-AVERAGE(OFFSET($H$3,0,0,'Données projet'!$E$12+1,1))</f>
        <v>298.28891728374822</v>
      </c>
      <c r="CE70" s="62">
        <f t="shared" si="94"/>
        <v>275.07405533331371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14.3</v>
      </c>
      <c r="CT70" s="13">
        <f>IF('Données projet'!$A$140&gt;35,CT69+CS70-DB69,IF(A70&lt;'Données projet'!$A$140,$CQ$205^A70,IF(A70='Données projet'!$A$140,'Données projet'!$B$140,CT69+CS70-DB69)))</f>
        <v>405.10000000000008</v>
      </c>
      <c r="CU70" s="18">
        <f>CT70*VLOOKUP('Données projet'!$B$13,Paramètres!$A$1:$I$89,3,0)*VLOOKUP('Données projet'!$B$13,Paramètres!$A$1:$I$89,5,0)</f>
        <v>242.24980000000005</v>
      </c>
      <c r="CV70" s="14">
        <f t="shared" si="95"/>
        <v>58.923322739321947</v>
      </c>
      <c r="CW70" s="22">
        <f t="shared" si="67"/>
        <v>524.54318877098581</v>
      </c>
      <c r="CX70" s="62">
        <f t="shared" si="68"/>
        <v>789.49725607920277</v>
      </c>
      <c r="CY70" s="62">
        <f ca="1">AVERAGE(OFFSET($CX$3,0,0,'Données projet'!$E$13+1,1))-AVERAGE(OFFSET($H$3,0,0,'Données projet'!$E$13+1,1))</f>
        <v>320.46614113586043</v>
      </c>
      <c r="CZ70" s="62">
        <f t="shared" si="96"/>
        <v>250.7806929924491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0</v>
      </c>
      <c r="DG70" s="23">
        <f>EXP(-LN(2)/25)*DG69+(1-EXP(-LN(2)/25))/(LN(2)/25)*Calculateur!DB70*Calculateur!DD70*VLOOKUP('Données projet'!$B$13,Paramètres!$A$1:$I$89,3,0)*0.475*44/12</f>
        <v>0</v>
      </c>
      <c r="DH70" s="23">
        <f>EXP(-LN(2)/2)*DH69+(1-EXP(-LN(2)/2))/(LN(2)/2)*DB70*DE70*VLOOKUP('Données projet'!$B$13,Paramètres!$A$1:$I$89,3,0)*0.475*44/12</f>
        <v>2.5568770149482758E-5</v>
      </c>
      <c r="DI70" s="24">
        <f t="shared" si="69"/>
        <v>2.5568770149482758E-5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22.7</v>
      </c>
      <c r="DO70" s="13">
        <f>IF('Données projet'!$A$166&gt;35,DO69+DN70-DW69,IF(A70&lt;'Données projet'!$A$166,$DL$205^A70,IF(A70='Données projet'!$A$166,'Données projet'!$B$166,DO69+DN70-DW69)))</f>
        <v>562.89999999999975</v>
      </c>
      <c r="DP70" s="18">
        <f>DO70*VLOOKUP('Données projet'!$B$14,Paramètres!$A$1:$I$89,3,0)*VLOOKUP('Données projet'!$B$14,Paramètres!$A$1:$I$89,5,0)</f>
        <v>263.43719999999985</v>
      </c>
      <c r="DQ70" s="14">
        <f t="shared" si="97"/>
        <v>63.454489128933133</v>
      </c>
      <c r="DR70" s="22">
        <f t="shared" si="70"/>
        <v>569.33635856622493</v>
      </c>
      <c r="DS70" s="62">
        <f t="shared" si="71"/>
        <v>834.29042587444178</v>
      </c>
      <c r="DT70" s="62">
        <f ca="1">AVERAGE(OFFSET($DS$3,0,0,'Données projet'!$E$14+1,1))-AVERAGE(OFFSET($H$3,0,0,'Données projet'!$E$14+1,1))</f>
        <v>429.87867712133851</v>
      </c>
      <c r="DU70" s="62">
        <f t="shared" si="98"/>
        <v>182.81277865988014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0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0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4.3589743589743595</v>
      </c>
      <c r="EJ70" s="13">
        <f>IF('Données projet'!$A$192&gt;35,EJ69+EI70-ER69,IF(A70&lt;'Données projet'!$A$192,$EG$205^A70,IF(A70='Données projet'!$A$192,'Données projet'!$B$192,EJ69+EI70-ER69)))</f>
        <v>207.43589743589746</v>
      </c>
      <c r="EK70" s="18">
        <f>EJ70*VLOOKUP('Données projet'!$B$15,Paramètres!$A$1:$I$89,3,0)*VLOOKUP('Données projet'!$B$15,Paramètres!$A$1:$I$89,5,0)</f>
        <v>139.14800000000002</v>
      </c>
      <c r="EL70" s="14">
        <f t="shared" si="99"/>
        <v>36.101754971155387</v>
      </c>
      <c r="EM70" s="22">
        <f t="shared" si="73"/>
        <v>305.22665657476233</v>
      </c>
      <c r="EN70" s="62">
        <f t="shared" si="74"/>
        <v>570.18072388297924</v>
      </c>
      <c r="EO70" s="62">
        <f ca="1">AVERAGE(OFFSET($EN$3,0,0,'Données projet'!$E$15+1,1))-AVERAGE(OFFSET($H$3,0,0,'Données projet'!$E$15+1,1))</f>
        <v>296.18088377871669</v>
      </c>
      <c r="EP70" s="62">
        <f t="shared" si="100"/>
        <v>252.23833925792056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0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0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4.3589743589743595</v>
      </c>
      <c r="FE70" s="13">
        <f>IF('Données projet'!$A$218&gt;35,FE69+FD70-FM69,IF(A70&lt;'Données projet'!$A$218,$FB$205^A70,IF(A70='Données projet'!$A$218,'Données projet'!$B$218,FE69+FD70-FM69)))</f>
        <v>207.43589743589746</v>
      </c>
      <c r="FF70" s="18">
        <f>FE70*VLOOKUP('Données projet'!$B$16,Paramètres!$A$1:$I$89,3,0)*VLOOKUP('Données projet'!$B$16,Paramètres!$A$1:$I$89,5,0)</f>
        <v>177.98000000000002</v>
      </c>
      <c r="FG70" s="14">
        <f t="shared" si="101"/>
        <v>44.872478623242138</v>
      </c>
      <c r="FH70" s="22">
        <f t="shared" si="76"/>
        <v>388.13473360214675</v>
      </c>
      <c r="FI70" s="62">
        <f t="shared" si="77"/>
        <v>653.08880091036372</v>
      </c>
      <c r="FJ70" s="62">
        <f ca="1">AVERAGE(OFFSET($FI$3,0,0,'Données projet'!$E$16+1,1))-AVERAGE(OFFSET($H$3,0,0,'Données projet'!$E$16+1,1))</f>
        <v>359.20464555327072</v>
      </c>
      <c r="FK70" s="62">
        <f t="shared" si="102"/>
        <v>305.54154052071863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0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0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6.8</v>
      </c>
      <c r="N71" s="14">
        <f>IF('Données projet'!$A$36&gt;35,N70+M71-V70,IF(A71&lt;'Données projet'!$A$36,$K$205^A71,IF(A71='Données projet'!$A$36,'Données projet'!$B$36,N70+M71-V70)))</f>
        <v>249.39999999999995</v>
      </c>
      <c r="O71" s="14">
        <f>N71*VLOOKUP('Données projet'!$B$9,Paramètres!$A$1:$I$89,3,0)*VLOOKUP('Données projet'!$B$9,Paramètres!$A$1:$I$89,5,0)</f>
        <v>252.89159999999998</v>
      </c>
      <c r="P71" s="14">
        <f t="shared" si="87"/>
        <v>61.204718436590312</v>
      </c>
      <c r="Q71" s="22">
        <f t="shared" si="54"/>
        <v>547.05108794372802</v>
      </c>
      <c r="R71" s="62">
        <f t="shared" si="55"/>
        <v>812.49747207094686</v>
      </c>
      <c r="S71" s="62">
        <f ca="1">AVERAGE(OFFSET($R$3,0,0,'Données projet'!$E$9+1,1))-AVERAGE(OFFSET($H$3,0,0,'Données projet'!$E$9+1,1))</f>
        <v>516.30971934066179</v>
      </c>
      <c r="T71" s="62">
        <f t="shared" si="88"/>
        <v>290.84286505723571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249.39999999999995</v>
      </c>
      <c r="AJ71" s="14">
        <f>AI71*VLOOKUP('Données projet'!$B$10,Paramètres!$A$1:$I$89,3,0)*VLOOKUP('Données projet'!$B$10,Paramètres!$A$1:$I$89,5,0)</f>
        <v>268.45415999999994</v>
      </c>
      <c r="AK71" s="14">
        <f t="shared" si="89"/>
        <v>64.521093475436089</v>
      </c>
      <c r="AL71" s="22">
        <f t="shared" si="58"/>
        <v>579.93189980305101</v>
      </c>
      <c r="AM71" s="62">
        <f t="shared" si="59"/>
        <v>845.37828393026984</v>
      </c>
      <c r="AN71" s="62">
        <f ca="1">AVERAGE(OFFSET($AM$3,0,0,'Données projet'!$E$10+1,1))-AVERAGE(OFFSET($H$3,0,0,'Données projet'!$E$10+1,1))</f>
        <v>542.90832990875208</v>
      </c>
      <c r="AO71" s="62">
        <f t="shared" si="90"/>
        <v>304.94365539329362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249.39999999999995</v>
      </c>
      <c r="BE71" s="14">
        <f>BD71*VLOOKUP('Données projet'!$B$11,Paramètres!$A$1:$I$89,3,0)*VLOOKUP('Données projet'!$B$11,Paramètres!$A$1:$I$89,5,0)</f>
        <v>241.21967999999995</v>
      </c>
      <c r="BF71" s="14">
        <f t="shared" si="91"/>
        <v>58.701873105526744</v>
      </c>
      <c r="BG71" s="22">
        <f t="shared" si="61"/>
        <v>522.36337165879229</v>
      </c>
      <c r="BH71" s="62">
        <f t="shared" si="62"/>
        <v>787.80975578601112</v>
      </c>
      <c r="BI71" s="62">
        <f ca="1">AVERAGE(OFFSET($BH$3,0,0,'Données projet'!$E$11+1,1))-AVERAGE(OFFSET($H$3,0,0,'Données projet'!$E$11+1,1))</f>
        <v>496.33873798282525</v>
      </c>
      <c r="BJ71" s="62">
        <f t="shared" si="92"/>
        <v>280.25465074992246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2.919999999999999</v>
      </c>
      <c r="BY71" s="13">
        <f>IF('Données projet'!$A$114&gt;35,BY70+BX71-CG70,IF(A71&lt;'Données projet'!$A$114,$BV$205^A71,IF(A71='Données projet'!$A$114,'Données projet'!$B$114,BY70+BX71-CG70)))</f>
        <v>202.7600000000001</v>
      </c>
      <c r="BZ71" s="14">
        <f>BY71*VLOOKUP('Données projet'!$B$12,Paramètres!$A$1:$I$89,3,0)*VLOOKUP('Données projet'!$B$12,Paramètres!$A$1:$I$89,5,0)</f>
        <v>177.13113600000011</v>
      </c>
      <c r="CA71" s="14">
        <f t="shared" si="93"/>
        <v>44.683321182501487</v>
      </c>
      <c r="CB71" s="22">
        <f t="shared" si="64"/>
        <v>386.32684625952356</v>
      </c>
      <c r="CC71" s="62">
        <f t="shared" si="65"/>
        <v>651.7732303867424</v>
      </c>
      <c r="CD71" s="62">
        <f ca="1">AVERAGE(OFFSET($CC$3,0,0,'Données projet'!$E$12+1,1))-AVERAGE(OFFSET($H$3,0,0,'Données projet'!$E$12+1,1))</f>
        <v>298.28891728374822</v>
      </c>
      <c r="CE71" s="62">
        <f t="shared" si="94"/>
        <v>275.07405533331371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14.3</v>
      </c>
      <c r="CT71" s="13">
        <f>IF('Données projet'!$A$140&gt;35,CT70+CS71-DB70,IF(A71&lt;'Données projet'!$A$140,$CQ$205^A71,IF(A71='Données projet'!$A$140,'Données projet'!$B$140,CT70+CS71-DB70)))</f>
        <v>419.40000000000009</v>
      </c>
      <c r="CU71" s="18">
        <f>CT71*VLOOKUP('Données projet'!$B$13,Paramètres!$A$1:$I$89,3,0)*VLOOKUP('Données projet'!$B$13,Paramètres!$A$1:$I$89,5,0)</f>
        <v>250.80120000000008</v>
      </c>
      <c r="CV71" s="14">
        <f t="shared" si="95"/>
        <v>60.757473811682686</v>
      </c>
      <c r="CW71" s="22">
        <f t="shared" si="67"/>
        <v>542.63135688868078</v>
      </c>
      <c r="CX71" s="62">
        <f t="shared" si="68"/>
        <v>808.07774101589962</v>
      </c>
      <c r="CY71" s="62">
        <f ca="1">AVERAGE(OFFSET($CX$3,0,0,'Données projet'!$E$13+1,1))-AVERAGE(OFFSET($H$3,0,0,'Données projet'!$E$13+1,1))</f>
        <v>320.46614113586043</v>
      </c>
      <c r="CZ71" s="62">
        <f t="shared" si="96"/>
        <v>250.7806929924491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0</v>
      </c>
      <c r="DG71" s="23">
        <f>EXP(-LN(2)/25)*DG70+(1-EXP(-LN(2)/25))/(LN(2)/25)*Calculateur!DB71*Calculateur!DD71*VLOOKUP('Données projet'!$B$13,Paramètres!$A$1:$I$89,3,0)*0.475*44/12</f>
        <v>0</v>
      </c>
      <c r="DH71" s="23">
        <f>EXP(-LN(2)/2)*DH70+(1-EXP(-LN(2)/2))/(LN(2)/2)*DB71*DE71*VLOOKUP('Données projet'!$B$13,Paramètres!$A$1:$I$89,3,0)*0.475*44/12</f>
        <v>1.8079850759299432E-5</v>
      </c>
      <c r="DI71" s="24">
        <f t="shared" si="69"/>
        <v>1.8079850759299432E-5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22.7</v>
      </c>
      <c r="DO71" s="13">
        <f>IF('Données projet'!$A$166&gt;35,DO70+DN71-DW70,IF(A71&lt;'Données projet'!$A$166,$DL$205^A71,IF(A71='Données projet'!$A$166,'Données projet'!$B$166,DO70+DN71-DW70)))</f>
        <v>585.5999999999998</v>
      </c>
      <c r="DP71" s="18">
        <f>DO71*VLOOKUP('Données projet'!$B$14,Paramètres!$A$1:$I$89,3,0)*VLOOKUP('Données projet'!$B$14,Paramètres!$A$1:$I$89,5,0)</f>
        <v>274.06079999999992</v>
      </c>
      <c r="DQ71" s="14">
        <f t="shared" si="97"/>
        <v>65.710323362952934</v>
      </c>
      <c r="DR71" s="22">
        <f t="shared" si="70"/>
        <v>591.76803985714275</v>
      </c>
      <c r="DS71" s="62">
        <f t="shared" si="71"/>
        <v>857.21442398436159</v>
      </c>
      <c r="DT71" s="62">
        <f ca="1">AVERAGE(OFFSET($DS$3,0,0,'Données projet'!$E$14+1,1))-AVERAGE(OFFSET($H$3,0,0,'Données projet'!$E$14+1,1))</f>
        <v>429.87867712133851</v>
      </c>
      <c r="DU71" s="62">
        <f t="shared" si="98"/>
        <v>182.81277865988014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0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0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4.3589743589743595</v>
      </c>
      <c r="EJ71" s="13">
        <f>IF('Données projet'!$A$192&gt;35,EJ70+EI71-ER70,IF(A71&lt;'Données projet'!$A$192,$EG$205^A71,IF(A71='Données projet'!$A$192,'Données projet'!$B$192,EJ70+EI71-ER70)))</f>
        <v>211.79487179487182</v>
      </c>
      <c r="EK71" s="18">
        <f>EJ71*VLOOKUP('Données projet'!$B$15,Paramètres!$A$1:$I$89,3,0)*VLOOKUP('Données projet'!$B$15,Paramètres!$A$1:$I$89,5,0)</f>
        <v>142.072</v>
      </c>
      <c r="EL71" s="14">
        <f t="shared" si="99"/>
        <v>36.771264974977768</v>
      </c>
      <c r="EM71" s="22">
        <f t="shared" si="73"/>
        <v>311.48535316475295</v>
      </c>
      <c r="EN71" s="62">
        <f t="shared" si="74"/>
        <v>576.93173729197179</v>
      </c>
      <c r="EO71" s="62">
        <f ca="1">AVERAGE(OFFSET($EN$3,0,0,'Données projet'!$E$15+1,1))-AVERAGE(OFFSET($H$3,0,0,'Données projet'!$E$15+1,1))</f>
        <v>296.18088377871669</v>
      </c>
      <c r="EP71" s="62">
        <f t="shared" si="100"/>
        <v>252.23833925792056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0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0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4.3589743589743595</v>
      </c>
      <c r="FE71" s="13">
        <f>IF('Données projet'!$A$218&gt;35,FE70+FD71-FM70,IF(A71&lt;'Données projet'!$A$218,$FB$205^A71,IF(A71='Données projet'!$A$218,'Données projet'!$B$218,FE70+FD71-FM70)))</f>
        <v>211.79487179487182</v>
      </c>
      <c r="FF71" s="18">
        <f>FE71*VLOOKUP('Données projet'!$B$16,Paramètres!$A$1:$I$89,3,0)*VLOOKUP('Données projet'!$B$16,Paramètres!$A$1:$I$89,5,0)</f>
        <v>181.72000000000006</v>
      </c>
      <c r="FG71" s="14">
        <f t="shared" si="101"/>
        <v>45.704642415793735</v>
      </c>
      <c r="FH71" s="22">
        <f t="shared" si="76"/>
        <v>396.09791887417418</v>
      </c>
      <c r="FI71" s="62">
        <f t="shared" si="77"/>
        <v>661.54430300139302</v>
      </c>
      <c r="FJ71" s="62">
        <f ca="1">AVERAGE(OFFSET($FI$3,0,0,'Données projet'!$E$16+1,1))-AVERAGE(OFFSET($H$3,0,0,'Données projet'!$E$16+1,1))</f>
        <v>359.20464555327072</v>
      </c>
      <c r="FK71" s="62">
        <f t="shared" si="102"/>
        <v>305.54154052071863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0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0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6.8</v>
      </c>
      <c r="N72" s="14">
        <f>IF('Données projet'!$A$36&gt;35,N71+M72-V71,IF(A72&lt;'Données projet'!$A$36,$K$205^A72,IF(A72='Données projet'!$A$36,'Données projet'!$B$36,N71+M72-V71)))</f>
        <v>256.19999999999993</v>
      </c>
      <c r="O72" s="14">
        <f>N72*VLOOKUP('Données projet'!$B$9,Paramètres!$A$1:$I$89,3,0)*VLOOKUP('Données projet'!$B$9,Paramètres!$A$1:$I$89,5,0)</f>
        <v>259.78679999999997</v>
      </c>
      <c r="P72" s="14">
        <f t="shared" si="87"/>
        <v>62.676930162260739</v>
      </c>
      <c r="Q72" s="22">
        <f t="shared" si="54"/>
        <v>561.62433003260401</v>
      </c>
      <c r="R72" s="62">
        <f t="shared" si="55"/>
        <v>827.55449038267056</v>
      </c>
      <c r="S72" s="62">
        <f ca="1">AVERAGE(OFFSET($R$3,0,0,'Données projet'!$E$9+1,1))-AVERAGE(OFFSET($H$3,0,0,'Données projet'!$E$9+1,1))</f>
        <v>516.30971934066179</v>
      </c>
      <c r="T72" s="62">
        <f t="shared" si="88"/>
        <v>290.84286505723571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256.19999999999993</v>
      </c>
      <c r="AJ72" s="14">
        <f>AI72*VLOOKUP('Données projet'!$B$10,Paramètres!$A$1:$I$89,3,0)*VLOOKUP('Données projet'!$B$10,Paramètres!$A$1:$I$89,5,0)</f>
        <v>275.7736799999999</v>
      </c>
      <c r="AK72" s="14">
        <f t="shared" si="89"/>
        <v>66.073076930208813</v>
      </c>
      <c r="AL72" s="22">
        <f t="shared" si="58"/>
        <v>595.38310165344672</v>
      </c>
      <c r="AM72" s="62">
        <f t="shared" si="59"/>
        <v>861.31326200351327</v>
      </c>
      <c r="AN72" s="62">
        <f ca="1">AVERAGE(OFFSET($AM$3,0,0,'Données projet'!$E$10+1,1))-AVERAGE(OFFSET($H$3,0,0,'Données projet'!$E$10+1,1))</f>
        <v>542.90832990875208</v>
      </c>
      <c r="AO72" s="62">
        <f t="shared" si="90"/>
        <v>304.94365539329362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256.19999999999993</v>
      </c>
      <c r="BE72" s="14">
        <f>BD72*VLOOKUP('Données projet'!$B$11,Paramètres!$A$1:$I$89,3,0)*VLOOKUP('Données projet'!$B$11,Paramètres!$A$1:$I$89,5,0)</f>
        <v>247.79663999999997</v>
      </c>
      <c r="BF72" s="14">
        <f t="shared" si="91"/>
        <v>60.113881658336368</v>
      </c>
      <c r="BG72" s="22">
        <f t="shared" si="61"/>
        <v>536.27749188826908</v>
      </c>
      <c r="BH72" s="62">
        <f t="shared" si="62"/>
        <v>802.20765223833564</v>
      </c>
      <c r="BI72" s="62">
        <f ca="1">AVERAGE(OFFSET($BH$3,0,0,'Données projet'!$E$11+1,1))-AVERAGE(OFFSET($H$3,0,0,'Données projet'!$E$11+1,1))</f>
        <v>496.33873798282525</v>
      </c>
      <c r="BJ72" s="62">
        <f t="shared" si="92"/>
        <v>280.25465074992246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2.919999999999999</v>
      </c>
      <c r="BY72" s="13">
        <f>IF('Données projet'!$A$114&gt;35,BY71+BX72-CG71,IF(A72&lt;'Données projet'!$A$114,$BV$205^A72,IF(A72='Données projet'!$A$114,'Données projet'!$B$114,BY71+BX72-CG71)))</f>
        <v>205.68000000000009</v>
      </c>
      <c r="BZ72" s="14">
        <f>BY72*VLOOKUP('Données projet'!$B$12,Paramètres!$A$1:$I$89,3,0)*VLOOKUP('Données projet'!$B$12,Paramètres!$A$1:$I$89,5,0)</f>
        <v>179.68204800000009</v>
      </c>
      <c r="CA72" s="14">
        <f t="shared" si="93"/>
        <v>45.251440427466463</v>
      </c>
      <c r="CB72" s="22">
        <f t="shared" si="64"/>
        <v>391.75915901117088</v>
      </c>
      <c r="CC72" s="62">
        <f t="shared" si="65"/>
        <v>657.68931936123749</v>
      </c>
      <c r="CD72" s="62">
        <f ca="1">AVERAGE(OFFSET($CC$3,0,0,'Données projet'!$E$12+1,1))-AVERAGE(OFFSET($H$3,0,0,'Données projet'!$E$12+1,1))</f>
        <v>298.28891728374822</v>
      </c>
      <c r="CE72" s="62">
        <f t="shared" si="94"/>
        <v>275.07405533331371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14.3</v>
      </c>
      <c r="CT72" s="13">
        <f>IF('Données projet'!$A$140&gt;35,CT71+CS72-DB71,IF(A72&lt;'Données projet'!$A$140,$CQ$205^A72,IF(A72='Données projet'!$A$140,'Données projet'!$B$140,CT71+CS72-DB71)))</f>
        <v>433.7000000000001</v>
      </c>
      <c r="CU72" s="18">
        <f>CT72*VLOOKUP('Données projet'!$B$13,Paramètres!$A$1:$I$89,3,0)*VLOOKUP('Données projet'!$B$13,Paramètres!$A$1:$I$89,5,0)</f>
        <v>259.35260000000011</v>
      </c>
      <c r="CV72" s="14">
        <f t="shared" si="95"/>
        <v>62.58435842101963</v>
      </c>
      <c r="CW72" s="22">
        <f t="shared" si="67"/>
        <v>560.70686924994277</v>
      </c>
      <c r="CX72" s="62">
        <f t="shared" si="68"/>
        <v>826.63702960000933</v>
      </c>
      <c r="CY72" s="62">
        <f ca="1">AVERAGE(OFFSET($CX$3,0,0,'Données projet'!$E$13+1,1))-AVERAGE(OFFSET($H$3,0,0,'Données projet'!$E$13+1,1))</f>
        <v>320.46614113586043</v>
      </c>
      <c r="CZ72" s="62">
        <f t="shared" si="96"/>
        <v>250.7806929924491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0</v>
      </c>
      <c r="DG72" s="23">
        <f>EXP(-LN(2)/25)*DG71+(1-EXP(-LN(2)/25))/(LN(2)/25)*Calculateur!DB72*Calculateur!DD72*VLOOKUP('Données projet'!$B$13,Paramètres!$A$1:$I$89,3,0)*0.475*44/12</f>
        <v>0</v>
      </c>
      <c r="DH72" s="23">
        <f>EXP(-LN(2)/2)*DH71+(1-EXP(-LN(2)/2))/(LN(2)/2)*DB72*DE72*VLOOKUP('Données projet'!$B$13,Paramètres!$A$1:$I$89,3,0)*0.475*44/12</f>
        <v>1.2784385074741379E-5</v>
      </c>
      <c r="DI72" s="24">
        <f t="shared" si="69"/>
        <v>1.2784385074741379E-5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22.7</v>
      </c>
      <c r="DO72" s="13">
        <f>IF('Données projet'!$A$166&gt;35,DO71+DN72-DW71,IF(A72&lt;'Données projet'!$A$166,$DL$205^A72,IF(A72='Données projet'!$A$166,'Données projet'!$B$166,DO71+DN72-DW71)))</f>
        <v>608.29999999999984</v>
      </c>
      <c r="DP72" s="18">
        <f>DO72*VLOOKUP('Données projet'!$B$14,Paramètres!$A$1:$I$89,3,0)*VLOOKUP('Données projet'!$B$14,Paramètres!$A$1:$I$89,5,0)</f>
        <v>284.68439999999993</v>
      </c>
      <c r="DQ72" s="14">
        <f t="shared" si="97"/>
        <v>67.955999311251276</v>
      </c>
      <c r="DR72" s="22">
        <f t="shared" si="70"/>
        <v>614.18202880042918</v>
      </c>
      <c r="DS72" s="62">
        <f t="shared" si="71"/>
        <v>880.11218915049574</v>
      </c>
      <c r="DT72" s="62">
        <f ca="1">AVERAGE(OFFSET($DS$3,0,0,'Données projet'!$E$14+1,1))-AVERAGE(OFFSET($H$3,0,0,'Données projet'!$E$14+1,1))</f>
        <v>429.87867712133851</v>
      </c>
      <c r="DU72" s="62">
        <f t="shared" si="98"/>
        <v>182.81277865988014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0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0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4.3589743589743595</v>
      </c>
      <c r="EJ72" s="13">
        <f>IF('Données projet'!$A$192&gt;35,EJ71+EI72-ER71,IF(A72&lt;'Données projet'!$A$192,$EG$205^A72,IF(A72='Données projet'!$A$192,'Données projet'!$B$192,EJ71+EI72-ER71)))</f>
        <v>216.15384615384619</v>
      </c>
      <c r="EK72" s="18">
        <f>EJ72*VLOOKUP('Données projet'!$B$15,Paramètres!$A$1:$I$89,3,0)*VLOOKUP('Données projet'!$B$15,Paramètres!$A$1:$I$89,5,0)</f>
        <v>144.99600000000004</v>
      </c>
      <c r="EL72" s="14">
        <f t="shared" si="99"/>
        <v>37.439172872855487</v>
      </c>
      <c r="EM72" s="22">
        <f t="shared" si="73"/>
        <v>317.74125942022334</v>
      </c>
      <c r="EN72" s="62">
        <f t="shared" si="74"/>
        <v>583.67141977028996</v>
      </c>
      <c r="EO72" s="62">
        <f ca="1">AVERAGE(OFFSET($EN$3,0,0,'Données projet'!$E$15+1,1))-AVERAGE(OFFSET($H$3,0,0,'Données projet'!$E$15+1,1))</f>
        <v>296.18088377871669</v>
      </c>
      <c r="EP72" s="62">
        <f t="shared" si="100"/>
        <v>252.23833925792056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0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0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4.3589743589743595</v>
      </c>
      <c r="FE72" s="13">
        <f>IF('Données projet'!$A$218&gt;35,FE71+FD72-FM71,IF(A72&lt;'Données projet'!$A$218,$FB$205^A72,IF(A72='Données projet'!$A$218,'Données projet'!$B$218,FE71+FD72-FM71)))</f>
        <v>216.15384615384619</v>
      </c>
      <c r="FF72" s="18">
        <f>FE72*VLOOKUP('Données projet'!$B$16,Paramètres!$A$1:$I$89,3,0)*VLOOKUP('Données projet'!$B$16,Paramètres!$A$1:$I$89,5,0)</f>
        <v>185.46000000000006</v>
      </c>
      <c r="FG72" s="14">
        <f t="shared" si="101"/>
        <v>46.53481487953573</v>
      </c>
      <c r="FH72" s="22">
        <f t="shared" si="76"/>
        <v>404.05763591519144</v>
      </c>
      <c r="FI72" s="62">
        <f t="shared" si="77"/>
        <v>669.987796265258</v>
      </c>
      <c r="FJ72" s="62">
        <f ca="1">AVERAGE(OFFSET($FI$3,0,0,'Données projet'!$E$16+1,1))-AVERAGE(OFFSET($H$3,0,0,'Données projet'!$E$16+1,1))</f>
        <v>359.20464555327072</v>
      </c>
      <c r="FK72" s="62">
        <f t="shared" si="102"/>
        <v>305.54154052071863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0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0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263</v>
      </c>
      <c r="L73" s="13">
        <f>VLOOKUP(A73,'Données projet'!$A$35:$I$55,9,0)</f>
        <v>6.8</v>
      </c>
      <c r="M73" s="13">
        <f t="array" ref="M73">INDEX(L:L,MIN(IF(ISNUMBER(L73:L269),ROW(L73:L269),"")))</f>
        <v>6.8</v>
      </c>
      <c r="N73" s="14">
        <f>IF('Données projet'!$A$36&gt;35,N72+M73-V72,IF(A73&lt;'Données projet'!$A$36,$K$205^A73,IF(A73='Données projet'!$A$36,'Données projet'!$B$36,N72+M73-V72)))</f>
        <v>262.99999999999994</v>
      </c>
      <c r="O73" s="14">
        <f>N73*VLOOKUP('Données projet'!$B$9,Paramètres!$A$1:$I$89,3,0)*VLOOKUP('Données projet'!$B$9,Paramètres!$A$1:$I$89,5,0)</f>
        <v>266.68199999999996</v>
      </c>
      <c r="P73" s="14">
        <f t="shared" si="87"/>
        <v>64.144600001897771</v>
      </c>
      <c r="Q73" s="22">
        <f t="shared" si="54"/>
        <v>576.189661669972</v>
      </c>
      <c r="R73" s="62">
        <f t="shared" si="55"/>
        <v>842.59520580698154</v>
      </c>
      <c r="S73" s="62">
        <f ca="1">AVERAGE(OFFSET($R$3,0,0,'Données projet'!$E$9+1,1))-AVERAGE(OFFSET($H$3,0,0,'Données projet'!$E$9+1,1))</f>
        <v>516.30971934066179</v>
      </c>
      <c r="T73" s="62">
        <f t="shared" si="88"/>
        <v>290.84286505723571</v>
      </c>
      <c r="U73" s="16">
        <f>IF(ISNA(VLOOKUP(A73,'Données projet'!$A$35:$I$55,3,0)),0,VLOOKUP(A73,'Données projet'!$A$35:$I$55,3,0))</f>
        <v>5</v>
      </c>
      <c r="V73" s="16">
        <f>IF(ISNA(VLOOKUP(A73,'Données projet'!$A$35:$I$55,4,0)),0,VLOOKUP(A73,'Données projet'!$A$35:$I$55,4,0))</f>
        <v>42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263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262.99999999999994</v>
      </c>
      <c r="AJ73" s="14">
        <f>AI73*VLOOKUP('Données projet'!$B$10,Paramètres!$A$1:$I$89,3,0)*VLOOKUP('Données projet'!$B$10,Paramètres!$A$1:$I$89,5,0)</f>
        <v>283.09319999999991</v>
      </c>
      <c r="AK73" s="14">
        <f t="shared" si="89"/>
        <v>67.620272397048666</v>
      </c>
      <c r="AL73" s="22">
        <f t="shared" si="58"/>
        <v>610.82596442485954</v>
      </c>
      <c r="AM73" s="62">
        <f t="shared" si="59"/>
        <v>877.23150856186908</v>
      </c>
      <c r="AN73" s="62">
        <f ca="1">AVERAGE(OFFSET($AM$3,0,0,'Données projet'!$E$10+1,1))-AVERAGE(OFFSET($H$3,0,0,'Données projet'!$E$10+1,1))</f>
        <v>542.90832990875208</v>
      </c>
      <c r="AO73" s="62">
        <f t="shared" si="90"/>
        <v>304.94365539329362</v>
      </c>
      <c r="AP73" s="16">
        <f>IF(ISNA(VLOOKUP(A73,'Données projet'!$A$61:$I$81,3,0)),0,VLOOKUP(A73,'Données projet'!$A$61:$I$81,3,0))</f>
        <v>5</v>
      </c>
      <c r="AQ73" s="16">
        <f>IF(ISNA(VLOOKUP(A73,'Données projet'!$A$61:$I$81,4,0)),0,VLOOKUP(A73,'Données projet'!$A$61:$I$81,4,0))</f>
        <v>42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263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262.99999999999994</v>
      </c>
      <c r="BE73" s="14">
        <f>BD73*VLOOKUP('Données projet'!$B$11,Paramètres!$A$1:$I$89,3,0)*VLOOKUP('Données projet'!$B$11,Paramètres!$A$1:$I$89,5,0)</f>
        <v>254.37359999999998</v>
      </c>
      <c r="BF73" s="14">
        <f t="shared" si="91"/>
        <v>61.521534056516209</v>
      </c>
      <c r="BG73" s="22">
        <f t="shared" si="61"/>
        <v>550.1840251484324</v>
      </c>
      <c r="BH73" s="62">
        <f t="shared" si="62"/>
        <v>816.58956928544194</v>
      </c>
      <c r="BI73" s="62">
        <f ca="1">AVERAGE(OFFSET($BH$3,0,0,'Données projet'!$E$11+1,1))-AVERAGE(OFFSET($H$3,0,0,'Données projet'!$E$11+1,1))</f>
        <v>496.33873798282525</v>
      </c>
      <c r="BJ73" s="62">
        <f t="shared" si="92"/>
        <v>280.25465074992246</v>
      </c>
      <c r="BK73" s="16">
        <f>IF(ISNA(VLOOKUP(A73,'Données projet'!$A$87:$I$107,3,0)),0,VLOOKUP(A73,'Données projet'!$A$87:$I$107,3,0))</f>
        <v>5</v>
      </c>
      <c r="BL73" s="16">
        <f>IF(ISNA(VLOOKUP(A73,'Données projet'!$A$87:$I$107,4,0)),0,VLOOKUP(A73,'Données projet'!$A$87:$I$107,4,0))</f>
        <v>42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208.6</v>
      </c>
      <c r="BW73" s="13">
        <f>VLOOKUP(A73,'Données projet'!$A$113:$I$133,9,0)</f>
        <v>2.919999999999999</v>
      </c>
      <c r="BX73" s="13">
        <f t="array" ref="BX73">INDEX(BW:BW,MIN(IF(ISNUMBER(BW73:BW269),ROW(BW73:BW269),"")))</f>
        <v>2.919999999999999</v>
      </c>
      <c r="BY73" s="13">
        <f>IF('Données projet'!$A$114&gt;35,BY72+BX73-CG72,IF(A73&lt;'Données projet'!$A$114,$BV$205^A73,IF(A73='Données projet'!$A$114,'Données projet'!$B$114,BY72+BX73-CG72)))</f>
        <v>208.60000000000008</v>
      </c>
      <c r="BZ73" s="14">
        <f>BY73*VLOOKUP('Données projet'!$B$12,Paramètres!$A$1:$I$89,3,0)*VLOOKUP('Données projet'!$B$12,Paramètres!$A$1:$I$89,5,0)</f>
        <v>182.23296000000011</v>
      </c>
      <c r="CA73" s="14">
        <f t="shared" si="93"/>
        <v>45.818621592366334</v>
      </c>
      <c r="CB73" s="22">
        <f t="shared" si="64"/>
        <v>397.18983794003816</v>
      </c>
      <c r="CC73" s="62">
        <f t="shared" si="65"/>
        <v>663.59538207704759</v>
      </c>
      <c r="CD73" s="62">
        <f ca="1">AVERAGE(OFFSET($CC$3,0,0,'Données projet'!$E$12+1,1))-AVERAGE(OFFSET($H$3,0,0,'Données projet'!$E$12+1,1))</f>
        <v>298.28891728374822</v>
      </c>
      <c r="CE73" s="62">
        <f t="shared" si="94"/>
        <v>275.07405533331371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>
        <f>VLOOKUP(A73,'Données projet'!$A$139:$I$159,2,0)</f>
        <v>448</v>
      </c>
      <c r="CR73" s="13">
        <f>VLOOKUP(A73,'Données projet'!$A$139:$I$159,9,0)</f>
        <v>14.3</v>
      </c>
      <c r="CS73" s="13">
        <f t="array" ref="CS73">INDEX(CR:CR,MIN(IF(ISNUMBER(CR73:CR269),ROW(CR73:CR269),"")))</f>
        <v>14.3</v>
      </c>
      <c r="CT73" s="13">
        <f>IF('Données projet'!$A$140&gt;35,CT72+CS73-DB72,IF(A73&lt;'Données projet'!$A$140,$CQ$205^A73,IF(A73='Données projet'!$A$140,'Données projet'!$B$140,CT72+CS73-DB72)))</f>
        <v>448.00000000000011</v>
      </c>
      <c r="CU73" s="18">
        <f>CT73*VLOOKUP('Données projet'!$B$13,Paramètres!$A$1:$I$89,3,0)*VLOOKUP('Données projet'!$B$13,Paramètres!$A$1:$I$89,5,0)</f>
        <v>267.90400000000011</v>
      </c>
      <c r="CV73" s="14">
        <f t="shared" si="95"/>
        <v>64.404243631863267</v>
      </c>
      <c r="CW73" s="22">
        <f t="shared" si="67"/>
        <v>578.77019099216204</v>
      </c>
      <c r="CX73" s="62">
        <f t="shared" si="68"/>
        <v>845.17573512917147</v>
      </c>
      <c r="CY73" s="62">
        <f ca="1">AVERAGE(OFFSET($CX$3,0,0,'Données projet'!$E$13+1,1))-AVERAGE(OFFSET($H$3,0,0,'Données projet'!$E$13+1,1))</f>
        <v>320.46614113586043</v>
      </c>
      <c r="CZ73" s="62">
        <f t="shared" si="96"/>
        <v>250.7806929924491</v>
      </c>
      <c r="DA73" s="16">
        <f>IF(ISNA(VLOOKUP(A73,'Données projet'!$A$139:$I$159,3,0)),0,VLOOKUP(A73,'Données projet'!$A$139:$I$159,3,0))</f>
        <v>6</v>
      </c>
      <c r="DB73" s="16">
        <f>IF(ISNA(VLOOKUP(A73,'Données projet'!$A$139:$I$159,4,0)),0,VLOOKUP(A73,'Données projet'!$A$139:$I$159,4,0))</f>
        <v>78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0</v>
      </c>
      <c r="DG73" s="23">
        <f>EXP(-LN(2)/25)*DG72+(1-EXP(-LN(2)/25))/(LN(2)/25)*Calculateur!DB73*Calculateur!DD73*VLOOKUP('Données projet'!$B$13,Paramètres!$A$1:$I$89,3,0)*0.475*44/12</f>
        <v>0</v>
      </c>
      <c r="DH73" s="23">
        <f>EXP(-LN(2)/2)*DH72+(1-EXP(-LN(2)/2))/(LN(2)/2)*DB73*DE73*VLOOKUP('Données projet'!$B$13,Paramètres!$A$1:$I$89,3,0)*0.475*44/12</f>
        <v>9.0399253796497161E-6</v>
      </c>
      <c r="DI73" s="24">
        <f t="shared" si="69"/>
        <v>9.0399253796497161E-6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>
        <f>VLOOKUP(A73,'Données projet'!$A$165:$I$185,2,0)</f>
        <v>631</v>
      </c>
      <c r="DM73" s="13">
        <f>VLOOKUP(A73,'Données projet'!$A$165:$I$185,9,0)</f>
        <v>22.7</v>
      </c>
      <c r="DN73" s="13">
        <f t="array" ref="DN73">INDEX(DM:DM,MIN(IF(ISNUMBER(DM73:DM269),ROW(DM73:DM269),"")))</f>
        <v>22.7</v>
      </c>
      <c r="DO73" s="13">
        <f>IF('Données projet'!$A$166&gt;35,DO72+DN73-DW72,IF(A73&lt;'Données projet'!$A$166,$DL$205^A73,IF(A73='Données projet'!$A$166,'Données projet'!$B$166,DO72+DN73-DW72)))</f>
        <v>630.99999999999989</v>
      </c>
      <c r="DP73" s="18">
        <f>DO73*VLOOKUP('Données projet'!$B$14,Paramètres!$A$1:$I$89,3,0)*VLOOKUP('Données projet'!$B$14,Paramètres!$A$1:$I$89,5,0)</f>
        <v>295.30799999999994</v>
      </c>
      <c r="DQ73" s="14">
        <f t="shared" si="97"/>
        <v>70.191939458146834</v>
      </c>
      <c r="DR73" s="22">
        <f t="shared" si="70"/>
        <v>636.57906122293889</v>
      </c>
      <c r="DS73" s="62">
        <f t="shared" si="71"/>
        <v>902.98460535994832</v>
      </c>
      <c r="DT73" s="62">
        <f ca="1">AVERAGE(OFFSET($DS$3,0,0,'Données projet'!$E$14+1,1))-AVERAGE(OFFSET($H$3,0,0,'Données projet'!$E$14+1,1))</f>
        <v>429.87867712133851</v>
      </c>
      <c r="DU73" s="62">
        <f t="shared" si="98"/>
        <v>182.81277865988014</v>
      </c>
      <c r="DV73" s="16">
        <f>IF(ISNA(VLOOKUP(A73,'Données projet'!$A$165:$I$185,3,0)),0,VLOOKUP(A73,'Données projet'!$A$165:$I$185,3,0))</f>
        <v>4</v>
      </c>
      <c r="DW73" s="16">
        <f>IF(ISNA(VLOOKUP(A73,'Données projet'!$A$165:$I$185,4,0)),0,VLOOKUP(A73,'Données projet'!$A$165:$I$185,4,0))</f>
        <v>109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0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0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>
        <f>VLOOKUP(A73,'Données projet'!$A$191:$I$211,2,0)</f>
        <v>220.5128205128205</v>
      </c>
      <c r="EH73" s="13">
        <f>VLOOKUP(A73,'Données projet'!$A$191:$I$211,9,0)</f>
        <v>4.3589743589743595</v>
      </c>
      <c r="EI73" s="13">
        <f t="array" ref="EI73">INDEX(EH:EH,MIN(IF(ISNUMBER(EH73:EH269),ROW(EH73:EH269),"")))</f>
        <v>4.3589743589743595</v>
      </c>
      <c r="EJ73" s="13">
        <f>IF('Données projet'!$A$192&gt;35,EJ72+EI73-ER72,IF(A73&lt;'Données projet'!$A$192,$EG$205^A73,IF(A73='Données projet'!$A$192,'Données projet'!$B$192,EJ72+EI73-ER72)))</f>
        <v>220.51282051282055</v>
      </c>
      <c r="EK73" s="18">
        <f>EJ73*VLOOKUP('Données projet'!$B$15,Paramètres!$A$1:$I$89,3,0)*VLOOKUP('Données projet'!$B$15,Paramètres!$A$1:$I$89,5,0)</f>
        <v>147.92000000000002</v>
      </c>
      <c r="EL73" s="14">
        <f t="shared" si="99"/>
        <v>38.105514696277361</v>
      </c>
      <c r="EM73" s="22">
        <f t="shared" si="73"/>
        <v>323.99443809601638</v>
      </c>
      <c r="EN73" s="62">
        <f t="shared" si="74"/>
        <v>590.39998223302587</v>
      </c>
      <c r="EO73" s="62">
        <f ca="1">AVERAGE(OFFSET($EN$3,0,0,'Données projet'!$E$15+1,1))-AVERAGE(OFFSET($H$3,0,0,'Données projet'!$E$15+1,1))</f>
        <v>296.18088377871669</v>
      </c>
      <c r="EP73" s="62">
        <f t="shared" si="100"/>
        <v>252.23833925792056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25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0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0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>
        <f>VLOOKUP(A73,'Données projet'!$A$217:$I$237,2,0)</f>
        <v>220.5128205128205</v>
      </c>
      <c r="FC73" s="13">
        <f>VLOOKUP(A73,'Données projet'!$A$217:$I$237,9,0)</f>
        <v>4.3589743589743595</v>
      </c>
      <c r="FD73" s="13">
        <f t="array" ref="FD73">INDEX(FC:FC,MIN(IF(ISNUMBER(FC73:FC269),ROW(FC73:FC269),"")))</f>
        <v>4.3589743589743595</v>
      </c>
      <c r="FE73" s="13">
        <f>IF('Données projet'!$A$218&gt;35,FE72+FD73-FM72,IF(A73&lt;'Données projet'!$A$218,$FB$205^A73,IF(A73='Données projet'!$A$218,'Données projet'!$B$218,FE72+FD73-FM72)))</f>
        <v>220.51282051282055</v>
      </c>
      <c r="FF73" s="18">
        <f>FE73*VLOOKUP('Données projet'!$B$16,Paramètres!$A$1:$I$89,3,0)*VLOOKUP('Données projet'!$B$16,Paramètres!$A$1:$I$89,5,0)</f>
        <v>189.20000000000005</v>
      </c>
      <c r="FG73" s="14">
        <f t="shared" si="101"/>
        <v>47.363040799609742</v>
      </c>
      <c r="FH73" s="22">
        <f t="shared" si="76"/>
        <v>412.01396272598703</v>
      </c>
      <c r="FI73" s="62">
        <f t="shared" si="77"/>
        <v>678.41950686299651</v>
      </c>
      <c r="FJ73" s="62">
        <f ca="1">AVERAGE(OFFSET($FI$3,0,0,'Données projet'!$E$16+1,1))-AVERAGE(OFFSET($H$3,0,0,'Données projet'!$E$16+1,1))</f>
        <v>359.20464555327072</v>
      </c>
      <c r="FK73" s="62">
        <f t="shared" si="102"/>
        <v>305.54154052071863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25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0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0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6.2</v>
      </c>
      <c r="N74" s="14">
        <f>IF('Données projet'!$A$36&gt;35,N73+M74-V73,IF(A74&lt;'Données projet'!$A$36,$K$205^A74,IF(A74='Données projet'!$A$36,'Données projet'!$B$36,N73+M74-V73)))</f>
        <v>227.19999999999993</v>
      </c>
      <c r="O74" s="14">
        <f>N74*VLOOKUP('Données projet'!$B$9,Paramètres!$A$1:$I$89,3,0)*VLOOKUP('Données projet'!$B$9,Paramètres!$A$1:$I$89,5,0)</f>
        <v>230.38079999999994</v>
      </c>
      <c r="P74" s="14">
        <f t="shared" si="87"/>
        <v>56.365011465139979</v>
      </c>
      <c r="Q74" s="22">
        <f t="shared" si="54"/>
        <v>499.41562163511867</v>
      </c>
      <c r="R74" s="62">
        <f t="shared" si="55"/>
        <v>766.28830271316656</v>
      </c>
      <c r="S74" s="62">
        <f ca="1">AVERAGE(OFFSET($R$3,0,0,'Données projet'!$E$9+1,1))-AVERAGE(OFFSET($H$3,0,0,'Données projet'!$E$9+1,1))</f>
        <v>516.30971934066179</v>
      </c>
      <c r="T74" s="62">
        <f t="shared" si="88"/>
        <v>290.84286505723571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227.19999999999993</v>
      </c>
      <c r="AJ74" s="14">
        <f>AI74*VLOOKUP('Données projet'!$B$10,Paramètres!$A$1:$I$89,3,0)*VLOOKUP('Données projet'!$B$10,Paramètres!$A$1:$I$89,5,0)</f>
        <v>244.55807999999993</v>
      </c>
      <c r="AK74" s="14">
        <f t="shared" si="89"/>
        <v>59.419147189674156</v>
      </c>
      <c r="AL74" s="22">
        <f t="shared" si="58"/>
        <v>529.42700402201569</v>
      </c>
      <c r="AM74" s="62">
        <f t="shared" si="59"/>
        <v>796.2996851000637</v>
      </c>
      <c r="AN74" s="62">
        <f ca="1">AVERAGE(OFFSET($AM$3,0,0,'Données projet'!$E$10+1,1))-AVERAGE(OFFSET($H$3,0,0,'Données projet'!$E$10+1,1))</f>
        <v>542.90832990875208</v>
      </c>
      <c r="AO74" s="62">
        <f t="shared" si="90"/>
        <v>304.94365539329362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227.19999999999993</v>
      </c>
      <c r="BE74" s="14">
        <f>BD74*VLOOKUP('Données projet'!$B$11,Paramètres!$A$1:$I$89,3,0)*VLOOKUP('Données projet'!$B$11,Paramètres!$A$1:$I$89,5,0)</f>
        <v>219.74783999999994</v>
      </c>
      <c r="BF74" s="14">
        <f t="shared" si="91"/>
        <v>54.060076332940561</v>
      </c>
      <c r="BG74" s="22">
        <f t="shared" si="61"/>
        <v>476.88212094653812</v>
      </c>
      <c r="BH74" s="62">
        <f t="shared" si="62"/>
        <v>743.75480202458607</v>
      </c>
      <c r="BI74" s="62">
        <f ca="1">AVERAGE(OFFSET($BH$3,0,0,'Données projet'!$E$11+1,1))-AVERAGE(OFFSET($H$3,0,0,'Données projet'!$E$11+1,1))</f>
        <v>496.33873798282525</v>
      </c>
      <c r="BJ74" s="62">
        <f t="shared" si="92"/>
        <v>280.25465074992246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2.580000000000001</v>
      </c>
      <c r="BY74" s="13">
        <f>IF('Données projet'!$A$114&gt;35,BY73+BX74-CG73,IF(A74&lt;'Données projet'!$A$114,$BV$205^A74,IF(A74='Données projet'!$A$114,'Données projet'!$B$114,BY73+BX74-CG73)))</f>
        <v>211.18000000000009</v>
      </c>
      <c r="BZ74" s="14">
        <f>BY74*VLOOKUP('Données projet'!$B$12,Paramètres!$A$1:$I$89,3,0)*VLOOKUP('Données projet'!$B$12,Paramètres!$A$1:$I$89,5,0)</f>
        <v>184.48684800000009</v>
      </c>
      <c r="CA74" s="14">
        <f t="shared" si="93"/>
        <v>46.318992244819988</v>
      </c>
      <c r="CB74" s="22">
        <f t="shared" si="64"/>
        <v>401.98683842639497</v>
      </c>
      <c r="CC74" s="62">
        <f t="shared" si="65"/>
        <v>668.85951950444291</v>
      </c>
      <c r="CD74" s="62">
        <f ca="1">AVERAGE(OFFSET($CC$3,0,0,'Données projet'!$E$12+1,1))-AVERAGE(OFFSET($H$3,0,0,'Données projet'!$E$12+1,1))</f>
        <v>298.28891728374822</v>
      </c>
      <c r="CE74" s="62">
        <f t="shared" si="94"/>
        <v>275.07405533331371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9</v>
      </c>
      <c r="CT74" s="13">
        <f>IF('Données projet'!$A$140&gt;35,CT73+CS74-DB73,IF(A74&lt;'Données projet'!$A$140,$CQ$205^A74,IF(A74='Données projet'!$A$140,'Données projet'!$B$140,CT73+CS74-DB73)))</f>
        <v>379.00000000000011</v>
      </c>
      <c r="CU74" s="18">
        <f>CT74*VLOOKUP('Données projet'!$B$13,Paramètres!$A$1:$I$89,3,0)*VLOOKUP('Données projet'!$B$13,Paramètres!$A$1:$I$89,5,0)</f>
        <v>226.64200000000008</v>
      </c>
      <c r="CV74" s="14">
        <f t="shared" si="95"/>
        <v>55.555983079812862</v>
      </c>
      <c r="CW74" s="22">
        <f t="shared" si="67"/>
        <v>491.49482053067413</v>
      </c>
      <c r="CX74" s="62">
        <f t="shared" si="68"/>
        <v>758.36750160872202</v>
      </c>
      <c r="CY74" s="62">
        <f ca="1">AVERAGE(OFFSET($CX$3,0,0,'Données projet'!$E$13+1,1))-AVERAGE(OFFSET($H$3,0,0,'Données projet'!$E$13+1,1))</f>
        <v>320.46614113586043</v>
      </c>
      <c r="CZ74" s="62">
        <f t="shared" si="96"/>
        <v>250.7806929924491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0</v>
      </c>
      <c r="DG74" s="23">
        <f>EXP(-LN(2)/25)*DG73+(1-EXP(-LN(2)/25))/(LN(2)/25)*Calculateur!DB74*Calculateur!DD74*VLOOKUP('Données projet'!$B$13,Paramètres!$A$1:$I$89,3,0)*0.475*44/12</f>
        <v>0</v>
      </c>
      <c r="DH74" s="23">
        <f>EXP(-LN(2)/2)*DH73+(1-EXP(-LN(2)/2))/(LN(2)/2)*DB74*DE74*VLOOKUP('Données projet'!$B$13,Paramètres!$A$1:$I$89,3,0)*0.475*44/12</f>
        <v>6.3921925373706895E-6</v>
      </c>
      <c r="DI74" s="24">
        <f t="shared" si="69"/>
        <v>6.3921925373706895E-6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21.2</v>
      </c>
      <c r="DO74" s="13">
        <f>IF('Données projet'!$A$166&gt;35,DO73+DN74-DW73,IF(A74&lt;'Données projet'!$A$166,$DL$205^A74,IF(A74='Données projet'!$A$166,'Données projet'!$B$166,DO73+DN74-DW73)))</f>
        <v>543.19999999999993</v>
      </c>
      <c r="DP74" s="18">
        <f>DO74*VLOOKUP('Données projet'!$B$14,Paramètres!$A$1:$I$89,3,0)*VLOOKUP('Données projet'!$B$14,Paramètres!$A$1:$I$89,5,0)</f>
        <v>254.21759999999998</v>
      </c>
      <c r="DQ74" s="14">
        <f t="shared" si="97"/>
        <v>61.488195182366475</v>
      </c>
      <c r="DR74" s="22">
        <f t="shared" si="70"/>
        <v>549.85425994262152</v>
      </c>
      <c r="DS74" s="62">
        <f t="shared" si="71"/>
        <v>816.72694102066953</v>
      </c>
      <c r="DT74" s="62">
        <f ca="1">AVERAGE(OFFSET($DS$3,0,0,'Données projet'!$E$14+1,1))-AVERAGE(OFFSET($H$3,0,0,'Données projet'!$E$14+1,1))</f>
        <v>429.87867712133851</v>
      </c>
      <c r="DU74" s="62">
        <f t="shared" si="98"/>
        <v>182.81277865988014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0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0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3.974358974358978</v>
      </c>
      <c r="EJ74" s="13">
        <f>IF('Données projet'!$A$192&gt;35,EJ73+EI74-ER73,IF(A74&lt;'Données projet'!$A$192,$EG$205^A74,IF(A74='Données projet'!$A$192,'Données projet'!$B$192,EJ73+EI74-ER73)))</f>
        <v>199.48717948717953</v>
      </c>
      <c r="EK74" s="18">
        <f>EJ74*VLOOKUP('Données projet'!$B$15,Paramètres!$A$1:$I$89,3,0)*VLOOKUP('Données projet'!$B$15,Paramètres!$A$1:$I$89,5,0)</f>
        <v>133.81600000000003</v>
      </c>
      <c r="EL74" s="14">
        <f t="shared" si="99"/>
        <v>34.876634693250637</v>
      </c>
      <c r="EM74" s="22">
        <f t="shared" si="73"/>
        <v>293.80633875741159</v>
      </c>
      <c r="EN74" s="62">
        <f t="shared" si="74"/>
        <v>560.67901983545948</v>
      </c>
      <c r="EO74" s="62">
        <f ca="1">AVERAGE(OFFSET($EN$3,0,0,'Données projet'!$E$15+1,1))-AVERAGE(OFFSET($H$3,0,0,'Données projet'!$E$15+1,1))</f>
        <v>296.18088377871669</v>
      </c>
      <c r="EP74" s="62">
        <f t="shared" si="100"/>
        <v>252.23833925792056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0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0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3.974358974358978</v>
      </c>
      <c r="FE74" s="13">
        <f>IF('Données projet'!$A$218&gt;35,FE73+FD74-FM73,IF(A74&lt;'Données projet'!$A$218,$FB$205^A74,IF(A74='Données projet'!$A$218,'Données projet'!$B$218,FE73+FD74-FM73)))</f>
        <v>199.48717948717953</v>
      </c>
      <c r="FF74" s="18">
        <f>FE74*VLOOKUP('Données projet'!$B$16,Paramètres!$A$1:$I$89,3,0)*VLOOKUP('Données projet'!$B$16,Paramètres!$A$1:$I$89,5,0)</f>
        <v>171.16000000000008</v>
      </c>
      <c r="FG74" s="14">
        <f t="shared" si="101"/>
        <v>43.34972208342559</v>
      </c>
      <c r="FH74" s="22">
        <f t="shared" si="76"/>
        <v>373.60443262863305</v>
      </c>
      <c r="FI74" s="62">
        <f t="shared" si="77"/>
        <v>640.47711370668094</v>
      </c>
      <c r="FJ74" s="62">
        <f ca="1">AVERAGE(OFFSET($FI$3,0,0,'Données projet'!$E$16+1,1))-AVERAGE(OFFSET($H$3,0,0,'Données projet'!$E$16+1,1))</f>
        <v>359.20464555327072</v>
      </c>
      <c r="FK74" s="62">
        <f t="shared" si="102"/>
        <v>305.54154052071863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0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0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6.2</v>
      </c>
      <c r="N75" s="14">
        <f>IF('Données projet'!$A$36&gt;35,N74+M75-V74,IF(A75&lt;'Données projet'!$A$36,$K$205^A75,IF(A75='Données projet'!$A$36,'Données projet'!$B$36,N74+M75-V74)))</f>
        <v>233.39999999999992</v>
      </c>
      <c r="O75" s="14">
        <f>N75*VLOOKUP('Données projet'!$B$9,Paramètres!$A$1:$I$89,3,0)*VLOOKUP('Données projet'!$B$9,Paramètres!$A$1:$I$89,5,0)</f>
        <v>236.66759999999994</v>
      </c>
      <c r="P75" s="14">
        <f t="shared" si="87"/>
        <v>57.721965974560838</v>
      </c>
      <c r="Q75" s="22">
        <f t="shared" si="54"/>
        <v>512.72849407235992</v>
      </c>
      <c r="R75" s="62">
        <f t="shared" si="55"/>
        <v>780.06020830988109</v>
      </c>
      <c r="S75" s="62">
        <f ca="1">AVERAGE(OFFSET($R$3,0,0,'Données projet'!$E$9+1,1))-AVERAGE(OFFSET($H$3,0,0,'Données projet'!$E$9+1,1))</f>
        <v>516.30971934066179</v>
      </c>
      <c r="T75" s="62">
        <f t="shared" si="88"/>
        <v>290.84286505723571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233.39999999999992</v>
      </c>
      <c r="AJ75" s="14">
        <f>AI75*VLOOKUP('Données projet'!$B$10,Paramètres!$A$1:$I$89,3,0)*VLOOKUP('Données projet'!$B$10,Paramètres!$A$1:$I$89,5,0)</f>
        <v>251.23175999999989</v>
      </c>
      <c r="AK75" s="14">
        <f t="shared" si="89"/>
        <v>60.849628220886878</v>
      </c>
      <c r="AL75" s="22">
        <f t="shared" si="58"/>
        <v>543.54175115137775</v>
      </c>
      <c r="AM75" s="62">
        <f t="shared" si="59"/>
        <v>810.87346538889892</v>
      </c>
      <c r="AN75" s="62">
        <f ca="1">AVERAGE(OFFSET($AM$3,0,0,'Données projet'!$E$10+1,1))-AVERAGE(OFFSET($H$3,0,0,'Données projet'!$E$10+1,1))</f>
        <v>542.90832990875208</v>
      </c>
      <c r="AO75" s="62">
        <f t="shared" si="90"/>
        <v>304.94365539329362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233.39999999999992</v>
      </c>
      <c r="BE75" s="14">
        <f>BD75*VLOOKUP('Données projet'!$B$11,Paramètres!$A$1:$I$89,3,0)*VLOOKUP('Données projet'!$B$11,Paramètres!$A$1:$I$89,5,0)</f>
        <v>225.74447999999992</v>
      </c>
      <c r="BF75" s="14">
        <f t="shared" si="91"/>
        <v>55.36154088431374</v>
      </c>
      <c r="BG75" s="22">
        <f t="shared" si="61"/>
        <v>489.59298637351299</v>
      </c>
      <c r="BH75" s="62">
        <f t="shared" si="62"/>
        <v>756.92470061103404</v>
      </c>
      <c r="BI75" s="62">
        <f ca="1">AVERAGE(OFFSET($BH$3,0,0,'Données projet'!$E$11+1,1))-AVERAGE(OFFSET($H$3,0,0,'Données projet'!$E$11+1,1))</f>
        <v>496.33873798282525</v>
      </c>
      <c r="BJ75" s="62">
        <f t="shared" si="92"/>
        <v>280.25465074992246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2.580000000000001</v>
      </c>
      <c r="BY75" s="13">
        <f>IF('Données projet'!$A$114&gt;35,BY74+BX75-CG74,IF(A75&lt;'Données projet'!$A$114,$BV$205^A75,IF(A75='Données projet'!$A$114,'Données projet'!$B$114,BY74+BX75-CG74)))</f>
        <v>213.7600000000001</v>
      </c>
      <c r="BZ75" s="14">
        <f>BY75*VLOOKUP('Données projet'!$B$12,Paramètres!$A$1:$I$89,3,0)*VLOOKUP('Données projet'!$B$12,Paramètres!$A$1:$I$89,5,0)</f>
        <v>186.74073600000011</v>
      </c>
      <c r="CA75" s="14">
        <f t="shared" si="93"/>
        <v>46.818651823937124</v>
      </c>
      <c r="CB75" s="22">
        <f t="shared" si="64"/>
        <v>406.78260046002401</v>
      </c>
      <c r="CC75" s="62">
        <f t="shared" si="65"/>
        <v>674.11431469754507</v>
      </c>
      <c r="CD75" s="62">
        <f ca="1">AVERAGE(OFFSET($CC$3,0,0,'Données projet'!$E$12+1,1))-AVERAGE(OFFSET($H$3,0,0,'Données projet'!$E$12+1,1))</f>
        <v>298.28891728374822</v>
      </c>
      <c r="CE75" s="62">
        <f t="shared" si="94"/>
        <v>275.07405533331371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9</v>
      </c>
      <c r="CT75" s="13">
        <f>IF('Données projet'!$A$140&gt;35,CT74+CS75-DB74,IF(A75&lt;'Données projet'!$A$140,$CQ$205^A75,IF(A75='Données projet'!$A$140,'Données projet'!$B$140,CT74+CS75-DB74)))</f>
        <v>388.00000000000011</v>
      </c>
      <c r="CU75" s="18">
        <f>CT75*VLOOKUP('Données projet'!$B$13,Paramètres!$A$1:$I$89,3,0)*VLOOKUP('Données projet'!$B$13,Paramètres!$A$1:$I$89,5,0)</f>
        <v>232.02400000000006</v>
      </c>
      <c r="CV75" s="14">
        <f t="shared" si="95"/>
        <v>56.720094243161071</v>
      </c>
      <c r="CW75" s="22">
        <f t="shared" si="67"/>
        <v>502.89596414017234</v>
      </c>
      <c r="CX75" s="62">
        <f t="shared" si="68"/>
        <v>770.22767837769345</v>
      </c>
      <c r="CY75" s="62">
        <f ca="1">AVERAGE(OFFSET($CX$3,0,0,'Données projet'!$E$13+1,1))-AVERAGE(OFFSET($H$3,0,0,'Données projet'!$E$13+1,1))</f>
        <v>320.46614113586043</v>
      </c>
      <c r="CZ75" s="62">
        <f t="shared" si="96"/>
        <v>250.7806929924491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0</v>
      </c>
      <c r="DG75" s="23">
        <f>EXP(-LN(2)/25)*DG74+(1-EXP(-LN(2)/25))/(LN(2)/25)*Calculateur!DB75*Calculateur!DD75*VLOOKUP('Données projet'!$B$13,Paramètres!$A$1:$I$89,3,0)*0.475*44/12</f>
        <v>0</v>
      </c>
      <c r="DH75" s="23">
        <f>EXP(-LN(2)/2)*DH74+(1-EXP(-LN(2)/2))/(LN(2)/2)*DB75*DE75*VLOOKUP('Données projet'!$B$13,Paramètres!$A$1:$I$89,3,0)*0.475*44/12</f>
        <v>4.519962689824858E-6</v>
      </c>
      <c r="DI75" s="24">
        <f t="shared" si="69"/>
        <v>4.519962689824858E-6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21.2</v>
      </c>
      <c r="DO75" s="13">
        <f>IF('Données projet'!$A$166&gt;35,DO74+DN75-DW74,IF(A75&lt;'Données projet'!$A$166,$DL$205^A75,IF(A75='Données projet'!$A$166,'Données projet'!$B$166,DO74+DN75-DW74)))</f>
        <v>564.4</v>
      </c>
      <c r="DP75" s="18">
        <f>DO75*VLOOKUP('Données projet'!$B$14,Paramètres!$A$1:$I$89,3,0)*VLOOKUP('Données projet'!$B$14,Paramètres!$A$1:$I$89,5,0)</f>
        <v>264.13920000000002</v>
      </c>
      <c r="DQ75" s="14">
        <f t="shared" si="97"/>
        <v>63.60387543087441</v>
      </c>
      <c r="DR75" s="22">
        <f t="shared" si="70"/>
        <v>570.81918970877302</v>
      </c>
      <c r="DS75" s="62">
        <f t="shared" si="71"/>
        <v>838.15090394629419</v>
      </c>
      <c r="DT75" s="62">
        <f ca="1">AVERAGE(OFFSET($DS$3,0,0,'Données projet'!$E$14+1,1))-AVERAGE(OFFSET($H$3,0,0,'Données projet'!$E$14+1,1))</f>
        <v>429.87867712133851</v>
      </c>
      <c r="DU75" s="62">
        <f t="shared" si="98"/>
        <v>182.81277865988014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0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0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3.974358974358978</v>
      </c>
      <c r="EJ75" s="13">
        <f>IF('Données projet'!$A$192&gt;35,EJ74+EI75-ER74,IF(A75&lt;'Données projet'!$A$192,$EG$205^A75,IF(A75='Données projet'!$A$192,'Données projet'!$B$192,EJ74+EI75-ER74)))</f>
        <v>203.46153846153851</v>
      </c>
      <c r="EK75" s="18">
        <f>EJ75*VLOOKUP('Données projet'!$B$15,Paramètres!$A$1:$I$89,3,0)*VLOOKUP('Données projet'!$B$15,Paramètres!$A$1:$I$89,5,0)</f>
        <v>136.48200000000006</v>
      </c>
      <c r="EL75" s="14">
        <f t="shared" si="99"/>
        <v>35.489891275121778</v>
      </c>
      <c r="EM75" s="22">
        <f t="shared" si="73"/>
        <v>299.51771063750385</v>
      </c>
      <c r="EN75" s="62">
        <f t="shared" si="74"/>
        <v>566.84942487502497</v>
      </c>
      <c r="EO75" s="62">
        <f ca="1">AVERAGE(OFFSET($EN$3,0,0,'Données projet'!$E$15+1,1))-AVERAGE(OFFSET($H$3,0,0,'Données projet'!$E$15+1,1))</f>
        <v>296.18088377871669</v>
      </c>
      <c r="EP75" s="62">
        <f t="shared" si="100"/>
        <v>252.23833925792056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0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0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3.974358974358978</v>
      </c>
      <c r="FE75" s="13">
        <f>IF('Données projet'!$A$218&gt;35,FE74+FD75-FM74,IF(A75&lt;'Données projet'!$A$218,$FB$205^A75,IF(A75='Données projet'!$A$218,'Données projet'!$B$218,FE74+FD75-FM74)))</f>
        <v>203.46153846153851</v>
      </c>
      <c r="FF75" s="18">
        <f>FE75*VLOOKUP('Données projet'!$B$16,Paramètres!$A$1:$I$89,3,0)*VLOOKUP('Données projet'!$B$16,Paramètres!$A$1:$I$89,5,0)</f>
        <v>174.57000000000005</v>
      </c>
      <c r="FG75" s="14">
        <f t="shared" si="101"/>
        <v>44.111965993245505</v>
      </c>
      <c r="FH75" s="22">
        <f t="shared" si="76"/>
        <v>380.87109077156941</v>
      </c>
      <c r="FI75" s="62">
        <f t="shared" si="77"/>
        <v>648.20280500909053</v>
      </c>
      <c r="FJ75" s="62">
        <f ca="1">AVERAGE(OFFSET($FI$3,0,0,'Données projet'!$E$16+1,1))-AVERAGE(OFFSET($H$3,0,0,'Données projet'!$E$16+1,1))</f>
        <v>359.20464555327072</v>
      </c>
      <c r="FK75" s="62">
        <f t="shared" si="102"/>
        <v>305.54154052071863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0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0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6.2</v>
      </c>
      <c r="N76" s="14">
        <f>IF('Données projet'!$A$36&gt;35,N75+M76-V75,IF(A76&lt;'Données projet'!$A$36,$K$205^A76,IF(A76='Données projet'!$A$36,'Données projet'!$B$36,N75+M76-V75)))</f>
        <v>239.59999999999991</v>
      </c>
      <c r="O76" s="14">
        <f>N76*VLOOKUP('Données projet'!$B$9,Paramètres!$A$1:$I$89,3,0)*VLOOKUP('Données projet'!$B$9,Paramètres!$A$1:$I$89,5,0)</f>
        <v>242.95439999999994</v>
      </c>
      <c r="P76" s="14">
        <f t="shared" si="87"/>
        <v>59.074730698078945</v>
      </c>
      <c r="Q76" s="22">
        <f t="shared" si="54"/>
        <v>526.034069299154</v>
      </c>
      <c r="R76" s="62">
        <f t="shared" si="55"/>
        <v>793.81685349707573</v>
      </c>
      <c r="S76" s="62">
        <f ca="1">AVERAGE(OFFSET($R$3,0,0,'Données projet'!$E$9+1,1))-AVERAGE(OFFSET($H$3,0,0,'Données projet'!$E$9+1,1))</f>
        <v>516.30971934066179</v>
      </c>
      <c r="T76" s="62">
        <f t="shared" si="88"/>
        <v>290.84286505723571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239.59999999999991</v>
      </c>
      <c r="AJ76" s="14">
        <f>AI76*VLOOKUP('Données projet'!$B$10,Paramètres!$A$1:$I$89,3,0)*VLOOKUP('Données projet'!$B$10,Paramètres!$A$1:$I$89,5,0)</f>
        <v>257.90543999999989</v>
      </c>
      <c r="AK76" s="14">
        <f t="shared" si="89"/>
        <v>62.275692442827719</v>
      </c>
      <c r="AL76" s="22">
        <f t="shared" si="58"/>
        <v>557.64880567125817</v>
      </c>
      <c r="AM76" s="62">
        <f t="shared" si="59"/>
        <v>825.43158986918002</v>
      </c>
      <c r="AN76" s="62">
        <f ca="1">AVERAGE(OFFSET($AM$3,0,0,'Données projet'!$E$10+1,1))-AVERAGE(OFFSET($H$3,0,0,'Données projet'!$E$10+1,1))</f>
        <v>542.90832990875208</v>
      </c>
      <c r="AO76" s="62">
        <f t="shared" si="90"/>
        <v>304.94365539329362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239.59999999999991</v>
      </c>
      <c r="BE76" s="14">
        <f>BD76*VLOOKUP('Données projet'!$B$11,Paramètres!$A$1:$I$89,3,0)*VLOOKUP('Données projet'!$B$11,Paramètres!$A$1:$I$89,5,0)</f>
        <v>231.74111999999991</v>
      </c>
      <c r="BF76" s="14">
        <f t="shared" si="91"/>
        <v>56.658986982752438</v>
      </c>
      <c r="BG76" s="22">
        <f t="shared" si="61"/>
        <v>502.29685299496032</v>
      </c>
      <c r="BH76" s="62">
        <f t="shared" si="62"/>
        <v>770.07963719288205</v>
      </c>
      <c r="BI76" s="62">
        <f ca="1">AVERAGE(OFFSET($BH$3,0,0,'Données projet'!$E$11+1,1))-AVERAGE(OFFSET($H$3,0,0,'Données projet'!$E$11+1,1))</f>
        <v>496.33873798282525</v>
      </c>
      <c r="BJ76" s="62">
        <f t="shared" si="92"/>
        <v>280.25465074992246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2.580000000000001</v>
      </c>
      <c r="BY76" s="13">
        <f>IF('Données projet'!$A$114&gt;35,BY75+BX76-CG75,IF(A76&lt;'Données projet'!$A$114,$BV$205^A76,IF(A76='Données projet'!$A$114,'Données projet'!$B$114,BY75+BX76-CG75)))</f>
        <v>216.34000000000012</v>
      </c>
      <c r="BZ76" s="14">
        <f>BY76*VLOOKUP('Données projet'!$B$12,Paramètres!$A$1:$I$89,3,0)*VLOOKUP('Données projet'!$B$12,Paramètres!$A$1:$I$89,5,0)</f>
        <v>188.99462400000013</v>
      </c>
      <c r="CA76" s="14">
        <f t="shared" si="93"/>
        <v>47.317609904825161</v>
      </c>
      <c r="CB76" s="22">
        <f t="shared" si="64"/>
        <v>411.57714071757073</v>
      </c>
      <c r="CC76" s="62">
        <f t="shared" si="65"/>
        <v>679.35992491549246</v>
      </c>
      <c r="CD76" s="62">
        <f ca="1">AVERAGE(OFFSET($CC$3,0,0,'Données projet'!$E$12+1,1))-AVERAGE(OFFSET($H$3,0,0,'Données projet'!$E$12+1,1))</f>
        <v>298.28891728374822</v>
      </c>
      <c r="CE76" s="62">
        <f t="shared" si="94"/>
        <v>275.07405533331371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9</v>
      </c>
      <c r="CT76" s="13">
        <f>IF('Données projet'!$A$140&gt;35,CT75+CS76-DB75,IF(A76&lt;'Données projet'!$A$140,$CQ$205^A76,IF(A76='Données projet'!$A$140,'Données projet'!$B$140,CT75+CS76-DB75)))</f>
        <v>397.00000000000011</v>
      </c>
      <c r="CU76" s="18">
        <f>CT76*VLOOKUP('Données projet'!$B$13,Paramètres!$A$1:$I$89,3,0)*VLOOKUP('Données projet'!$B$13,Paramètres!$A$1:$I$89,5,0)</f>
        <v>237.40600000000009</v>
      </c>
      <c r="CV76" s="14">
        <f t="shared" si="95"/>
        <v>57.881066248213493</v>
      </c>
      <c r="CW76" s="22">
        <f t="shared" si="67"/>
        <v>514.29164038230522</v>
      </c>
      <c r="CX76" s="62">
        <f t="shared" si="68"/>
        <v>782.07442458022706</v>
      </c>
      <c r="CY76" s="62">
        <f ca="1">AVERAGE(OFFSET($CX$3,0,0,'Données projet'!$E$13+1,1))-AVERAGE(OFFSET($H$3,0,0,'Données projet'!$E$13+1,1))</f>
        <v>320.46614113586043</v>
      </c>
      <c r="CZ76" s="62">
        <f t="shared" si="96"/>
        <v>250.7806929924491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0</v>
      </c>
      <c r="DG76" s="23">
        <f>EXP(-LN(2)/25)*DG75+(1-EXP(-LN(2)/25))/(LN(2)/25)*Calculateur!DB76*Calculateur!DD76*VLOOKUP('Données projet'!$B$13,Paramètres!$A$1:$I$89,3,0)*0.475*44/12</f>
        <v>0</v>
      </c>
      <c r="DH76" s="23">
        <f>EXP(-LN(2)/2)*DH75+(1-EXP(-LN(2)/2))/(LN(2)/2)*DB76*DE76*VLOOKUP('Données projet'!$B$13,Paramètres!$A$1:$I$89,3,0)*0.475*44/12</f>
        <v>3.1960962686853447E-6</v>
      </c>
      <c r="DI76" s="24">
        <f t="shared" si="69"/>
        <v>3.1960962686853447E-6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21.2</v>
      </c>
      <c r="DO76" s="13">
        <f>IF('Données projet'!$A$166&gt;35,DO75+DN76-DW75,IF(A76&lt;'Données projet'!$A$166,$DL$205^A76,IF(A76='Données projet'!$A$166,'Données projet'!$B$166,DO75+DN76-DW75)))</f>
        <v>585.6</v>
      </c>
      <c r="DP76" s="18">
        <f>DO76*VLOOKUP('Données projet'!$B$14,Paramètres!$A$1:$I$89,3,0)*VLOOKUP('Données projet'!$B$14,Paramètres!$A$1:$I$89,5,0)</f>
        <v>274.06080000000003</v>
      </c>
      <c r="DQ76" s="14">
        <f t="shared" si="97"/>
        <v>65.710323362952991</v>
      </c>
      <c r="DR76" s="22">
        <f t="shared" si="70"/>
        <v>591.76803985714309</v>
      </c>
      <c r="DS76" s="62">
        <f t="shared" si="71"/>
        <v>859.55082405506482</v>
      </c>
      <c r="DT76" s="62">
        <f ca="1">AVERAGE(OFFSET($DS$3,0,0,'Données projet'!$E$14+1,1))-AVERAGE(OFFSET($H$3,0,0,'Données projet'!$E$14+1,1))</f>
        <v>429.87867712133851</v>
      </c>
      <c r="DU76" s="62">
        <f t="shared" si="98"/>
        <v>182.81277865988014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0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0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3.974358974358978</v>
      </c>
      <c r="EJ76" s="13">
        <f>IF('Données projet'!$A$192&gt;35,EJ75+EI76-ER75,IF(A76&lt;'Données projet'!$A$192,$EG$205^A76,IF(A76='Données projet'!$A$192,'Données projet'!$B$192,EJ75+EI76-ER75)))</f>
        <v>207.43589743589749</v>
      </c>
      <c r="EK76" s="18">
        <f>EJ76*VLOOKUP('Données projet'!$B$15,Paramètres!$A$1:$I$89,3,0)*VLOOKUP('Données projet'!$B$15,Paramètres!$A$1:$I$89,5,0)</f>
        <v>139.14800000000005</v>
      </c>
      <c r="EL76" s="14">
        <f t="shared" si="99"/>
        <v>36.101754971155387</v>
      </c>
      <c r="EM76" s="22">
        <f t="shared" si="73"/>
        <v>305.22665657476233</v>
      </c>
      <c r="EN76" s="62">
        <f t="shared" si="74"/>
        <v>573.00944077268412</v>
      </c>
      <c r="EO76" s="62">
        <f ca="1">AVERAGE(OFFSET($EN$3,0,0,'Données projet'!$E$15+1,1))-AVERAGE(OFFSET($H$3,0,0,'Données projet'!$E$15+1,1))</f>
        <v>296.18088377871669</v>
      </c>
      <c r="EP76" s="62">
        <f t="shared" si="100"/>
        <v>252.23833925792056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0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0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3.974358974358978</v>
      </c>
      <c r="FE76" s="13">
        <f>IF('Données projet'!$A$218&gt;35,FE75+FD76-FM75,IF(A76&lt;'Données projet'!$A$218,$FB$205^A76,IF(A76='Données projet'!$A$218,'Données projet'!$B$218,FE75+FD76-FM75)))</f>
        <v>207.43589743589749</v>
      </c>
      <c r="FF76" s="18">
        <f>FE76*VLOOKUP('Données projet'!$B$16,Paramètres!$A$1:$I$89,3,0)*VLOOKUP('Données projet'!$B$16,Paramètres!$A$1:$I$89,5,0)</f>
        <v>177.98000000000008</v>
      </c>
      <c r="FG76" s="14">
        <f t="shared" si="101"/>
        <v>44.872478623242138</v>
      </c>
      <c r="FH76" s="22">
        <f t="shared" si="76"/>
        <v>388.13473360214681</v>
      </c>
      <c r="FI76" s="62">
        <f t="shared" si="77"/>
        <v>655.91751780006859</v>
      </c>
      <c r="FJ76" s="62">
        <f ca="1">AVERAGE(OFFSET($FI$3,0,0,'Données projet'!$E$16+1,1))-AVERAGE(OFFSET($H$3,0,0,'Données projet'!$E$16+1,1))</f>
        <v>359.20464555327072</v>
      </c>
      <c r="FK76" s="62">
        <f t="shared" si="102"/>
        <v>305.54154052071863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0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0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6.2</v>
      </c>
      <c r="N77" s="14">
        <f>IF('Données projet'!$A$36&gt;35,N76+M77-V76,IF(A77&lt;'Données projet'!$A$36,$K$205^A77,IF(A77='Données projet'!$A$36,'Données projet'!$B$36,N76+M77-V76)))</f>
        <v>245.7999999999999</v>
      </c>
      <c r="O77" s="14">
        <f>N77*VLOOKUP('Données projet'!$B$9,Paramètres!$A$1:$I$89,3,0)*VLOOKUP('Données projet'!$B$9,Paramètres!$A$1:$I$89,5,0)</f>
        <v>249.24119999999988</v>
      </c>
      <c r="P77" s="14">
        <f t="shared" si="87"/>
        <v>60.42342651744687</v>
      </c>
      <c r="Q77" s="22">
        <f t="shared" si="54"/>
        <v>539.3325578512198</v>
      </c>
      <c r="R77" s="62">
        <f t="shared" si="55"/>
        <v>807.55858695417066</v>
      </c>
      <c r="S77" s="62">
        <f ca="1">AVERAGE(OFFSET($R$3,0,0,'Données projet'!$E$9+1,1))-AVERAGE(OFFSET($H$3,0,0,'Données projet'!$E$9+1,1))</f>
        <v>516.30971934066179</v>
      </c>
      <c r="T77" s="62">
        <f t="shared" si="88"/>
        <v>290.84286505723571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</v>
      </c>
      <c r="AJ77" s="14">
        <f>AI77*VLOOKUP('Données projet'!$B$10,Paramètres!$A$1:$I$89,3,0)*VLOOKUP('Données projet'!$B$10,Paramètres!$A$1:$I$89,5,0)</f>
        <v>264.57911999999988</v>
      </c>
      <c r="AK77" s="14">
        <f t="shared" si="89"/>
        <v>63.697467287221869</v>
      </c>
      <c r="AL77" s="22">
        <f t="shared" si="58"/>
        <v>571.74838952524453</v>
      </c>
      <c r="AM77" s="62">
        <f t="shared" si="59"/>
        <v>839.97441862819539</v>
      </c>
      <c r="AN77" s="62">
        <f ca="1">AVERAGE(OFFSET($AM$3,0,0,'Données projet'!$E$10+1,1))-AVERAGE(OFFSET($H$3,0,0,'Données projet'!$E$10+1,1))</f>
        <v>542.90832990875208</v>
      </c>
      <c r="AO77" s="62">
        <f t="shared" si="90"/>
        <v>304.94365539329362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</v>
      </c>
      <c r="BE77" s="14">
        <f>BD77*VLOOKUP('Données projet'!$B$11,Paramètres!$A$1:$I$89,3,0)*VLOOKUP('Données projet'!$B$11,Paramètres!$A$1:$I$89,5,0)</f>
        <v>237.73775999999989</v>
      </c>
      <c r="BF77" s="14">
        <f t="shared" si="91"/>
        <v>57.952530566790166</v>
      </c>
      <c r="BG77" s="22">
        <f t="shared" si="61"/>
        <v>514.99392273715932</v>
      </c>
      <c r="BH77" s="62">
        <f t="shared" si="62"/>
        <v>783.21995184011018</v>
      </c>
      <c r="BI77" s="62">
        <f ca="1">AVERAGE(OFFSET($BH$3,0,0,'Données projet'!$E$11+1,1))-AVERAGE(OFFSET($H$3,0,0,'Données projet'!$E$11+1,1))</f>
        <v>496.33873798282525</v>
      </c>
      <c r="BJ77" s="62">
        <f t="shared" si="92"/>
        <v>280.25465074992246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2.580000000000001</v>
      </c>
      <c r="BY77" s="13">
        <f>IF('Données projet'!$A$114&gt;35,BY76+BX77-CG76,IF(A77&lt;'Données projet'!$A$114,$BV$205^A77,IF(A77='Données projet'!$A$114,'Données projet'!$B$114,BY76+BX77-CG76)))</f>
        <v>218.92000000000013</v>
      </c>
      <c r="BZ77" s="14">
        <f>BY77*VLOOKUP('Données projet'!$B$12,Paramètres!$A$1:$I$89,3,0)*VLOOKUP('Données projet'!$B$12,Paramètres!$A$1:$I$89,5,0)</f>
        <v>191.24851200000015</v>
      </c>
      <c r="CA77" s="14">
        <f t="shared" si="93"/>
        <v>47.815875821071351</v>
      </c>
      <c r="CB77" s="22">
        <f t="shared" si="64"/>
        <v>416.37047545503287</v>
      </c>
      <c r="CC77" s="62">
        <f t="shared" si="65"/>
        <v>684.59650455798374</v>
      </c>
      <c r="CD77" s="62">
        <f ca="1">AVERAGE(OFFSET($CC$3,0,0,'Données projet'!$E$12+1,1))-AVERAGE(OFFSET($H$3,0,0,'Données projet'!$E$12+1,1))</f>
        <v>298.28891728374822</v>
      </c>
      <c r="CE77" s="62">
        <f t="shared" si="94"/>
        <v>275.07405533331371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9</v>
      </c>
      <c r="CT77" s="13">
        <f>IF('Données projet'!$A$140&gt;35,CT76+CS77-DB76,IF(A77&lt;'Données projet'!$A$140,$CQ$205^A77,IF(A77='Données projet'!$A$140,'Données projet'!$B$140,CT76+CS77-DB76)))</f>
        <v>406.00000000000011</v>
      </c>
      <c r="CU77" s="18">
        <f>CT77*VLOOKUP('Données projet'!$B$13,Paramètres!$A$1:$I$89,3,0)*VLOOKUP('Données projet'!$B$13,Paramètres!$A$1:$I$89,5,0)</f>
        <v>242.78800000000007</v>
      </c>
      <c r="CV77" s="14">
        <f t="shared" si="95"/>
        <v>59.038978452354563</v>
      </c>
      <c r="CW77" s="22">
        <f t="shared" si="67"/>
        <v>525.68198747118436</v>
      </c>
      <c r="CX77" s="62">
        <f t="shared" si="68"/>
        <v>793.90801657413522</v>
      </c>
      <c r="CY77" s="62">
        <f ca="1">AVERAGE(OFFSET($CX$3,0,0,'Données projet'!$E$13+1,1))-AVERAGE(OFFSET($H$3,0,0,'Données projet'!$E$13+1,1))</f>
        <v>320.46614113586043</v>
      </c>
      <c r="CZ77" s="62">
        <f t="shared" si="96"/>
        <v>250.7806929924491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0</v>
      </c>
      <c r="DG77" s="23">
        <f>EXP(-LN(2)/25)*DG76+(1-EXP(-LN(2)/25))/(LN(2)/25)*Calculateur!DB77*Calculateur!DD77*VLOOKUP('Données projet'!$B$13,Paramètres!$A$1:$I$89,3,0)*0.475*44/12</f>
        <v>0</v>
      </c>
      <c r="DH77" s="23">
        <f>EXP(-LN(2)/2)*DH76+(1-EXP(-LN(2)/2))/(LN(2)/2)*DB77*DE77*VLOOKUP('Données projet'!$B$13,Paramètres!$A$1:$I$89,3,0)*0.475*44/12</f>
        <v>2.259981344912429E-6</v>
      </c>
      <c r="DI77" s="24">
        <f t="shared" si="69"/>
        <v>2.259981344912429E-6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21.2</v>
      </c>
      <c r="DO77" s="13">
        <f>IF('Données projet'!$A$166&gt;35,DO76+DN77-DW76,IF(A77&lt;'Données projet'!$A$166,$DL$205^A77,IF(A77='Données projet'!$A$166,'Données projet'!$B$166,DO76+DN77-DW76)))</f>
        <v>606.80000000000007</v>
      </c>
      <c r="DP77" s="18">
        <f>DO77*VLOOKUP('Données projet'!$B$14,Paramètres!$A$1:$I$89,3,0)*VLOOKUP('Données projet'!$B$14,Paramètres!$A$1:$I$89,5,0)</f>
        <v>283.98240000000004</v>
      </c>
      <c r="DQ77" s="14">
        <f t="shared" si="97"/>
        <v>67.807911493441154</v>
      </c>
      <c r="DR77" s="22">
        <f t="shared" si="70"/>
        <v>612.70145918441006</v>
      </c>
      <c r="DS77" s="62">
        <f t="shared" si="71"/>
        <v>880.92748828736092</v>
      </c>
      <c r="DT77" s="62">
        <f ca="1">AVERAGE(OFFSET($DS$3,0,0,'Données projet'!$E$14+1,1))-AVERAGE(OFFSET($H$3,0,0,'Données projet'!$E$14+1,1))</f>
        <v>429.87867712133851</v>
      </c>
      <c r="DU77" s="62">
        <f t="shared" si="98"/>
        <v>182.81277865988014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0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0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3.974358974358978</v>
      </c>
      <c r="EJ77" s="13">
        <f>IF('Données projet'!$A$192&gt;35,EJ76+EI77-ER76,IF(A77&lt;'Données projet'!$A$192,$EG$205^A77,IF(A77='Données projet'!$A$192,'Données projet'!$B$192,EJ76+EI77-ER76)))</f>
        <v>211.41025641025647</v>
      </c>
      <c r="EK77" s="18">
        <f>EJ77*VLOOKUP('Données projet'!$B$15,Paramètres!$A$1:$I$89,3,0)*VLOOKUP('Données projet'!$B$15,Paramètres!$A$1:$I$89,5,0)</f>
        <v>141.81400000000005</v>
      </c>
      <c r="EL77" s="14">
        <f t="shared" si="99"/>
        <v>36.712255545122304</v>
      </c>
      <c r="EM77" s="22">
        <f t="shared" si="73"/>
        <v>310.93322840775471</v>
      </c>
      <c r="EN77" s="62">
        <f t="shared" si="74"/>
        <v>579.15925751070563</v>
      </c>
      <c r="EO77" s="62">
        <f ca="1">AVERAGE(OFFSET($EN$3,0,0,'Données projet'!$E$15+1,1))-AVERAGE(OFFSET($H$3,0,0,'Données projet'!$E$15+1,1))</f>
        <v>296.18088377871669</v>
      </c>
      <c r="EP77" s="62">
        <f t="shared" si="100"/>
        <v>252.23833925792056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0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0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3.974358974358978</v>
      </c>
      <c r="FE77" s="13">
        <f>IF('Données projet'!$A$218&gt;35,FE76+FD77-FM76,IF(A77&lt;'Données projet'!$A$218,$FB$205^A77,IF(A77='Données projet'!$A$218,'Données projet'!$B$218,FE76+FD77-FM76)))</f>
        <v>211.41025641025647</v>
      </c>
      <c r="FF77" s="18">
        <f>FE77*VLOOKUP('Données projet'!$B$16,Paramètres!$A$1:$I$89,3,0)*VLOOKUP('Données projet'!$B$16,Paramètres!$A$1:$I$89,5,0)</f>
        <v>181.39000000000007</v>
      </c>
      <c r="FG77" s="14">
        <f t="shared" si="101"/>
        <v>45.63129696813138</v>
      </c>
      <c r="FH77" s="22">
        <f t="shared" si="76"/>
        <v>395.39542555282895</v>
      </c>
      <c r="FI77" s="62">
        <f t="shared" si="77"/>
        <v>663.62145465577987</v>
      </c>
      <c r="FJ77" s="62">
        <f ca="1">AVERAGE(OFFSET($FI$3,0,0,'Données projet'!$E$16+1,1))-AVERAGE(OFFSET($H$3,0,0,'Données projet'!$E$16+1,1))</f>
        <v>359.20464555327072</v>
      </c>
      <c r="FK77" s="62">
        <f t="shared" si="102"/>
        <v>305.54154052071863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0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0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252</v>
      </c>
      <c r="L78" s="13">
        <f>VLOOKUP(A78,'Données projet'!$A$35:$I$55,9,0)</f>
        <v>6.2</v>
      </c>
      <c r="M78" s="13">
        <f t="array" ref="M78">INDEX(L:L,MIN(IF(ISNUMBER(L78:L274),ROW(L78:L274),"")))</f>
        <v>6.2</v>
      </c>
      <c r="N78" s="14">
        <f>IF('Données projet'!$A$36&gt;35,N77+M78-V77,IF(A78&lt;'Données projet'!$A$36,$K$205^A78,IF(A78='Données projet'!$A$36,'Données projet'!$B$36,N77+M78-V77)))</f>
        <v>251.99999999999989</v>
      </c>
      <c r="O78" s="14">
        <f>N78*VLOOKUP('Données projet'!$B$9,Paramètres!$A$1:$I$89,3,0)*VLOOKUP('Données projet'!$B$9,Paramètres!$A$1:$I$89,5,0)</f>
        <v>255.52799999999991</v>
      </c>
      <c r="P78" s="14">
        <f t="shared" si="87"/>
        <v>61.768167868721477</v>
      </c>
      <c r="Q78" s="22">
        <f t="shared" si="54"/>
        <v>552.62415903802309</v>
      </c>
      <c r="R78" s="62">
        <f t="shared" si="55"/>
        <v>821.28574373784795</v>
      </c>
      <c r="S78" s="62">
        <f ca="1">AVERAGE(OFFSET($R$3,0,0,'Données projet'!$E$9+1,1))-AVERAGE(OFFSET($H$3,0,0,'Données projet'!$E$9+1,1))</f>
        <v>516.30971934066179</v>
      </c>
      <c r="T78" s="62">
        <f t="shared" si="88"/>
        <v>290.84286505723571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251.99999999999989</v>
      </c>
      <c r="AJ78" s="14">
        <f>AI78*VLOOKUP('Données projet'!$B$10,Paramètres!$A$1:$I$89,3,0)*VLOOKUP('Données projet'!$B$10,Paramètres!$A$1:$I$89,5,0)</f>
        <v>271.25279999999987</v>
      </c>
      <c r="AK78" s="14">
        <f t="shared" si="89"/>
        <v>65.115073390838859</v>
      </c>
      <c r="AL78" s="22">
        <f t="shared" si="58"/>
        <v>585.84071282237744</v>
      </c>
      <c r="AM78" s="62">
        <f t="shared" si="59"/>
        <v>854.5022975222023</v>
      </c>
      <c r="AN78" s="62">
        <f ca="1">AVERAGE(OFFSET($AM$3,0,0,'Données projet'!$E$10+1,1))-AVERAGE(OFFSET($H$3,0,0,'Données projet'!$E$10+1,1))</f>
        <v>542.90832990875208</v>
      </c>
      <c r="AO78" s="62">
        <f t="shared" si="90"/>
        <v>304.94365539329362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251.99999999999989</v>
      </c>
      <c r="BE78" s="14">
        <f>BD78*VLOOKUP('Données projet'!$B$11,Paramètres!$A$1:$I$89,3,0)*VLOOKUP('Données projet'!$B$11,Paramètres!$A$1:$I$89,5,0)</f>
        <v>243.73439999999988</v>
      </c>
      <c r="BF78" s="14">
        <f t="shared" si="91"/>
        <v>59.242281392848767</v>
      </c>
      <c r="BG78" s="22">
        <f t="shared" si="61"/>
        <v>527.68438675921141</v>
      </c>
      <c r="BH78" s="62">
        <f t="shared" si="62"/>
        <v>796.34597145903626</v>
      </c>
      <c r="BI78" s="62">
        <f ca="1">AVERAGE(OFFSET($BH$3,0,0,'Données projet'!$E$11+1,1))-AVERAGE(OFFSET($H$3,0,0,'Données projet'!$E$11+1,1))</f>
        <v>496.33873798282525</v>
      </c>
      <c r="BJ78" s="62">
        <f t="shared" si="92"/>
        <v>280.25465074992246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221.5</v>
      </c>
      <c r="BW78" s="13">
        <f>VLOOKUP(A78,'Données projet'!$A$113:$I$133,9,0)</f>
        <v>2.580000000000001</v>
      </c>
      <c r="BX78" s="13">
        <f t="array" ref="BX78">INDEX(BW:BW,MIN(IF(ISNUMBER(BW78:BW274),ROW(BW78:BW274),"")))</f>
        <v>2.580000000000001</v>
      </c>
      <c r="BY78" s="13">
        <f>IF('Données projet'!$A$114&gt;35,BY77+BX78-CG77,IF(A78&lt;'Données projet'!$A$114,$BV$205^A78,IF(A78='Données projet'!$A$114,'Données projet'!$B$114,BY77+BX78-CG77)))</f>
        <v>221.50000000000014</v>
      </c>
      <c r="BZ78" s="14">
        <f>BY78*VLOOKUP('Données projet'!$B$12,Paramètres!$A$1:$I$89,3,0)*VLOOKUP('Données projet'!$B$12,Paramètres!$A$1:$I$89,5,0)</f>
        <v>193.50240000000014</v>
      </c>
      <c r="CA78" s="14">
        <f t="shared" si="93"/>
        <v>48.313458673607713</v>
      </c>
      <c r="CB78" s="22">
        <f t="shared" si="64"/>
        <v>421.16262052320036</v>
      </c>
      <c r="CC78" s="62">
        <f t="shared" si="65"/>
        <v>689.82420522302516</v>
      </c>
      <c r="CD78" s="62">
        <f ca="1">AVERAGE(OFFSET($CC$3,0,0,'Données projet'!$E$12+1,1))-AVERAGE(OFFSET($H$3,0,0,'Données projet'!$E$12+1,1))</f>
        <v>298.28891728374822</v>
      </c>
      <c r="CE78" s="62">
        <f t="shared" si="94"/>
        <v>275.07405533331371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9</v>
      </c>
      <c r="CT78" s="13">
        <f>IF('Données projet'!$A$140&gt;35,CT77+CS78-DB77,IF(A78&lt;'Données projet'!$A$140,$CQ$205^A78,IF(A78='Données projet'!$A$140,'Données projet'!$B$140,CT77+CS78-DB77)))</f>
        <v>415.00000000000011</v>
      </c>
      <c r="CU78" s="18">
        <f>CT78*VLOOKUP('Données projet'!$B$13,Paramètres!$A$1:$I$89,3,0)*VLOOKUP('Données projet'!$B$13,Paramètres!$A$1:$I$89,5,0)</f>
        <v>248.1700000000001</v>
      </c>
      <c r="CV78" s="14">
        <f t="shared" si="95"/>
        <v>60.193906493778854</v>
      </c>
      <c r="CW78" s="22">
        <f t="shared" si="67"/>
        <v>537.06713714333159</v>
      </c>
      <c r="CX78" s="62">
        <f t="shared" si="68"/>
        <v>805.72872184315634</v>
      </c>
      <c r="CY78" s="62">
        <f ca="1">AVERAGE(OFFSET($CX$3,0,0,'Données projet'!$E$13+1,1))-AVERAGE(OFFSET($H$3,0,0,'Données projet'!$E$13+1,1))</f>
        <v>320.46614113586043</v>
      </c>
      <c r="CZ78" s="62">
        <f t="shared" si="96"/>
        <v>250.7806929924491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0</v>
      </c>
      <c r="DG78" s="23">
        <f>EXP(-LN(2)/25)*DG77+(1-EXP(-LN(2)/25))/(LN(2)/25)*Calculateur!DB78*Calculateur!DD78*VLOOKUP('Données projet'!$B$13,Paramètres!$A$1:$I$89,3,0)*0.475*44/12</f>
        <v>0</v>
      </c>
      <c r="DH78" s="23">
        <f>EXP(-LN(2)/2)*DH77+(1-EXP(-LN(2)/2))/(LN(2)/2)*DB78*DE78*VLOOKUP('Données projet'!$B$13,Paramètres!$A$1:$I$89,3,0)*0.475*44/12</f>
        <v>1.5980481343426724E-6</v>
      </c>
      <c r="DI78" s="24">
        <f t="shared" si="69"/>
        <v>1.5980481343426724E-6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21.2</v>
      </c>
      <c r="DO78" s="13">
        <f>IF('Données projet'!$A$166&gt;35,DO77+DN78-DW77,IF(A78&lt;'Données projet'!$A$166,$DL$205^A78,IF(A78='Données projet'!$A$166,'Données projet'!$B$166,DO77+DN78-DW77)))</f>
        <v>628.00000000000011</v>
      </c>
      <c r="DP78" s="18">
        <f>DO78*VLOOKUP('Données projet'!$B$14,Paramètres!$A$1:$I$89,3,0)*VLOOKUP('Données projet'!$B$14,Paramètres!$A$1:$I$89,5,0)</f>
        <v>293.90400000000005</v>
      </c>
      <c r="DQ78" s="14">
        <f t="shared" si="97"/>
        <v>69.896984831773324</v>
      </c>
      <c r="DR78" s="22">
        <f t="shared" si="70"/>
        <v>633.62004858200532</v>
      </c>
      <c r="DS78" s="62">
        <f t="shared" si="71"/>
        <v>902.28163328183018</v>
      </c>
      <c r="DT78" s="62">
        <f ca="1">AVERAGE(OFFSET($DS$3,0,0,'Données projet'!$E$14+1,1))-AVERAGE(OFFSET($H$3,0,0,'Données projet'!$E$14+1,1))</f>
        <v>429.87867712133851</v>
      </c>
      <c r="DU78" s="62">
        <f t="shared" si="98"/>
        <v>182.81277865988014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0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0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>
        <f>VLOOKUP(A78,'Données projet'!$A$191:$I$211,2,0)</f>
        <v>215.38461538461539</v>
      </c>
      <c r="EH78" s="13">
        <f>VLOOKUP(A78,'Données projet'!$A$191:$I$211,9,0)</f>
        <v>3.974358974358978</v>
      </c>
      <c r="EI78" s="13">
        <f t="array" ref="EI78">INDEX(EH:EH,MIN(IF(ISNUMBER(EH78:EH274),ROW(EH78:EH274),"")))</f>
        <v>3.974358974358978</v>
      </c>
      <c r="EJ78" s="13">
        <f>IF('Données projet'!$A$192&gt;35,EJ77+EI78-ER77,IF(A78&lt;'Données projet'!$A$192,$EG$205^A78,IF(A78='Données projet'!$A$192,'Données projet'!$B$192,EJ77+EI78-ER77)))</f>
        <v>215.38461538461544</v>
      </c>
      <c r="EK78" s="18">
        <f>EJ78*VLOOKUP('Données projet'!$B$15,Paramètres!$A$1:$I$89,3,0)*VLOOKUP('Données projet'!$B$15,Paramètres!$A$1:$I$89,5,0)</f>
        <v>144.48000000000005</v>
      </c>
      <c r="EL78" s="14">
        <f t="shared" si="99"/>
        <v>37.321421577674684</v>
      </c>
      <c r="EM78" s="22">
        <f t="shared" si="73"/>
        <v>316.63747591445014</v>
      </c>
      <c r="EN78" s="62">
        <f t="shared" si="74"/>
        <v>585.29906061427494</v>
      </c>
      <c r="EO78" s="62">
        <f ca="1">AVERAGE(OFFSET($EN$3,0,0,'Données projet'!$E$15+1,1))-AVERAGE(OFFSET($H$3,0,0,'Données projet'!$E$15+1,1))</f>
        <v>296.18088377871669</v>
      </c>
      <c r="EP78" s="62">
        <f t="shared" si="100"/>
        <v>252.23833925792056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0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0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>
        <f>VLOOKUP(A78,'Données projet'!$A$217:$I$237,2,0)</f>
        <v>215.38461538461539</v>
      </c>
      <c r="FC78" s="13">
        <f>VLOOKUP(A78,'Données projet'!$A$217:$I$237,9,0)</f>
        <v>3.974358974358978</v>
      </c>
      <c r="FD78" s="13">
        <f t="array" ref="FD78">INDEX(FC:FC,MIN(IF(ISNUMBER(FC78:FC274),ROW(FC78:FC274),"")))</f>
        <v>3.974358974358978</v>
      </c>
      <c r="FE78" s="13">
        <f>IF('Données projet'!$A$218&gt;35,FE77+FD78-FM77,IF(A78&lt;'Données projet'!$A$218,$FB$205^A78,IF(A78='Données projet'!$A$218,'Données projet'!$B$218,FE77+FD78-FM77)))</f>
        <v>215.38461538461544</v>
      </c>
      <c r="FF78" s="18">
        <f>FE78*VLOOKUP('Données projet'!$B$16,Paramètres!$A$1:$I$89,3,0)*VLOOKUP('Données projet'!$B$16,Paramètres!$A$1:$I$89,5,0)</f>
        <v>184.80000000000007</v>
      </c>
      <c r="FG78" s="14">
        <f t="shared" si="101"/>
        <v>46.388456552078246</v>
      </c>
      <c r="FH78" s="22">
        <f t="shared" si="76"/>
        <v>402.65322849486978</v>
      </c>
      <c r="FI78" s="62">
        <f t="shared" si="77"/>
        <v>671.31481319469458</v>
      </c>
      <c r="FJ78" s="62">
        <f ca="1">AVERAGE(OFFSET($FI$3,0,0,'Données projet'!$E$16+1,1))-AVERAGE(OFFSET($H$3,0,0,'Données projet'!$E$16+1,1))</f>
        <v>359.20464555327072</v>
      </c>
      <c r="FK78" s="62">
        <f t="shared" si="102"/>
        <v>305.54154052071863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0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0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6</v>
      </c>
      <c r="N79" s="14">
        <f>IF('Données projet'!$A$36&gt;35,N78+M79-V78,IF(A79&lt;'Données projet'!$A$36,$K$205^A79,IF(A79='Données projet'!$A$36,'Données projet'!$B$36,N78+M79-V78)))</f>
        <v>257.99999999999989</v>
      </c>
      <c r="O79" s="14">
        <f>N79*VLOOKUP('Données projet'!$B$9,Paramètres!$A$1:$I$89,3,0)*VLOOKUP('Données projet'!$B$9,Paramètres!$A$1:$I$89,5,0)</f>
        <v>261.61199999999991</v>
      </c>
      <c r="P79" s="14">
        <f t="shared" si="87"/>
        <v>63.065867509496442</v>
      </c>
      <c r="Q79" s="22">
        <f t="shared" si="54"/>
        <v>565.48061924570618</v>
      </c>
      <c r="R79" s="62">
        <f t="shared" si="55"/>
        <v>834.57020362655567</v>
      </c>
      <c r="S79" s="62">
        <f ca="1">AVERAGE(OFFSET($R$3,0,0,'Données projet'!$E$9+1,1))-AVERAGE(OFFSET($H$3,0,0,'Données projet'!$E$9+1,1))</f>
        <v>516.30971934066179</v>
      </c>
      <c r="T79" s="62">
        <f t="shared" si="88"/>
        <v>290.84286505723571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257.99999999999989</v>
      </c>
      <c r="AJ79" s="14">
        <f>AI79*VLOOKUP('Données projet'!$B$10,Paramètres!$A$1:$I$89,3,0)*VLOOKUP('Données projet'!$B$10,Paramètres!$A$1:$I$89,5,0)</f>
        <v>277.71119999999985</v>
      </c>
      <c r="AK79" s="14">
        <f t="shared" si="89"/>
        <v>66.483088830893976</v>
      </c>
      <c r="AL79" s="22">
        <f t="shared" si="58"/>
        <v>599.47171971380669</v>
      </c>
      <c r="AM79" s="62">
        <f t="shared" si="59"/>
        <v>868.56130409465618</v>
      </c>
      <c r="AN79" s="62">
        <f ca="1">AVERAGE(OFFSET($AM$3,0,0,'Données projet'!$E$10+1,1))-AVERAGE(OFFSET($H$3,0,0,'Données projet'!$E$10+1,1))</f>
        <v>542.90832990875208</v>
      </c>
      <c r="AO79" s="62">
        <f t="shared" si="90"/>
        <v>304.94365539329362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257.99999999999989</v>
      </c>
      <c r="BE79" s="14">
        <f>BD79*VLOOKUP('Données projet'!$B$11,Paramètres!$A$1:$I$89,3,0)*VLOOKUP('Données projet'!$B$11,Paramètres!$A$1:$I$89,5,0)</f>
        <v>249.53759999999988</v>
      </c>
      <c r="BF79" s="14">
        <f t="shared" si="91"/>
        <v>60.486914185674671</v>
      </c>
      <c r="BG79" s="22">
        <f t="shared" si="61"/>
        <v>539.95936220671649</v>
      </c>
      <c r="BH79" s="62">
        <f t="shared" si="62"/>
        <v>809.04894658756598</v>
      </c>
      <c r="BI79" s="62">
        <f ca="1">AVERAGE(OFFSET($BH$3,0,0,'Données projet'!$E$11+1,1))-AVERAGE(OFFSET($H$3,0,0,'Données projet'!$E$11+1,1))</f>
        <v>496.33873798282525</v>
      </c>
      <c r="BJ79" s="62">
        <f t="shared" si="92"/>
        <v>280.25465074992246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2.2799999999999954</v>
      </c>
      <c r="BY79" s="13">
        <f>IF('Données projet'!$A$114&gt;35,BY78+BX79-CG78,IF(A79&lt;'Données projet'!$A$114,$BV$205^A79,IF(A79='Données projet'!$A$114,'Données projet'!$B$114,BY78+BX79-CG78)))</f>
        <v>223.78000000000014</v>
      </c>
      <c r="BZ79" s="14">
        <f>BY79*VLOOKUP('Données projet'!$B$12,Paramètres!$A$1:$I$89,3,0)*VLOOKUP('Données projet'!$B$12,Paramètres!$A$1:$I$89,5,0)</f>
        <v>195.49420800000013</v>
      </c>
      <c r="CA79" s="14">
        <f t="shared" si="93"/>
        <v>48.752621619593398</v>
      </c>
      <c r="CB79" s="22">
        <f t="shared" si="64"/>
        <v>425.39656158745873</v>
      </c>
      <c r="CC79" s="62">
        <f t="shared" si="65"/>
        <v>694.48614596830816</v>
      </c>
      <c r="CD79" s="62">
        <f ca="1">AVERAGE(OFFSET($CC$3,0,0,'Données projet'!$E$12+1,1))-AVERAGE(OFFSET($H$3,0,0,'Données projet'!$E$12+1,1))</f>
        <v>298.28891728374822</v>
      </c>
      <c r="CE79" s="62">
        <f t="shared" si="94"/>
        <v>275.07405533331371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9</v>
      </c>
      <c r="CT79" s="13">
        <f>IF('Données projet'!$A$140&gt;35,CT78+CS79-DB78,IF(A79&lt;'Données projet'!$A$140,$CQ$205^A79,IF(A79='Données projet'!$A$140,'Données projet'!$B$140,CT78+CS79-DB78)))</f>
        <v>424.00000000000011</v>
      </c>
      <c r="CU79" s="18">
        <f>CT79*VLOOKUP('Données projet'!$B$13,Paramètres!$A$1:$I$89,3,0)*VLOOKUP('Données projet'!$B$13,Paramètres!$A$1:$I$89,5,0)</f>
        <v>253.55200000000008</v>
      </c>
      <c r="CV79" s="14">
        <f t="shared" si="95"/>
        <v>61.345922542613536</v>
      </c>
      <c r="CW79" s="22">
        <f t="shared" si="67"/>
        <v>548.447215095052</v>
      </c>
      <c r="CX79" s="62">
        <f t="shared" si="68"/>
        <v>817.53679947590149</v>
      </c>
      <c r="CY79" s="62">
        <f ca="1">AVERAGE(OFFSET($CX$3,0,0,'Données projet'!$E$13+1,1))-AVERAGE(OFFSET($H$3,0,0,'Données projet'!$E$13+1,1))</f>
        <v>320.46614113586043</v>
      </c>
      <c r="CZ79" s="62">
        <f t="shared" si="96"/>
        <v>250.7806929924491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0</v>
      </c>
      <c r="DG79" s="23">
        <f>EXP(-LN(2)/25)*DG78+(1-EXP(-LN(2)/25))/(LN(2)/25)*Calculateur!DB79*Calculateur!DD79*VLOOKUP('Données projet'!$B$13,Paramètres!$A$1:$I$89,3,0)*0.475*44/12</f>
        <v>0</v>
      </c>
      <c r="DH79" s="23">
        <f>EXP(-LN(2)/2)*DH78+(1-EXP(-LN(2)/2))/(LN(2)/2)*DB79*DE79*VLOOKUP('Données projet'!$B$13,Paramètres!$A$1:$I$89,3,0)*0.475*44/12</f>
        <v>1.1299906724562145E-6</v>
      </c>
      <c r="DI79" s="24">
        <f t="shared" si="69"/>
        <v>1.1299906724562145E-6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21.2</v>
      </c>
      <c r="DO79" s="13">
        <f>IF('Données projet'!$A$166&gt;35,DO78+DN79-DW78,IF(A79&lt;'Données projet'!$A$166,$DL$205^A79,IF(A79='Données projet'!$A$166,'Données projet'!$B$166,DO78+DN79-DW78)))</f>
        <v>649.20000000000016</v>
      </c>
      <c r="DP79" s="18">
        <f>DO79*VLOOKUP('Données projet'!$B$14,Paramètres!$A$1:$I$89,3,0)*VLOOKUP('Données projet'!$B$14,Paramètres!$A$1:$I$89,5,0)</f>
        <v>303.82560000000007</v>
      </c>
      <c r="DQ79" s="14">
        <f t="shared" si="97"/>
        <v>71.977863772206462</v>
      </c>
      <c r="DR79" s="22">
        <f t="shared" si="70"/>
        <v>654.52436606992637</v>
      </c>
      <c r="DS79" s="62">
        <f t="shared" si="71"/>
        <v>923.61395045077575</v>
      </c>
      <c r="DT79" s="62">
        <f ca="1">AVERAGE(OFFSET($DS$3,0,0,'Données projet'!$E$14+1,1))-AVERAGE(OFFSET($H$3,0,0,'Données projet'!$E$14+1,1))</f>
        <v>429.87867712133851</v>
      </c>
      <c r="DU79" s="62">
        <f t="shared" si="98"/>
        <v>182.81277865988014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0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0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3.7179487179487181</v>
      </c>
      <c r="EJ79" s="13">
        <f>IF('Données projet'!$A$192&gt;35,EJ78+EI79-ER78,IF(A79&lt;'Données projet'!$A$192,$EG$205^A79,IF(A79='Données projet'!$A$192,'Données projet'!$B$192,EJ78+EI79-ER78)))</f>
        <v>219.10256410256417</v>
      </c>
      <c r="EK79" s="18">
        <f>EJ79*VLOOKUP('Données projet'!$B$15,Paramètres!$A$1:$I$89,3,0)*VLOOKUP('Données projet'!$B$15,Paramètres!$A$1:$I$89,5,0)</f>
        <v>146.97400000000005</v>
      </c>
      <c r="EL79" s="14">
        <f t="shared" si="99"/>
        <v>37.890102751431449</v>
      </c>
      <c r="EM79" s="22">
        <f t="shared" si="73"/>
        <v>321.97164562540985</v>
      </c>
      <c r="EN79" s="62">
        <f t="shared" si="74"/>
        <v>591.06123000625928</v>
      </c>
      <c r="EO79" s="62">
        <f ca="1">AVERAGE(OFFSET($EN$3,0,0,'Données projet'!$E$15+1,1))-AVERAGE(OFFSET($H$3,0,0,'Données projet'!$E$15+1,1))</f>
        <v>296.18088377871669</v>
      </c>
      <c r="EP79" s="62">
        <f t="shared" si="100"/>
        <v>252.23833925792056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0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0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3.7179487179487181</v>
      </c>
      <c r="FE79" s="13">
        <f>IF('Données projet'!$A$218&gt;35,FE78+FD79-FM78,IF(A79&lt;'Données projet'!$A$218,$FB$205^A79,IF(A79='Données projet'!$A$218,'Données projet'!$B$218,FE78+FD79-FM78)))</f>
        <v>219.10256410256417</v>
      </c>
      <c r="FF79" s="18">
        <f>FE79*VLOOKUP('Données projet'!$B$16,Paramètres!$A$1:$I$89,3,0)*VLOOKUP('Données projet'!$B$16,Paramètres!$A$1:$I$89,5,0)</f>
        <v>187.99000000000009</v>
      </c>
      <c r="FG79" s="14">
        <f t="shared" si="101"/>
        <v>47.095295702508132</v>
      </c>
      <c r="FH79" s="22">
        <f t="shared" si="76"/>
        <v>409.44022334853508</v>
      </c>
      <c r="FI79" s="62">
        <f t="shared" si="77"/>
        <v>678.52980772938452</v>
      </c>
      <c r="FJ79" s="62">
        <f ca="1">AVERAGE(OFFSET($FI$3,0,0,'Données projet'!$E$16+1,1))-AVERAGE(OFFSET($H$3,0,0,'Données projet'!$E$16+1,1))</f>
        <v>359.20464555327072</v>
      </c>
      <c r="FK79" s="62">
        <f t="shared" si="102"/>
        <v>305.54154052071863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0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0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6</v>
      </c>
      <c r="N80" s="14">
        <f>IF('Données projet'!$A$36&gt;35,N79+M80-V79,IF(A80&lt;'Données projet'!$A$36,$K$205^A80,IF(A80='Données projet'!$A$36,'Données projet'!$B$36,N79+M80-V79)))</f>
        <v>263.99999999999989</v>
      </c>
      <c r="O80" s="14">
        <f>N80*VLOOKUP('Données projet'!$B$9,Paramètres!$A$1:$I$89,3,0)*VLOOKUP('Données projet'!$B$9,Paramètres!$A$1:$I$89,5,0)</f>
        <v>267.69599999999991</v>
      </c>
      <c r="P80" s="14">
        <f t="shared" si="87"/>
        <v>64.360058723585439</v>
      </c>
      <c r="Q80" s="22">
        <f t="shared" si="54"/>
        <v>578.33096894357777</v>
      </c>
      <c r="R80" s="62">
        <f t="shared" si="55"/>
        <v>847.84112816785</v>
      </c>
      <c r="S80" s="62">
        <f ca="1">AVERAGE(OFFSET($R$3,0,0,'Données projet'!$E$9+1,1))-AVERAGE(OFFSET($H$3,0,0,'Données projet'!$E$9+1,1))</f>
        <v>516.30971934066179</v>
      </c>
      <c r="T80" s="62">
        <f t="shared" si="88"/>
        <v>290.84286505723571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263.99999999999989</v>
      </c>
      <c r="AJ80" s="14">
        <f>AI80*VLOOKUP('Données projet'!$B$10,Paramètres!$A$1:$I$89,3,0)*VLOOKUP('Données projet'!$B$10,Paramètres!$A$1:$I$89,5,0)</f>
        <v>284.16959999999989</v>
      </c>
      <c r="AK80" s="14">
        <f t="shared" si="89"/>
        <v>67.847405740313874</v>
      </c>
      <c r="AL80" s="22">
        <f t="shared" si="58"/>
        <v>613.09628499771316</v>
      </c>
      <c r="AM80" s="62">
        <f t="shared" si="59"/>
        <v>882.60644422198538</v>
      </c>
      <c r="AN80" s="62">
        <f ca="1">AVERAGE(OFFSET($AM$3,0,0,'Données projet'!$E$10+1,1))-AVERAGE(OFFSET($H$3,0,0,'Données projet'!$E$10+1,1))</f>
        <v>542.90832990875208</v>
      </c>
      <c r="AO80" s="62">
        <f t="shared" si="90"/>
        <v>304.94365539329362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263.99999999999989</v>
      </c>
      <c r="BE80" s="14">
        <f>BD80*VLOOKUP('Données projet'!$B$11,Paramètres!$A$1:$I$89,3,0)*VLOOKUP('Données projet'!$B$11,Paramètres!$A$1:$I$89,5,0)</f>
        <v>255.34079999999989</v>
      </c>
      <c r="BF80" s="14">
        <f t="shared" si="91"/>
        <v>61.728182021951895</v>
      </c>
      <c r="BG80" s="22">
        <f t="shared" si="61"/>
        <v>552.22847702156594</v>
      </c>
      <c r="BH80" s="62">
        <f t="shared" si="62"/>
        <v>821.73863624583828</v>
      </c>
      <c r="BI80" s="62">
        <f ca="1">AVERAGE(OFFSET($BH$3,0,0,'Données projet'!$E$11+1,1))-AVERAGE(OFFSET($H$3,0,0,'Données projet'!$E$11+1,1))</f>
        <v>496.33873798282525</v>
      </c>
      <c r="BJ80" s="62">
        <f t="shared" si="92"/>
        <v>280.25465074992246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2.2799999999999954</v>
      </c>
      <c r="BY80" s="13">
        <f>IF('Données projet'!$A$114&gt;35,BY79+BX80-CG79,IF(A80&lt;'Données projet'!$A$114,$BV$205^A80,IF(A80='Données projet'!$A$114,'Données projet'!$B$114,BY79+BX80-CG79)))</f>
        <v>226.06000000000014</v>
      </c>
      <c r="BZ80" s="14">
        <f>BY80*VLOOKUP('Données projet'!$B$12,Paramètres!$A$1:$I$89,3,0)*VLOOKUP('Données projet'!$B$12,Paramètres!$A$1:$I$89,5,0)</f>
        <v>197.48601600000015</v>
      </c>
      <c r="CA80" s="14">
        <f t="shared" si="93"/>
        <v>49.191264039259451</v>
      </c>
      <c r="CB80" s="22">
        <f t="shared" si="64"/>
        <v>429.62959606837711</v>
      </c>
      <c r="CC80" s="62">
        <f t="shared" si="65"/>
        <v>699.1397552926494</v>
      </c>
      <c r="CD80" s="62">
        <f ca="1">AVERAGE(OFFSET($CC$3,0,0,'Données projet'!$E$12+1,1))-AVERAGE(OFFSET($H$3,0,0,'Données projet'!$E$12+1,1))</f>
        <v>298.28891728374822</v>
      </c>
      <c r="CE80" s="62">
        <f t="shared" si="94"/>
        <v>275.07405533331371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9</v>
      </c>
      <c r="CT80" s="13">
        <f>IF('Données projet'!$A$140&gt;35,CT79+CS80-DB79,IF(A80&lt;'Données projet'!$A$140,$CQ$205^A80,IF(A80='Données projet'!$A$140,'Données projet'!$B$140,CT79+CS80-DB79)))</f>
        <v>433.00000000000011</v>
      </c>
      <c r="CU80" s="18">
        <f>CT80*VLOOKUP('Données projet'!$B$13,Paramètres!$A$1:$I$89,3,0)*VLOOKUP('Données projet'!$B$13,Paramètres!$A$1:$I$89,5,0)</f>
        <v>258.93400000000008</v>
      </c>
      <c r="CV80" s="14">
        <f t="shared" si="95"/>
        <v>62.495095530116075</v>
      </c>
      <c r="CW80" s="22">
        <f t="shared" si="67"/>
        <v>559.82234138161891</v>
      </c>
      <c r="CX80" s="62">
        <f t="shared" si="68"/>
        <v>829.33250060589125</v>
      </c>
      <c r="CY80" s="62">
        <f ca="1">AVERAGE(OFFSET($CX$3,0,0,'Données projet'!$E$13+1,1))-AVERAGE(OFFSET($H$3,0,0,'Données projet'!$E$13+1,1))</f>
        <v>320.46614113586043</v>
      </c>
      <c r="CZ80" s="62">
        <f t="shared" si="96"/>
        <v>250.7806929924491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0</v>
      </c>
      <c r="DG80" s="23">
        <f>EXP(-LN(2)/25)*DG79+(1-EXP(-LN(2)/25))/(LN(2)/25)*Calculateur!DB80*Calculateur!DD80*VLOOKUP('Données projet'!$B$13,Paramètres!$A$1:$I$89,3,0)*0.475*44/12</f>
        <v>0</v>
      </c>
      <c r="DH80" s="23">
        <f>EXP(-LN(2)/2)*DH79+(1-EXP(-LN(2)/2))/(LN(2)/2)*DB80*DE80*VLOOKUP('Données projet'!$B$13,Paramètres!$A$1:$I$89,3,0)*0.475*44/12</f>
        <v>7.9902406717133618E-7</v>
      </c>
      <c r="DI80" s="24">
        <f t="shared" si="69"/>
        <v>7.9902406717133618E-7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21.2</v>
      </c>
      <c r="DO80" s="13">
        <f>IF('Données projet'!$A$166&gt;35,DO79+DN80-DW79,IF(A80&lt;'Données projet'!$A$166,$DL$205^A80,IF(A80='Données projet'!$A$166,'Données projet'!$B$166,DO79+DN80-DW79)))</f>
        <v>670.4000000000002</v>
      </c>
      <c r="DP80" s="18">
        <f>DO80*VLOOKUP('Données projet'!$B$14,Paramètres!$A$1:$I$89,3,0)*VLOOKUP('Données projet'!$B$14,Paramètres!$A$1:$I$89,5,0)</f>
        <v>313.74720000000008</v>
      </c>
      <c r="DQ80" s="14">
        <f t="shared" si="97"/>
        <v>74.050846595914663</v>
      </c>
      <c r="DR80" s="22">
        <f t="shared" si="70"/>
        <v>675.41493115455148</v>
      </c>
      <c r="DS80" s="62">
        <f t="shared" si="71"/>
        <v>944.92509037882382</v>
      </c>
      <c r="DT80" s="62">
        <f ca="1">AVERAGE(OFFSET($DS$3,0,0,'Données projet'!$E$14+1,1))-AVERAGE(OFFSET($H$3,0,0,'Données projet'!$E$14+1,1))</f>
        <v>429.87867712133851</v>
      </c>
      <c r="DU80" s="62">
        <f t="shared" si="98"/>
        <v>182.81277865988014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0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0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3.7179487179487181</v>
      </c>
      <c r="EJ80" s="13">
        <f>IF('Données projet'!$A$192&gt;35,EJ79+EI80-ER79,IF(A80&lt;'Données projet'!$A$192,$EG$205^A80,IF(A80='Données projet'!$A$192,'Données projet'!$B$192,EJ79+EI80-ER79)))</f>
        <v>222.8205128205129</v>
      </c>
      <c r="EK80" s="18">
        <f>EJ80*VLOOKUP('Données projet'!$B$15,Paramètres!$A$1:$I$89,3,0)*VLOOKUP('Données projet'!$B$15,Paramètres!$A$1:$I$89,5,0)</f>
        <v>149.46800000000007</v>
      </c>
      <c r="EL80" s="14">
        <f t="shared" si="99"/>
        <v>38.457661723375892</v>
      </c>
      <c r="EM80" s="22">
        <f t="shared" si="73"/>
        <v>327.3038608348798</v>
      </c>
      <c r="EN80" s="62">
        <f t="shared" si="74"/>
        <v>596.81402005915209</v>
      </c>
      <c r="EO80" s="62">
        <f ca="1">AVERAGE(OFFSET($EN$3,0,0,'Données projet'!$E$15+1,1))-AVERAGE(OFFSET($H$3,0,0,'Données projet'!$E$15+1,1))</f>
        <v>296.18088377871669</v>
      </c>
      <c r="EP80" s="62">
        <f t="shared" si="100"/>
        <v>252.23833925792056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0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0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3.7179487179487181</v>
      </c>
      <c r="FE80" s="13">
        <f>IF('Données projet'!$A$218&gt;35,FE79+FD80-FM79,IF(A80&lt;'Données projet'!$A$218,$FB$205^A80,IF(A80='Données projet'!$A$218,'Données projet'!$B$218,FE79+FD80-FM79)))</f>
        <v>222.8205128205129</v>
      </c>
      <c r="FF80" s="18">
        <f>FE80*VLOOKUP('Données projet'!$B$16,Paramètres!$A$1:$I$89,3,0)*VLOOKUP('Données projet'!$B$16,Paramètres!$A$1:$I$89,5,0)</f>
        <v>191.18000000000009</v>
      </c>
      <c r="FG80" s="14">
        <f t="shared" si="101"/>
        <v>47.800740018341379</v>
      </c>
      <c r="FH80" s="22">
        <f t="shared" si="76"/>
        <v>416.22478886527801</v>
      </c>
      <c r="FI80" s="62">
        <f t="shared" si="77"/>
        <v>685.73494808955024</v>
      </c>
      <c r="FJ80" s="62">
        <f ca="1">AVERAGE(OFFSET($FI$3,0,0,'Données projet'!$E$16+1,1))-AVERAGE(OFFSET($H$3,0,0,'Données projet'!$E$16+1,1))</f>
        <v>359.20464555327072</v>
      </c>
      <c r="FK80" s="62">
        <f t="shared" si="102"/>
        <v>305.54154052071863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0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0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6</v>
      </c>
      <c r="N81" s="14">
        <f>IF('Données projet'!$A$36&gt;35,N80+M81-V80,IF(A81&lt;'Données projet'!$A$36,$K$205^A81,IF(A81='Données projet'!$A$36,'Données projet'!$B$36,N80+M81-V80)))</f>
        <v>269.99999999999989</v>
      </c>
      <c r="O81" s="14">
        <f>N81*VLOOKUP('Données projet'!$B$9,Paramètres!$A$1:$I$89,3,0)*VLOOKUP('Données projet'!$B$9,Paramètres!$A$1:$I$89,5,0)</f>
        <v>273.77999999999992</v>
      </c>
      <c r="P81" s="14">
        <f t="shared" si="87"/>
        <v>65.650830427167435</v>
      </c>
      <c r="Q81" s="22">
        <f t="shared" si="54"/>
        <v>591.17536299398307</v>
      </c>
      <c r="R81" s="62">
        <f t="shared" si="55"/>
        <v>861.0988010284093</v>
      </c>
      <c r="S81" s="62">
        <f ca="1">AVERAGE(OFFSET($R$3,0,0,'Données projet'!$E$9+1,1))-AVERAGE(OFFSET($H$3,0,0,'Données projet'!$E$9+1,1))</f>
        <v>516.30971934066179</v>
      </c>
      <c r="T81" s="62">
        <f t="shared" si="88"/>
        <v>290.84286505723571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269.99999999999989</v>
      </c>
      <c r="AJ81" s="14">
        <f>AI81*VLOOKUP('Données projet'!$B$10,Paramètres!$A$1:$I$89,3,0)*VLOOKUP('Données projet'!$B$10,Paramètres!$A$1:$I$89,5,0)</f>
        <v>290.62799999999987</v>
      </c>
      <c r="AK81" s="14">
        <f t="shared" si="89"/>
        <v>69.208117853196882</v>
      </c>
      <c r="AL81" s="22">
        <f t="shared" si="58"/>
        <v>626.71457192765104</v>
      </c>
      <c r="AM81" s="62">
        <f t="shared" si="59"/>
        <v>896.63800996207726</v>
      </c>
      <c r="AN81" s="62">
        <f ca="1">AVERAGE(OFFSET($AM$3,0,0,'Données projet'!$E$10+1,1))-AVERAGE(OFFSET($H$3,0,0,'Données projet'!$E$10+1,1))</f>
        <v>542.90832990875208</v>
      </c>
      <c r="AO81" s="62">
        <f t="shared" si="90"/>
        <v>304.94365539329362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269.99999999999989</v>
      </c>
      <c r="BE81" s="14">
        <f>BD81*VLOOKUP('Données projet'!$B$11,Paramètres!$A$1:$I$89,3,0)*VLOOKUP('Données projet'!$B$11,Paramètres!$A$1:$I$89,5,0)</f>
        <v>261.14399999999989</v>
      </c>
      <c r="BF81" s="14">
        <f t="shared" si="91"/>
        <v>62.966170181808813</v>
      </c>
      <c r="BG81" s="22">
        <f t="shared" si="61"/>
        <v>564.49187973331675</v>
      </c>
      <c r="BH81" s="62">
        <f t="shared" si="62"/>
        <v>834.41531776774298</v>
      </c>
      <c r="BI81" s="62">
        <f ca="1">AVERAGE(OFFSET($BH$3,0,0,'Données projet'!$E$11+1,1))-AVERAGE(OFFSET($H$3,0,0,'Données projet'!$E$11+1,1))</f>
        <v>496.33873798282525</v>
      </c>
      <c r="BJ81" s="62">
        <f t="shared" si="92"/>
        <v>280.25465074992246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2.2799999999999954</v>
      </c>
      <c r="BY81" s="13">
        <f>IF('Données projet'!$A$114&gt;35,BY80+BX81-CG80,IF(A81&lt;'Données projet'!$A$114,$BV$205^A81,IF(A81='Données projet'!$A$114,'Données projet'!$B$114,BY80+BX81-CG80)))</f>
        <v>228.34000000000015</v>
      </c>
      <c r="BZ81" s="14">
        <f>BY81*VLOOKUP('Données projet'!$B$12,Paramètres!$A$1:$I$89,3,0)*VLOOKUP('Données projet'!$B$12,Paramètres!$A$1:$I$89,5,0)</f>
        <v>199.47782400000014</v>
      </c>
      <c r="CA81" s="14">
        <f t="shared" si="93"/>
        <v>49.629391790392425</v>
      </c>
      <c r="CB81" s="22">
        <f t="shared" si="64"/>
        <v>433.86173416826705</v>
      </c>
      <c r="CC81" s="62">
        <f t="shared" si="65"/>
        <v>703.78517220269327</v>
      </c>
      <c r="CD81" s="62">
        <f ca="1">AVERAGE(OFFSET($CC$3,0,0,'Données projet'!$E$12+1,1))-AVERAGE(OFFSET($H$3,0,0,'Données projet'!$E$12+1,1))</f>
        <v>298.28891728374822</v>
      </c>
      <c r="CE81" s="62">
        <f t="shared" si="94"/>
        <v>275.07405533331371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9</v>
      </c>
      <c r="CT81" s="13">
        <f>IF('Données projet'!$A$140&gt;35,CT80+CS81-DB80,IF(A81&lt;'Données projet'!$A$140,$CQ$205^A81,IF(A81='Données projet'!$A$140,'Données projet'!$B$140,CT80+CS81-DB80)))</f>
        <v>442.00000000000011</v>
      </c>
      <c r="CU81" s="18">
        <f>CT81*VLOOKUP('Données projet'!$B$13,Paramètres!$A$1:$I$89,3,0)*VLOOKUP('Données projet'!$B$13,Paramètres!$A$1:$I$89,5,0)</f>
        <v>264.31600000000009</v>
      </c>
      <c r="CV81" s="14">
        <f t="shared" si="95"/>
        <v>63.641491358279801</v>
      </c>
      <c r="CW81" s="22">
        <f t="shared" si="67"/>
        <v>571.19263078233746</v>
      </c>
      <c r="CX81" s="62">
        <f t="shared" si="68"/>
        <v>841.11606881676369</v>
      </c>
      <c r="CY81" s="62">
        <f ca="1">AVERAGE(OFFSET($CX$3,0,0,'Données projet'!$E$13+1,1))-AVERAGE(OFFSET($H$3,0,0,'Données projet'!$E$13+1,1))</f>
        <v>320.46614113586043</v>
      </c>
      <c r="CZ81" s="62">
        <f t="shared" si="96"/>
        <v>250.7806929924491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0</v>
      </c>
      <c r="DG81" s="23">
        <f>EXP(-LN(2)/25)*DG80+(1-EXP(-LN(2)/25))/(LN(2)/25)*Calculateur!DB81*Calculateur!DD81*VLOOKUP('Données projet'!$B$13,Paramètres!$A$1:$I$89,3,0)*0.475*44/12</f>
        <v>0</v>
      </c>
      <c r="DH81" s="23">
        <f>EXP(-LN(2)/2)*DH80+(1-EXP(-LN(2)/2))/(LN(2)/2)*DB81*DE81*VLOOKUP('Données projet'!$B$13,Paramètres!$A$1:$I$89,3,0)*0.475*44/12</f>
        <v>5.6499533622810726E-7</v>
      </c>
      <c r="DI81" s="24">
        <f t="shared" si="69"/>
        <v>5.6499533622810726E-7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21.2</v>
      </c>
      <c r="DO81" s="13">
        <f>IF('Données projet'!$A$166&gt;35,DO80+DN81-DW80,IF(A81&lt;'Données projet'!$A$166,$DL$205^A81,IF(A81='Données projet'!$A$166,'Données projet'!$B$166,DO80+DN81-DW80)))</f>
        <v>691.60000000000025</v>
      </c>
      <c r="DP81" s="18">
        <f>DO81*VLOOKUP('Données projet'!$B$14,Paramètres!$A$1:$I$89,3,0)*VLOOKUP('Données projet'!$B$14,Paramètres!$A$1:$I$89,5,0)</f>
        <v>323.66880000000015</v>
      </c>
      <c r="DQ81" s="14">
        <f t="shared" si="97"/>
        <v>76.11621164769852</v>
      </c>
      <c r="DR81" s="22">
        <f t="shared" si="70"/>
        <v>696.29222861974176</v>
      </c>
      <c r="DS81" s="62">
        <f t="shared" si="71"/>
        <v>966.21566665416799</v>
      </c>
      <c r="DT81" s="62">
        <f ca="1">AVERAGE(OFFSET($DS$3,0,0,'Données projet'!$E$14+1,1))-AVERAGE(OFFSET($H$3,0,0,'Données projet'!$E$14+1,1))</f>
        <v>429.87867712133851</v>
      </c>
      <c r="DU81" s="62">
        <f t="shared" si="98"/>
        <v>182.81277865988014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0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0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3.7179487179487181</v>
      </c>
      <c r="EJ81" s="13">
        <f>IF('Données projet'!$A$192&gt;35,EJ80+EI81-ER80,IF(A81&lt;'Données projet'!$A$192,$EG$205^A81,IF(A81='Données projet'!$A$192,'Données projet'!$B$192,EJ80+EI81-ER80)))</f>
        <v>226.53846153846163</v>
      </c>
      <c r="EK81" s="18">
        <f>EJ81*VLOOKUP('Données projet'!$B$15,Paramètres!$A$1:$I$89,3,0)*VLOOKUP('Données projet'!$B$15,Paramètres!$A$1:$I$89,5,0)</f>
        <v>151.96200000000007</v>
      </c>
      <c r="EL81" s="14">
        <f t="shared" si="99"/>
        <v>39.02411937963673</v>
      </c>
      <c r="EM81" s="22">
        <f t="shared" si="73"/>
        <v>332.63415791953412</v>
      </c>
      <c r="EN81" s="62">
        <f t="shared" si="74"/>
        <v>602.55759595396034</v>
      </c>
      <c r="EO81" s="62">
        <f ca="1">AVERAGE(OFFSET($EN$3,0,0,'Données projet'!$E$15+1,1))-AVERAGE(OFFSET($H$3,0,0,'Données projet'!$E$15+1,1))</f>
        <v>296.18088377871669</v>
      </c>
      <c r="EP81" s="62">
        <f t="shared" si="100"/>
        <v>252.23833925792056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0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0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3.7179487179487181</v>
      </c>
      <c r="FE81" s="13">
        <f>IF('Données projet'!$A$218&gt;35,FE80+FD81-FM80,IF(A81&lt;'Données projet'!$A$218,$FB$205^A81,IF(A81='Données projet'!$A$218,'Données projet'!$B$218,FE80+FD81-FM80)))</f>
        <v>226.53846153846163</v>
      </c>
      <c r="FF81" s="18">
        <f>FE81*VLOOKUP('Données projet'!$B$16,Paramètres!$A$1:$I$89,3,0)*VLOOKUP('Données projet'!$B$16,Paramètres!$A$1:$I$89,5,0)</f>
        <v>194.37000000000012</v>
      </c>
      <c r="FG81" s="14">
        <f t="shared" si="101"/>
        <v>48.504815459877214</v>
      </c>
      <c r="FH81" s="22">
        <f t="shared" si="76"/>
        <v>423.00697025928633</v>
      </c>
      <c r="FI81" s="62">
        <f t="shared" si="77"/>
        <v>692.93040829371262</v>
      </c>
      <c r="FJ81" s="62">
        <f ca="1">AVERAGE(OFFSET($FI$3,0,0,'Données projet'!$E$16+1,1))-AVERAGE(OFFSET($H$3,0,0,'Données projet'!$E$16+1,1))</f>
        <v>359.20464555327072</v>
      </c>
      <c r="FK81" s="62">
        <f t="shared" si="102"/>
        <v>305.54154052071863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0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0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6</v>
      </c>
      <c r="N82" s="14">
        <f>IF('Données projet'!$A$36&gt;35,N81+M82-V81,IF(A82&lt;'Données projet'!$A$36,$K$205^A82,IF(A82='Données projet'!$A$36,'Données projet'!$B$36,N81+M82-V81)))</f>
        <v>275.99999999999989</v>
      </c>
      <c r="O82" s="14">
        <f>N82*VLOOKUP('Données projet'!$B$9,Paramètres!$A$1:$I$89,3,0)*VLOOKUP('Données projet'!$B$9,Paramètres!$A$1:$I$89,5,0)</f>
        <v>279.86399999999986</v>
      </c>
      <c r="P82" s="14">
        <f t="shared" si="87"/>
        <v>66.938267358965007</v>
      </c>
      <c r="Q82" s="22">
        <f t="shared" si="54"/>
        <v>604.01394898353044</v>
      </c>
      <c r="R82" s="62">
        <f t="shared" si="55"/>
        <v>874.34349636470733</v>
      </c>
      <c r="S82" s="62">
        <f ca="1">AVERAGE(OFFSET($R$3,0,0,'Données projet'!$E$9+1,1))-AVERAGE(OFFSET($H$3,0,0,'Données projet'!$E$9+1,1))</f>
        <v>516.30971934066179</v>
      </c>
      <c r="T82" s="62">
        <f t="shared" si="88"/>
        <v>290.84286505723571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275.99999999999989</v>
      </c>
      <c r="AJ82" s="14">
        <f>AI82*VLOOKUP('Données projet'!$B$10,Paramètres!$A$1:$I$89,3,0)*VLOOKUP('Données projet'!$B$10,Paramètres!$A$1:$I$89,5,0)</f>
        <v>297.08639999999986</v>
      </c>
      <c r="AK82" s="14">
        <f t="shared" si="89"/>
        <v>70.565314499829583</v>
      </c>
      <c r="AL82" s="22">
        <f t="shared" si="58"/>
        <v>640.3267360872029</v>
      </c>
      <c r="AM82" s="62">
        <f t="shared" si="59"/>
        <v>910.6562834683798</v>
      </c>
      <c r="AN82" s="62">
        <f ca="1">AVERAGE(OFFSET($AM$3,0,0,'Données projet'!$E$10+1,1))-AVERAGE(OFFSET($H$3,0,0,'Données projet'!$E$10+1,1))</f>
        <v>542.90832990875208</v>
      </c>
      <c r="AO82" s="62">
        <f t="shared" si="90"/>
        <v>304.94365539329362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275.99999999999989</v>
      </c>
      <c r="BE82" s="14">
        <f>BD82*VLOOKUP('Données projet'!$B$11,Paramètres!$A$1:$I$89,3,0)*VLOOKUP('Données projet'!$B$11,Paramètres!$A$1:$I$89,5,0)</f>
        <v>266.9471999999999</v>
      </c>
      <c r="BF82" s="14">
        <f t="shared" si="91"/>
        <v>64.200959938746379</v>
      </c>
      <c r="BG82" s="22">
        <f t="shared" si="61"/>
        <v>576.74971189331643</v>
      </c>
      <c r="BH82" s="62">
        <f t="shared" si="62"/>
        <v>847.07925927449332</v>
      </c>
      <c r="BI82" s="62">
        <f ca="1">AVERAGE(OFFSET($BH$3,0,0,'Données projet'!$E$11+1,1))-AVERAGE(OFFSET($H$3,0,0,'Données projet'!$E$11+1,1))</f>
        <v>496.33873798282525</v>
      </c>
      <c r="BJ82" s="62">
        <f t="shared" si="92"/>
        <v>280.25465074992246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2.2799999999999954</v>
      </c>
      <c r="BY82" s="13">
        <f>IF('Données projet'!$A$114&gt;35,BY81+BX82-CG81,IF(A82&lt;'Données projet'!$A$114,$BV$205^A82,IF(A82='Données projet'!$A$114,'Données projet'!$B$114,BY81+BX82-CG81)))</f>
        <v>230.62000000000015</v>
      </c>
      <c r="BZ82" s="14">
        <f>BY82*VLOOKUP('Données projet'!$B$12,Paramètres!$A$1:$I$89,3,0)*VLOOKUP('Données projet'!$B$12,Paramètres!$A$1:$I$89,5,0)</f>
        <v>201.46963200000013</v>
      </c>
      <c r="CA82" s="14">
        <f t="shared" si="93"/>
        <v>50.067010607054918</v>
      </c>
      <c r="CB82" s="22">
        <f t="shared" si="64"/>
        <v>438.09298587395421</v>
      </c>
      <c r="CC82" s="62">
        <f t="shared" si="65"/>
        <v>708.42253325513116</v>
      </c>
      <c r="CD82" s="62">
        <f ca="1">AVERAGE(OFFSET($CC$3,0,0,'Données projet'!$E$12+1,1))-AVERAGE(OFFSET($H$3,0,0,'Données projet'!$E$12+1,1))</f>
        <v>298.28891728374822</v>
      </c>
      <c r="CE82" s="62">
        <f t="shared" si="94"/>
        <v>275.07405533331371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9</v>
      </c>
      <c r="CT82" s="13">
        <f>IF('Données projet'!$A$140&gt;35,CT81+CS82-DB81,IF(A82&lt;'Données projet'!$A$140,$CQ$205^A82,IF(A82='Données projet'!$A$140,'Données projet'!$B$140,CT81+CS82-DB81)))</f>
        <v>451.00000000000011</v>
      </c>
      <c r="CU82" s="18">
        <f>CT82*VLOOKUP('Données projet'!$B$13,Paramètres!$A$1:$I$89,3,0)*VLOOKUP('Données projet'!$B$13,Paramètres!$A$1:$I$89,5,0)</f>
        <v>269.69800000000009</v>
      </c>
      <c r="CV82" s="14">
        <f t="shared" si="95"/>
        <v>64.785173091884289</v>
      </c>
      <c r="CW82" s="22">
        <f t="shared" si="67"/>
        <v>582.55819313503196</v>
      </c>
      <c r="CX82" s="62">
        <f t="shared" si="68"/>
        <v>852.88774051620885</v>
      </c>
      <c r="CY82" s="62">
        <f ca="1">AVERAGE(OFFSET($CX$3,0,0,'Données projet'!$E$13+1,1))-AVERAGE(OFFSET($H$3,0,0,'Données projet'!$E$13+1,1))</f>
        <v>320.46614113586043</v>
      </c>
      <c r="CZ82" s="62">
        <f t="shared" si="96"/>
        <v>250.7806929924491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0</v>
      </c>
      <c r="DG82" s="23">
        <f>EXP(-LN(2)/25)*DG81+(1-EXP(-LN(2)/25))/(LN(2)/25)*Calculateur!DB82*Calculateur!DD82*VLOOKUP('Données projet'!$B$13,Paramètres!$A$1:$I$89,3,0)*0.475*44/12</f>
        <v>0</v>
      </c>
      <c r="DH82" s="23">
        <f>EXP(-LN(2)/2)*DH81+(1-EXP(-LN(2)/2))/(LN(2)/2)*DB82*DE82*VLOOKUP('Données projet'!$B$13,Paramètres!$A$1:$I$89,3,0)*0.475*44/12</f>
        <v>3.9951203358566809E-7</v>
      </c>
      <c r="DI82" s="24">
        <f t="shared" si="69"/>
        <v>3.9951203358566809E-7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21.2</v>
      </c>
      <c r="DO82" s="13">
        <f>IF('Données projet'!$A$166&gt;35,DO81+DN82-DW81,IF(A82&lt;'Données projet'!$A$166,$DL$205^A82,IF(A82='Données projet'!$A$166,'Données projet'!$B$166,DO81+DN82-DW81)))</f>
        <v>712.8000000000003</v>
      </c>
      <c r="DP82" s="18">
        <f>DO82*VLOOKUP('Données projet'!$B$14,Paramètres!$A$1:$I$89,3,0)*VLOOKUP('Données projet'!$B$14,Paramètres!$A$1:$I$89,5,0)</f>
        <v>333.59040000000016</v>
      </c>
      <c r="DQ82" s="14">
        <f t="shared" si="97"/>
        <v>78.174219238300594</v>
      </c>
      <c r="DR82" s="22">
        <f t="shared" si="70"/>
        <v>717.15671184004043</v>
      </c>
      <c r="DS82" s="62">
        <f t="shared" si="71"/>
        <v>987.48625922121732</v>
      </c>
      <c r="DT82" s="62">
        <f ca="1">AVERAGE(OFFSET($DS$3,0,0,'Données projet'!$E$14+1,1))-AVERAGE(OFFSET($H$3,0,0,'Données projet'!$E$14+1,1))</f>
        <v>429.87867712133851</v>
      </c>
      <c r="DU82" s="62">
        <f t="shared" si="98"/>
        <v>182.81277865988014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0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0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3.7179487179487181</v>
      </c>
      <c r="EJ82" s="13">
        <f>IF('Données projet'!$A$192&gt;35,EJ81+EI82-ER81,IF(A82&lt;'Données projet'!$A$192,$EG$205^A82,IF(A82='Données projet'!$A$192,'Données projet'!$B$192,EJ81+EI82-ER81)))</f>
        <v>230.25641025641036</v>
      </c>
      <c r="EK82" s="18">
        <f>EJ82*VLOOKUP('Données projet'!$B$15,Paramètres!$A$1:$I$89,3,0)*VLOOKUP('Données projet'!$B$15,Paramètres!$A$1:$I$89,5,0)</f>
        <v>154.45600000000007</v>
      </c>
      <c r="EL82" s="14">
        <f t="shared" si="99"/>
        <v>39.589495881471649</v>
      </c>
      <c r="EM82" s="22">
        <f t="shared" si="73"/>
        <v>337.96257199356324</v>
      </c>
      <c r="EN82" s="62">
        <f t="shared" si="74"/>
        <v>608.2921193747402</v>
      </c>
      <c r="EO82" s="62">
        <f ca="1">AVERAGE(OFFSET($EN$3,0,0,'Données projet'!$E$15+1,1))-AVERAGE(OFFSET($H$3,0,0,'Données projet'!$E$15+1,1))</f>
        <v>296.18088377871669</v>
      </c>
      <c r="EP82" s="62">
        <f t="shared" si="100"/>
        <v>252.23833925792056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0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0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3.7179487179487181</v>
      </c>
      <c r="FE82" s="13">
        <f>IF('Données projet'!$A$218&gt;35,FE81+FD82-FM81,IF(A82&lt;'Données projet'!$A$218,$FB$205^A82,IF(A82='Données projet'!$A$218,'Données projet'!$B$218,FE81+FD82-FM81)))</f>
        <v>230.25641025641036</v>
      </c>
      <c r="FF82" s="18">
        <f>FE82*VLOOKUP('Données projet'!$B$16,Paramètres!$A$1:$I$89,3,0)*VLOOKUP('Données projet'!$B$16,Paramètres!$A$1:$I$89,5,0)</f>
        <v>197.56000000000012</v>
      </c>
      <c r="FG82" s="14">
        <f t="shared" si="101"/>
        <v>49.207547086440591</v>
      </c>
      <c r="FH82" s="22">
        <f t="shared" si="76"/>
        <v>429.78681117555089</v>
      </c>
      <c r="FI82" s="62">
        <f t="shared" si="77"/>
        <v>700.11635855672785</v>
      </c>
      <c r="FJ82" s="62">
        <f ca="1">AVERAGE(OFFSET($FI$3,0,0,'Données projet'!$E$16+1,1))-AVERAGE(OFFSET($H$3,0,0,'Données projet'!$E$16+1,1))</f>
        <v>359.20464555327072</v>
      </c>
      <c r="FK82" s="62">
        <f t="shared" si="102"/>
        <v>305.54154052071863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0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0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282</v>
      </c>
      <c r="L83" s="13">
        <f>VLOOKUP(A83,'Données projet'!$A$35:$I$55,9,0)</f>
        <v>6</v>
      </c>
      <c r="M83" s="13">
        <f t="array" ref="M83">INDEX(L:L,MIN(IF(ISNUMBER(L83:L279),ROW(L83:L279),"")))</f>
        <v>6</v>
      </c>
      <c r="N83" s="14">
        <f>IF('Données projet'!$A$36&gt;35,N82+M83-V82,IF(A83&lt;'Données projet'!$A$36,$K$205^A83,IF(A83='Données projet'!$A$36,'Données projet'!$B$36,N82+M83-V82)))</f>
        <v>281.99999999999989</v>
      </c>
      <c r="O83" s="14">
        <f>N83*VLOOKUP('Données projet'!$B$9,Paramètres!$A$1:$I$89,3,0)*VLOOKUP('Données projet'!$B$9,Paramètres!$A$1:$I$89,5,0)</f>
        <v>285.94799999999992</v>
      </c>
      <c r="P83" s="14">
        <f t="shared" si="87"/>
        <v>68.222450362989363</v>
      </c>
      <c r="Q83" s="22">
        <f t="shared" si="54"/>
        <v>616.84686771553959</v>
      </c>
      <c r="R83" s="62">
        <f t="shared" si="55"/>
        <v>887.57547935422576</v>
      </c>
      <c r="S83" s="62">
        <f ca="1">AVERAGE(OFFSET($R$3,0,0,'Données projet'!$E$9+1,1))-AVERAGE(OFFSET($H$3,0,0,'Données projet'!$E$9+1,1))</f>
        <v>516.30971934066179</v>
      </c>
      <c r="T83" s="62">
        <f t="shared" si="88"/>
        <v>290.84286505723571</v>
      </c>
      <c r="U83" s="16">
        <f>IF(ISNA(VLOOKUP(A83,'Données projet'!$A$35:$I$55,3,0)),0,VLOOKUP(A83,'Données projet'!$A$35:$I$55,3,0))</f>
        <v>6</v>
      </c>
      <c r="V83" s="16">
        <f>IF(ISNA(VLOOKUP(A83,'Données projet'!$A$35:$I$55,4,0)),0,VLOOKUP(A83,'Données projet'!$A$35:$I$55,4,0))</f>
        <v>42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282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281.99999999999989</v>
      </c>
      <c r="AJ83" s="14">
        <f>AI83*VLOOKUP('Données projet'!$B$10,Paramètres!$A$1:$I$89,3,0)*VLOOKUP('Données projet'!$B$10,Paramètres!$A$1:$I$89,5,0)</f>
        <v>303.54479999999984</v>
      </c>
      <c r="AK83" s="14">
        <f t="shared" si="89"/>
        <v>71.919080904752505</v>
      </c>
      <c r="AL83" s="22">
        <f t="shared" si="58"/>
        <v>653.93292590911028</v>
      </c>
      <c r="AM83" s="62">
        <f t="shared" si="59"/>
        <v>924.66153754779634</v>
      </c>
      <c r="AN83" s="62">
        <f ca="1">AVERAGE(OFFSET($AM$3,0,0,'Données projet'!$E$10+1,1))-AVERAGE(OFFSET($H$3,0,0,'Données projet'!$E$10+1,1))</f>
        <v>542.90832990875208</v>
      </c>
      <c r="AO83" s="62">
        <f t="shared" si="90"/>
        <v>304.94365539329362</v>
      </c>
      <c r="AP83" s="16">
        <f>IF(ISNA(VLOOKUP(A83,'Données projet'!$A$61:$I$81,3,0)),0,VLOOKUP(A83,'Données projet'!$A$61:$I$81,3,0))</f>
        <v>6</v>
      </c>
      <c r="AQ83" s="16">
        <f>IF(ISNA(VLOOKUP(A83,'Données projet'!$A$61:$I$81,4,0)),0,VLOOKUP(A83,'Données projet'!$A$61:$I$81,4,0))</f>
        <v>42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282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281.99999999999989</v>
      </c>
      <c r="BE83" s="14">
        <f>BD83*VLOOKUP('Données projet'!$B$11,Paramètres!$A$1:$I$89,3,0)*VLOOKUP('Données projet'!$B$11,Paramètres!$A$1:$I$89,5,0)</f>
        <v>272.7503999999999</v>
      </c>
      <c r="BF83" s="14">
        <f t="shared" si="91"/>
        <v>65.432628830820633</v>
      </c>
      <c r="BG83" s="22">
        <f t="shared" si="61"/>
        <v>589.00210854701243</v>
      </c>
      <c r="BH83" s="62">
        <f t="shared" si="62"/>
        <v>859.7307201856986</v>
      </c>
      <c r="BI83" s="62">
        <f ca="1">AVERAGE(OFFSET($BH$3,0,0,'Données projet'!$E$11+1,1))-AVERAGE(OFFSET($H$3,0,0,'Données projet'!$E$11+1,1))</f>
        <v>496.33873798282525</v>
      </c>
      <c r="BJ83" s="62">
        <f t="shared" si="92"/>
        <v>280.25465074992246</v>
      </c>
      <c r="BK83" s="16">
        <f>IF(ISNA(VLOOKUP(A83,'Données projet'!$A$87:$I$107,3,0)),0,VLOOKUP(A83,'Données projet'!$A$87:$I$107,3,0))</f>
        <v>6</v>
      </c>
      <c r="BL83" s="23">
        <f>IF(ISNA(VLOOKUP(A83,'Données projet'!$A$87:$I$107,4,0)),0,VLOOKUP(A83,'Données projet'!$A$87:$I$107,4,0))</f>
        <v>42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232.89999999999998</v>
      </c>
      <c r="BW83" s="13">
        <f>VLOOKUP(A83,'Données projet'!$A$113:$I$133,9,0)</f>
        <v>2.2799999999999954</v>
      </c>
      <c r="BX83" s="13">
        <f t="array" ref="BX83">INDEX(BW:BW,MIN(IF(ISNUMBER(BW83:BW279),ROW(BW83:BW279),"")))</f>
        <v>2.2799999999999954</v>
      </c>
      <c r="BY83" s="13">
        <f>IF('Données projet'!$A$114&gt;35,BY82+BX83-CG82,IF(A83&lt;'Données projet'!$A$114,$BV$205^A83,IF(A83='Données projet'!$A$114,'Données projet'!$B$114,BY82+BX83-CG82)))</f>
        <v>232.90000000000015</v>
      </c>
      <c r="BZ83" s="14">
        <f>BY83*VLOOKUP('Données projet'!$B$12,Paramètres!$A$1:$I$89,3,0)*VLOOKUP('Données projet'!$B$12,Paramètres!$A$1:$I$89,5,0)</f>
        <v>203.46144000000015</v>
      </c>
      <c r="CA83" s="14">
        <f t="shared" si="93"/>
        <v>50.504126103395784</v>
      </c>
      <c r="CB83" s="22">
        <f t="shared" si="64"/>
        <v>442.32336096341459</v>
      </c>
      <c r="CC83" s="62">
        <f t="shared" si="65"/>
        <v>713.0519726021007</v>
      </c>
      <c r="CD83" s="62">
        <f ca="1">AVERAGE(OFFSET($CC$3,0,0,'Données projet'!$E$12+1,1))-AVERAGE(OFFSET($H$3,0,0,'Données projet'!$E$12+1,1))</f>
        <v>298.28891728374822</v>
      </c>
      <c r="CE83" s="62">
        <f t="shared" si="94"/>
        <v>275.07405533331371</v>
      </c>
      <c r="CF83" s="16">
        <f>IF(ISNA(VLOOKUP(A83,'Données projet'!$A$113:$I$133,3,0)),0,VLOOKUP(A83,'Données projet'!$A$113:$I$133,3,0))</f>
        <v>6</v>
      </c>
      <c r="CG83" s="16">
        <f>IF(ISNA(VLOOKUP(A83,'Données projet'!$A$113:$I$133,4,0)),0,VLOOKUP(A83,'Données projet'!$A$113:$I$133,4,0))</f>
        <v>232.89999999999998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>
        <f>VLOOKUP(A83,'Données projet'!$A$139:$I$159,2,0)</f>
        <v>460</v>
      </c>
      <c r="CR83" s="13">
        <f>VLOOKUP(A83,'Données projet'!$A$139:$I$159,9,0)</f>
        <v>9</v>
      </c>
      <c r="CS83" s="13">
        <f t="array" ref="CS83">INDEX(CR:CR,MIN(IF(ISNUMBER(CR83:CR279),ROW(CR83:CR279),"")))</f>
        <v>9</v>
      </c>
      <c r="CT83" s="13">
        <f>IF('Données projet'!$A$140&gt;35,CT82+CS83-DB82,IF(A83&lt;'Données projet'!$A$140,$CQ$205^A83,IF(A83='Données projet'!$A$140,'Données projet'!$B$140,CT82+CS83-DB82)))</f>
        <v>460.00000000000011</v>
      </c>
      <c r="CU83" s="18">
        <f>CT83*VLOOKUP('Données projet'!$B$13,Paramètres!$A$1:$I$89,3,0)*VLOOKUP('Données projet'!$B$13,Paramètres!$A$1:$I$89,5,0)</f>
        <v>275.0800000000001</v>
      </c>
      <c r="CV83" s="14">
        <f t="shared" si="95"/>
        <v>65.926201134783341</v>
      </c>
      <c r="CW83" s="22">
        <f t="shared" si="67"/>
        <v>593.91913364308118</v>
      </c>
      <c r="CX83" s="62">
        <f t="shared" si="68"/>
        <v>864.64774528176736</v>
      </c>
      <c r="CY83" s="62">
        <f ca="1">AVERAGE(OFFSET($CX$3,0,0,'Données projet'!$E$13+1,1))-AVERAGE(OFFSET($H$3,0,0,'Données projet'!$E$13+1,1))</f>
        <v>320.46614113586043</v>
      </c>
      <c r="CZ83" s="62">
        <f t="shared" si="96"/>
        <v>250.7806929924491</v>
      </c>
      <c r="DA83" s="16">
        <f>IF(ISNA(VLOOKUP(A83,'Données projet'!$A$139:$I$159,3,0)),0,VLOOKUP(A83,'Données projet'!$A$139:$I$159,3,0))</f>
        <v>7</v>
      </c>
      <c r="DB83" s="16">
        <f>IF(ISNA(VLOOKUP(A83,'Données projet'!$A$139:$I$159,4,0)),0,VLOOKUP(A83,'Données projet'!$A$139:$I$159,4,0))</f>
        <v>460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0</v>
      </c>
      <c r="DG83" s="23">
        <f>EXP(-LN(2)/25)*DG82+(1-EXP(-LN(2)/25))/(LN(2)/25)*Calculateur!DB83*Calculateur!DD83*VLOOKUP('Données projet'!$B$13,Paramètres!$A$1:$I$89,3,0)*0.475*44/12</f>
        <v>0</v>
      </c>
      <c r="DH83" s="23">
        <f>EXP(-LN(2)/2)*DH82+(1-EXP(-LN(2)/2))/(LN(2)/2)*DB83*DE83*VLOOKUP('Données projet'!$B$13,Paramètres!$A$1:$I$89,3,0)*0.475*44/12</f>
        <v>2.8249766811405363E-7</v>
      </c>
      <c r="DI83" s="24">
        <f t="shared" si="69"/>
        <v>2.8249766811405363E-7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>
        <f>VLOOKUP(A83,'Données projet'!$A$165:$I$185,2,0)</f>
        <v>734</v>
      </c>
      <c r="DM83" s="13">
        <f>VLOOKUP(A83,'Données projet'!$A$165:$I$185,9,0)</f>
        <v>21.2</v>
      </c>
      <c r="DN83" s="13">
        <f t="array" ref="DN83">INDEX(DM:DM,MIN(IF(ISNUMBER(DM83:DM279),ROW(DM83:DM279),"")))</f>
        <v>21.2</v>
      </c>
      <c r="DO83" s="13">
        <f>IF('Données projet'!$A$166&gt;35,DO82+DN83-DW82,IF(A83&lt;'Données projet'!$A$166,$DL$205^A83,IF(A83='Données projet'!$A$166,'Données projet'!$B$166,DO82+DN83-DW82)))</f>
        <v>734.00000000000034</v>
      </c>
      <c r="DP83" s="18">
        <f>DO83*VLOOKUP('Données projet'!$B$14,Paramètres!$A$1:$I$89,3,0)*VLOOKUP('Données projet'!$B$14,Paramètres!$A$1:$I$89,5,0)</f>
        <v>343.51200000000017</v>
      </c>
      <c r="DQ83" s="14">
        <f t="shared" si="97"/>
        <v>80.225113314048286</v>
      </c>
      <c r="DR83" s="22">
        <f t="shared" si="70"/>
        <v>738.00880568863431</v>
      </c>
      <c r="DS83" s="62">
        <f t="shared" si="71"/>
        <v>1008.7374173273204</v>
      </c>
      <c r="DT83" s="62">
        <f ca="1">AVERAGE(OFFSET($DS$3,0,0,'Données projet'!$E$14+1,1))-AVERAGE(OFFSET($H$3,0,0,'Données projet'!$E$14+1,1))</f>
        <v>429.87867712133851</v>
      </c>
      <c r="DU83" s="62">
        <f t="shared" si="98"/>
        <v>182.81277865988014</v>
      </c>
      <c r="DV83" s="16">
        <f>IF(ISNA(VLOOKUP(A83,'Données projet'!$A$165:$I$185,3,0)),0,VLOOKUP(A83,'Données projet'!$A$165:$I$185,3,0))</f>
        <v>5</v>
      </c>
      <c r="DW83" s="16">
        <f>IF(ISNA(VLOOKUP(A83,'Données projet'!$A$165:$I$185,4,0)),0,VLOOKUP(A83,'Données projet'!$A$165:$I$185,4,0))</f>
        <v>110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0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0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>
        <f>VLOOKUP(A83,'Données projet'!$A$191:$I$211,2,0)</f>
        <v>233.97435897435898</v>
      </c>
      <c r="EH83" s="13">
        <f>VLOOKUP(A83,'Données projet'!$A$191:$I$211,9,0)</f>
        <v>3.7179487179487181</v>
      </c>
      <c r="EI83" s="13">
        <f t="array" ref="EI83">INDEX(EH:EH,MIN(IF(ISNUMBER(EH83:EH279),ROW(EH83:EH279),"")))</f>
        <v>3.7179487179487181</v>
      </c>
      <c r="EJ83" s="13">
        <f>IF('Données projet'!$A$192&gt;35,EJ82+EI83-ER82,IF(A83&lt;'Données projet'!$A$192,$EG$205^A83,IF(A83='Données projet'!$A$192,'Données projet'!$B$192,EJ82+EI83-ER82)))</f>
        <v>233.97435897435909</v>
      </c>
      <c r="EK83" s="18">
        <f>EJ83*VLOOKUP('Données projet'!$B$15,Paramètres!$A$1:$I$89,3,0)*VLOOKUP('Données projet'!$B$15,Paramètres!$A$1:$I$89,5,0)</f>
        <v>156.95000000000007</v>
      </c>
      <c r="EL83" s="14">
        <f t="shared" si="99"/>
        <v>40.153810701715543</v>
      </c>
      <c r="EM83" s="22">
        <f t="shared" si="73"/>
        <v>343.28913697215467</v>
      </c>
      <c r="EN83" s="62">
        <f t="shared" si="74"/>
        <v>614.01774861084073</v>
      </c>
      <c r="EO83" s="62">
        <f ca="1">AVERAGE(OFFSET($EN$3,0,0,'Données projet'!$E$15+1,1))-AVERAGE(OFFSET($H$3,0,0,'Données projet'!$E$15+1,1))</f>
        <v>296.18088377871669</v>
      </c>
      <c r="EP83" s="62">
        <f t="shared" si="100"/>
        <v>252.23833925792056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22.435897435897434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0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0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>
        <f>VLOOKUP(A83,'Données projet'!$A$217:$I$237,2,0)</f>
        <v>233.97435897435898</v>
      </c>
      <c r="FC83" s="13">
        <f>VLOOKUP(A83,'Données projet'!$A$217:$I$237,9,0)</f>
        <v>3.7179487179487181</v>
      </c>
      <c r="FD83" s="13">
        <f t="array" ref="FD83">INDEX(FC:FC,MIN(IF(ISNUMBER(FC83:FC279),ROW(FC83:FC279),"")))</f>
        <v>3.7179487179487181</v>
      </c>
      <c r="FE83" s="13">
        <f>IF('Données projet'!$A$218&gt;35,FE82+FD83-FM82,IF(A83&lt;'Données projet'!$A$218,$FB$205^A83,IF(A83='Données projet'!$A$218,'Données projet'!$B$218,FE82+FD83-FM82)))</f>
        <v>233.97435897435909</v>
      </c>
      <c r="FF83" s="18">
        <f>FE83*VLOOKUP('Données projet'!$B$16,Paramètres!$A$1:$I$89,3,0)*VLOOKUP('Données projet'!$B$16,Paramètres!$A$1:$I$89,5,0)</f>
        <v>200.75000000000014</v>
      </c>
      <c r="FG83" s="14">
        <f t="shared" si="101"/>
        <v>49.908959101684808</v>
      </c>
      <c r="FH83" s="22">
        <f t="shared" si="76"/>
        <v>436.56435376876794</v>
      </c>
      <c r="FI83" s="62">
        <f t="shared" si="77"/>
        <v>707.29296540745406</v>
      </c>
      <c r="FJ83" s="62">
        <f ca="1">AVERAGE(OFFSET($FI$3,0,0,'Données projet'!$E$16+1,1))-AVERAGE(OFFSET($H$3,0,0,'Données projet'!$E$16+1,1))</f>
        <v>359.20464555327072</v>
      </c>
      <c r="FK83" s="62">
        <f t="shared" si="102"/>
        <v>305.54154052071863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22.435897435897434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0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0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5.6</v>
      </c>
      <c r="N84" s="14">
        <f>IF('Données projet'!$A$36&gt;35,N83+M84-V83,IF(A84&lt;'Données projet'!$A$36,$K$205^A84,IF(A84='Données projet'!$A$36,'Données projet'!$B$36,N83+M84-V83)))</f>
        <v>245.59999999999991</v>
      </c>
      <c r="O84" s="14">
        <f>N84*VLOOKUP('Données projet'!$B$9,Paramètres!$A$1:$I$89,3,0)*VLOOKUP('Données projet'!$B$9,Paramètres!$A$1:$I$89,5,0)</f>
        <v>249.03839999999994</v>
      </c>
      <c r="P84" s="14">
        <f t="shared" si="87"/>
        <v>60.379982523339947</v>
      </c>
      <c r="Q84" s="22">
        <f t="shared" si="54"/>
        <v>538.90368289481694</v>
      </c>
      <c r="R84" s="62">
        <f t="shared" si="55"/>
        <v>810.02443591831843</v>
      </c>
      <c r="S84" s="62">
        <f ca="1">AVERAGE(OFFSET($R$3,0,0,'Données projet'!$E$9+1,1))-AVERAGE(OFFSET($H$3,0,0,'Données projet'!$E$9+1,1))</f>
        <v>516.30971934066179</v>
      </c>
      <c r="T84" s="62">
        <f t="shared" si="88"/>
        <v>290.84286505723571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5.6</v>
      </c>
      <c r="AI84" s="14">
        <f>IF('Données projet'!$A$62&gt;35,AI83+AH84-AQ83,IF(A84&lt;'Données projet'!$A$62,$AF$205^A84,IF(A84='Données projet'!$A$62,'Données projet'!$B$62,AI83+AH84-AQ83)))</f>
        <v>245.59999999999991</v>
      </c>
      <c r="AJ84" s="14">
        <f>AI84*VLOOKUP('Données projet'!$B$10,Paramètres!$A$1:$I$89,3,0)*VLOOKUP('Données projet'!$B$10,Paramètres!$A$1:$I$89,5,0)</f>
        <v>264.36383999999987</v>
      </c>
      <c r="AK84" s="14">
        <f t="shared" si="89"/>
        <v>63.651669282160768</v>
      </c>
      <c r="AL84" s="22">
        <f t="shared" si="58"/>
        <v>571.29367866642974</v>
      </c>
      <c r="AM84" s="62">
        <f t="shared" si="59"/>
        <v>842.41443168993123</v>
      </c>
      <c r="AN84" s="62">
        <f ca="1">AVERAGE(OFFSET($AM$3,0,0,'Données projet'!$E$10+1,1))-AVERAGE(OFFSET($H$3,0,0,'Données projet'!$E$10+1,1))</f>
        <v>542.90832990875208</v>
      </c>
      <c r="AO84" s="62">
        <f t="shared" si="90"/>
        <v>304.94365539329362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5.6</v>
      </c>
      <c r="BD84" s="13">
        <f>IF('Données projet'!$A$88&gt;35,BD83+BC84-BL83,IF(A84&lt;'Données projet'!$A$88,$BA$205^A84,IF(A84='Données projet'!$A$88,'Données projet'!$B$88,BD83+BC84-BL83)))</f>
        <v>245.59999999999991</v>
      </c>
      <c r="BE84" s="14">
        <f>BD84*VLOOKUP('Données projet'!$B$11,Paramètres!$A$1:$I$89,3,0)*VLOOKUP('Données projet'!$B$11,Paramètres!$A$1:$I$89,5,0)</f>
        <v>237.54431999999991</v>
      </c>
      <c r="BF84" s="14">
        <f t="shared" si="91"/>
        <v>57.910863128487989</v>
      </c>
      <c r="BG84" s="22">
        <f t="shared" si="61"/>
        <v>514.58444394878302</v>
      </c>
      <c r="BH84" s="62">
        <f t="shared" si="62"/>
        <v>785.70519697228451</v>
      </c>
      <c r="BI84" s="62">
        <f ca="1">AVERAGE(OFFSET($BH$3,0,0,'Données projet'!$E$11+1,1))-AVERAGE(OFFSET($H$3,0,0,'Données projet'!$E$11+1,1))</f>
        <v>496.33873798282525</v>
      </c>
      <c r="BJ84" s="62">
        <f t="shared" si="92"/>
        <v>280.25465074992246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1.7053025658242404E-13</v>
      </c>
      <c r="BZ84" s="14">
        <f>BY84*VLOOKUP('Données projet'!$B$12,Paramètres!$A$1:$I$89,3,0)*VLOOKUP('Données projet'!$B$12,Paramètres!$A$1:$I$89,5,0)</f>
        <v>1.4897523215040567E-13</v>
      </c>
      <c r="CA84" s="14">
        <f t="shared" si="93"/>
        <v>2.136562777003313E-12</v>
      </c>
      <c r="CB84" s="22">
        <f t="shared" si="64"/>
        <v>3.9806453659427267E-12</v>
      </c>
      <c r="CC84" s="62">
        <f t="shared" si="65"/>
        <v>271.12075302350542</v>
      </c>
      <c r="CD84" s="62">
        <f ca="1">AVERAGE(OFFSET($CC$3,0,0,'Données projet'!$E$12+1,1))-AVERAGE(OFFSET($H$3,0,0,'Données projet'!$E$12+1,1))</f>
        <v>298.28891728374822</v>
      </c>
      <c r="CE84" s="62">
        <f t="shared" si="94"/>
        <v>275.07405533331371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1.1368683772161603E-13</v>
      </c>
      <c r="CU84" s="18">
        <f>CT84*VLOOKUP('Données projet'!$B$13,Paramètres!$A$1:$I$89,3,0)*VLOOKUP('Données projet'!$B$13,Paramètres!$A$1:$I$89,5,0)</f>
        <v>6.7984728957526396E-14</v>
      </c>
      <c r="CV84" s="14">
        <f t="shared" si="95"/>
        <v>1.0682447123141398E-12</v>
      </c>
      <c r="CW84" s="22">
        <f t="shared" si="67"/>
        <v>1.978932943548152E-12</v>
      </c>
      <c r="CX84" s="62">
        <f t="shared" si="68"/>
        <v>271.12075302350343</v>
      </c>
      <c r="CY84" s="62">
        <f ca="1">AVERAGE(OFFSET($CX$3,0,0,'Données projet'!$E$13+1,1))-AVERAGE(OFFSET($H$3,0,0,'Données projet'!$E$13+1,1))</f>
        <v>320.46614113586043</v>
      </c>
      <c r="CZ84" s="62">
        <f t="shared" si="96"/>
        <v>250.7806929924491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0</v>
      </c>
      <c r="DG84" s="23">
        <f>EXP(-LN(2)/25)*DG83+(1-EXP(-LN(2)/25))/(LN(2)/25)*Calculateur!DB84*Calculateur!DD84*VLOOKUP('Données projet'!$B$13,Paramètres!$A$1:$I$89,3,0)*0.475*44/12</f>
        <v>0</v>
      </c>
      <c r="DH84" s="23">
        <f>EXP(-LN(2)/2)*DH83+(1-EXP(-LN(2)/2))/(LN(2)/2)*DB84*DE84*VLOOKUP('Données projet'!$B$13,Paramètres!$A$1:$I$89,3,0)*0.475*44/12</f>
        <v>1.9975601679283405E-7</v>
      </c>
      <c r="DI84" s="24">
        <f t="shared" si="69"/>
        <v>1.9975601679283405E-7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17.8</v>
      </c>
      <c r="DO84" s="13">
        <f>IF('Données projet'!$A$166&gt;35,DO83+DN84-DW83,IF(A84&lt;'Données projet'!$A$166,$DL$205^A84,IF(A84='Données projet'!$A$166,'Données projet'!$B$166,DO83+DN84-DW83)))</f>
        <v>641.8000000000003</v>
      </c>
      <c r="DP84" s="18">
        <f>DO84*VLOOKUP('Données projet'!$B$14,Paramètres!$A$1:$I$89,3,0)*VLOOKUP('Données projet'!$B$14,Paramètres!$A$1:$I$89,5,0)</f>
        <v>300.36240000000015</v>
      </c>
      <c r="DQ84" s="14">
        <f t="shared" si="97"/>
        <v>71.252431096700917</v>
      </c>
      <c r="DR84" s="22">
        <f t="shared" si="70"/>
        <v>647.22916416008775</v>
      </c>
      <c r="DS84" s="62">
        <f t="shared" si="71"/>
        <v>918.34991718358924</v>
      </c>
      <c r="DT84" s="62">
        <f ca="1">AVERAGE(OFFSET($DS$3,0,0,'Données projet'!$E$14+1,1))-AVERAGE(OFFSET($H$3,0,0,'Données projet'!$E$14+1,1))</f>
        <v>429.87867712133851</v>
      </c>
      <c r="DU84" s="62">
        <f t="shared" si="98"/>
        <v>182.81277865988014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0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0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3.5897435897435854</v>
      </c>
      <c r="EJ84" s="13">
        <f>IF('Données projet'!$A$192&gt;35,EJ83+EI84-ER83,IF(A84&lt;'Données projet'!$A$192,$EG$205^A84,IF(A84='Données projet'!$A$192,'Données projet'!$B$192,EJ83+EI84-ER83)))</f>
        <v>215.12820512820525</v>
      </c>
      <c r="EK84" s="18">
        <f>EJ84*VLOOKUP('Données projet'!$B$15,Paramètres!$A$1:$I$89,3,0)*VLOOKUP('Données projet'!$B$15,Paramètres!$A$1:$I$89,5,0)</f>
        <v>144.30800000000008</v>
      </c>
      <c r="EL84" s="14">
        <f t="shared" si="99"/>
        <v>37.282160275331499</v>
      </c>
      <c r="EM84" s="22">
        <f t="shared" si="73"/>
        <v>316.2695291462025</v>
      </c>
      <c r="EN84" s="62">
        <f t="shared" si="74"/>
        <v>587.39028216970394</v>
      </c>
      <c r="EO84" s="62">
        <f ca="1">AVERAGE(OFFSET($EN$3,0,0,'Données projet'!$E$15+1,1))-AVERAGE(OFFSET($H$3,0,0,'Données projet'!$E$15+1,1))</f>
        <v>296.18088377871669</v>
      </c>
      <c r="EP84" s="62">
        <f t="shared" si="100"/>
        <v>252.23833925792056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0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0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3.5897435897435854</v>
      </c>
      <c r="FE84" s="13">
        <f>IF('Données projet'!$A$218&gt;35,FE83+FD84-FM83,IF(A84&lt;'Données projet'!$A$218,$FB$205^A84,IF(A84='Données projet'!$A$218,'Données projet'!$B$218,FE83+FD84-FM83)))</f>
        <v>215.12820512820525</v>
      </c>
      <c r="FF84" s="18">
        <f>FE84*VLOOKUP('Données projet'!$B$16,Paramètres!$A$1:$I$89,3,0)*VLOOKUP('Données projet'!$B$16,Paramètres!$A$1:$I$89,5,0)</f>
        <v>184.58000000000013</v>
      </c>
      <c r="FG84" s="14">
        <f t="shared" si="101"/>
        <v>46.339656931352721</v>
      </c>
      <c r="FH84" s="22">
        <f t="shared" si="76"/>
        <v>402.18506915543952</v>
      </c>
      <c r="FI84" s="62">
        <f t="shared" si="77"/>
        <v>673.30582217894096</v>
      </c>
      <c r="FJ84" s="62">
        <f ca="1">AVERAGE(OFFSET($FI$3,0,0,'Données projet'!$E$16+1,1))-AVERAGE(OFFSET($H$3,0,0,'Données projet'!$E$16+1,1))</f>
        <v>359.20464555327072</v>
      </c>
      <c r="FK84" s="62">
        <f t="shared" si="102"/>
        <v>305.54154052071863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0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0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5.6</v>
      </c>
      <c r="N85" s="14">
        <f>IF('Données projet'!$A$36&gt;35,N84+M85-V84,IF(A85&lt;'Données projet'!$A$36,$K$205^A85,IF(A85='Données projet'!$A$36,'Données projet'!$B$36,N84+M85-V84)))</f>
        <v>251.1999999999999</v>
      </c>
      <c r="O85" s="14">
        <f>N85*VLOOKUP('Données projet'!$B$9,Paramètres!$A$1:$I$89,3,0)*VLOOKUP('Données projet'!$B$9,Paramètres!$A$1:$I$89,5,0)</f>
        <v>254.71679999999992</v>
      </c>
      <c r="P85" s="14">
        <f t="shared" si="87"/>
        <v>61.594871205031538</v>
      </c>
      <c r="Q85" s="22">
        <f t="shared" si="54"/>
        <v>550.9094940154298</v>
      </c>
      <c r="R85" s="62">
        <f t="shared" si="55"/>
        <v>822.41558564741683</v>
      </c>
      <c r="S85" s="62">
        <f ca="1">AVERAGE(OFFSET($R$3,0,0,'Données projet'!$E$9+1,1))-AVERAGE(OFFSET($H$3,0,0,'Données projet'!$E$9+1,1))</f>
        <v>516.30971934066179</v>
      </c>
      <c r="T85" s="62">
        <f t="shared" si="88"/>
        <v>290.84286505723571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5.6</v>
      </c>
      <c r="AI85" s="14">
        <f>IF('Données projet'!$A$62&gt;35,AI84+AH85-AQ84,IF(A85&lt;'Données projet'!$A$62,$AF$205^A85,IF(A85='Données projet'!$A$62,'Données projet'!$B$62,AI84+AH85-AQ84)))</f>
        <v>251.1999999999999</v>
      </c>
      <c r="AJ85" s="14">
        <f>AI85*VLOOKUP('Données projet'!$B$10,Paramètres!$A$1:$I$89,3,0)*VLOOKUP('Données projet'!$B$10,Paramètres!$A$1:$I$89,5,0)</f>
        <v>270.39167999999989</v>
      </c>
      <c r="AK85" s="14">
        <f t="shared" si="89"/>
        <v>64.932386654872516</v>
      </c>
      <c r="AL85" s="22">
        <f t="shared" si="58"/>
        <v>584.02274942390272</v>
      </c>
      <c r="AM85" s="62">
        <f t="shared" si="59"/>
        <v>855.52884105588976</v>
      </c>
      <c r="AN85" s="62">
        <f ca="1">AVERAGE(OFFSET($AM$3,0,0,'Données projet'!$E$10+1,1))-AVERAGE(OFFSET($H$3,0,0,'Données projet'!$E$10+1,1))</f>
        <v>542.90832990875208</v>
      </c>
      <c r="AO85" s="62">
        <f t="shared" si="90"/>
        <v>304.94365539329362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5.6</v>
      </c>
      <c r="BD85" s="13">
        <f>IF('Données projet'!$A$88&gt;35,BD84+BC85-BL84,IF(A85&lt;'Données projet'!$A$88,$BA$205^A85,IF(A85='Données projet'!$A$88,'Données projet'!$B$88,BD84+BC85-BL84)))</f>
        <v>251.1999999999999</v>
      </c>
      <c r="BE85" s="14">
        <f>BD85*VLOOKUP('Données projet'!$B$11,Paramètres!$A$1:$I$89,3,0)*VLOOKUP('Données projet'!$B$11,Paramètres!$A$1:$I$89,5,0)</f>
        <v>242.96063999999993</v>
      </c>
      <c r="BF85" s="14">
        <f t="shared" si="91"/>
        <v>59.076071351835715</v>
      </c>
      <c r="BG85" s="22">
        <f t="shared" si="61"/>
        <v>526.04727227111368</v>
      </c>
      <c r="BH85" s="62">
        <f t="shared" si="62"/>
        <v>797.55336390310072</v>
      </c>
      <c r="BI85" s="62">
        <f ca="1">AVERAGE(OFFSET($BH$3,0,0,'Données projet'!$E$11+1,1))-AVERAGE(OFFSET($H$3,0,0,'Données projet'!$E$11+1,1))</f>
        <v>496.33873798282525</v>
      </c>
      <c r="BJ85" s="62">
        <f t="shared" si="92"/>
        <v>280.25465074992246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1.7053025658242404E-13</v>
      </c>
      <c r="BZ85" s="14">
        <f>BY85*VLOOKUP('Données projet'!$B$12,Paramètres!$A$1:$I$89,3,0)*VLOOKUP('Données projet'!$B$12,Paramètres!$A$1:$I$89,5,0)</f>
        <v>1.4897523215040567E-13</v>
      </c>
      <c r="CA85" s="14">
        <f t="shared" si="93"/>
        <v>2.136562777003313E-12</v>
      </c>
      <c r="CB85" s="22">
        <f t="shared" si="64"/>
        <v>3.9806453659427267E-12</v>
      </c>
      <c r="CC85" s="62">
        <f t="shared" si="65"/>
        <v>271.50609163199101</v>
      </c>
      <c r="CD85" s="62">
        <f ca="1">AVERAGE(OFFSET($CC$3,0,0,'Données projet'!$E$12+1,1))-AVERAGE(OFFSET($H$3,0,0,'Données projet'!$E$12+1,1))</f>
        <v>298.28891728374822</v>
      </c>
      <c r="CE85" s="62">
        <f t="shared" si="94"/>
        <v>275.07405533331371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1.1368683772161603E-13</v>
      </c>
      <c r="CU85" s="18">
        <f>CT85*VLOOKUP('Données projet'!$B$13,Paramètres!$A$1:$I$89,3,0)*VLOOKUP('Données projet'!$B$13,Paramètres!$A$1:$I$89,5,0)</f>
        <v>6.7984728957526396E-14</v>
      </c>
      <c r="CV85" s="14">
        <f t="shared" si="95"/>
        <v>1.0682447123141398E-12</v>
      </c>
      <c r="CW85" s="22">
        <f t="shared" si="67"/>
        <v>1.978932943548152E-12</v>
      </c>
      <c r="CX85" s="62">
        <f t="shared" si="68"/>
        <v>271.50609163198902</v>
      </c>
      <c r="CY85" s="62">
        <f ca="1">AVERAGE(OFFSET($CX$3,0,0,'Données projet'!$E$13+1,1))-AVERAGE(OFFSET($H$3,0,0,'Données projet'!$E$13+1,1))</f>
        <v>320.46614113586043</v>
      </c>
      <c r="CZ85" s="62">
        <f t="shared" si="96"/>
        <v>250.7806929924491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0</v>
      </c>
      <c r="DG85" s="23">
        <f>EXP(-LN(2)/25)*DG84+(1-EXP(-LN(2)/25))/(LN(2)/25)*Calculateur!DB85*Calculateur!DD85*VLOOKUP('Données projet'!$B$13,Paramètres!$A$1:$I$89,3,0)*0.475*44/12</f>
        <v>0</v>
      </c>
      <c r="DH85" s="23">
        <f>EXP(-LN(2)/2)*DH84+(1-EXP(-LN(2)/2))/(LN(2)/2)*DB85*DE85*VLOOKUP('Données projet'!$B$13,Paramètres!$A$1:$I$89,3,0)*0.475*44/12</f>
        <v>1.4124883405702681E-7</v>
      </c>
      <c r="DI85" s="24">
        <f t="shared" si="69"/>
        <v>1.4124883405702681E-7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17.8</v>
      </c>
      <c r="DO85" s="13">
        <f>IF('Données projet'!$A$166&gt;35,DO84+DN85-DW84,IF(A85&lt;'Données projet'!$A$166,$DL$205^A85,IF(A85='Données projet'!$A$166,'Données projet'!$B$166,DO84+DN85-DW84)))</f>
        <v>659.60000000000025</v>
      </c>
      <c r="DP85" s="18">
        <f>DO85*VLOOKUP('Données projet'!$B$14,Paramètres!$A$1:$I$89,3,0)*VLOOKUP('Données projet'!$B$14,Paramètres!$A$1:$I$89,5,0)</f>
        <v>308.69280000000009</v>
      </c>
      <c r="DQ85" s="14">
        <f t="shared" si="97"/>
        <v>72.995767680913616</v>
      </c>
      <c r="DR85" s="22">
        <f t="shared" si="70"/>
        <v>664.77425537759143</v>
      </c>
      <c r="DS85" s="62">
        <f t="shared" si="71"/>
        <v>936.28034700957846</v>
      </c>
      <c r="DT85" s="62">
        <f ca="1">AVERAGE(OFFSET($DS$3,0,0,'Données projet'!$E$14+1,1))-AVERAGE(OFFSET($H$3,0,0,'Données projet'!$E$14+1,1))</f>
        <v>429.87867712133851</v>
      </c>
      <c r="DU85" s="62">
        <f t="shared" si="98"/>
        <v>182.81277865988014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0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0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3.5897435897435854</v>
      </c>
      <c r="EJ85" s="13">
        <f>IF('Données projet'!$A$192&gt;35,EJ84+EI85-ER84,IF(A85&lt;'Données projet'!$A$192,$EG$205^A85,IF(A85='Données projet'!$A$192,'Données projet'!$B$192,EJ84+EI85-ER84)))</f>
        <v>218.71794871794884</v>
      </c>
      <c r="EK85" s="18">
        <f>EJ85*VLOOKUP('Données projet'!$B$15,Paramètres!$A$1:$I$89,3,0)*VLOOKUP('Données projet'!$B$15,Paramètres!$A$1:$I$89,5,0)</f>
        <v>146.71600000000009</v>
      </c>
      <c r="EL85" s="14">
        <f t="shared" si="99"/>
        <v>37.831326067731737</v>
      </c>
      <c r="EM85" s="22">
        <f t="shared" si="73"/>
        <v>321.41992623463295</v>
      </c>
      <c r="EN85" s="62">
        <f t="shared" si="74"/>
        <v>592.92601786661999</v>
      </c>
      <c r="EO85" s="62">
        <f ca="1">AVERAGE(OFFSET($EN$3,0,0,'Données projet'!$E$15+1,1))-AVERAGE(OFFSET($H$3,0,0,'Données projet'!$E$15+1,1))</f>
        <v>296.18088377871669</v>
      </c>
      <c r="EP85" s="62">
        <f t="shared" si="100"/>
        <v>252.23833925792056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0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0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3.5897435897435854</v>
      </c>
      <c r="FE85" s="13">
        <f>IF('Données projet'!$A$218&gt;35,FE84+FD85-FM84,IF(A85&lt;'Données projet'!$A$218,$FB$205^A85,IF(A85='Données projet'!$A$218,'Données projet'!$B$218,FE84+FD85-FM84)))</f>
        <v>218.71794871794884</v>
      </c>
      <c r="FF85" s="18">
        <f>FE85*VLOOKUP('Données projet'!$B$16,Paramètres!$A$1:$I$89,3,0)*VLOOKUP('Données projet'!$B$16,Paramètres!$A$1:$I$89,5,0)</f>
        <v>187.66000000000011</v>
      </c>
      <c r="FG85" s="14">
        <f t="shared" si="101"/>
        <v>47.022239545405263</v>
      </c>
      <c r="FH85" s="22">
        <f t="shared" si="76"/>
        <v>408.73823387491433</v>
      </c>
      <c r="FI85" s="62">
        <f t="shared" si="77"/>
        <v>680.2443255069013</v>
      </c>
      <c r="FJ85" s="62">
        <f ca="1">AVERAGE(OFFSET($FI$3,0,0,'Données projet'!$E$16+1,1))-AVERAGE(OFFSET($H$3,0,0,'Données projet'!$E$16+1,1))</f>
        <v>359.20464555327072</v>
      </c>
      <c r="FK85" s="62">
        <f t="shared" si="102"/>
        <v>305.54154052071863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0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0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5.6</v>
      </c>
      <c r="N86" s="14">
        <f>IF('Données projet'!$A$36&gt;35,N85+M86-V85,IF(A86&lt;'Données projet'!$A$36,$K$205^A86,IF(A86='Données projet'!$A$36,'Données projet'!$B$36,N85+M86-V85)))</f>
        <v>256.7999999999999</v>
      </c>
      <c r="O86" s="14">
        <f>N86*VLOOKUP('Données projet'!$B$9,Paramètres!$A$1:$I$89,3,0)*VLOOKUP('Données projet'!$B$9,Paramètres!$A$1:$I$89,5,0)</f>
        <v>260.39519999999987</v>
      </c>
      <c r="P86" s="14">
        <f t="shared" si="87"/>
        <v>62.806611177714331</v>
      </c>
      <c r="Q86" s="22">
        <f t="shared" si="54"/>
        <v>562.90982113451889</v>
      </c>
      <c r="R86" s="62">
        <f t="shared" si="55"/>
        <v>834.79456661162237</v>
      </c>
      <c r="S86" s="62">
        <f ca="1">AVERAGE(OFFSET($R$3,0,0,'Données projet'!$E$9+1,1))-AVERAGE(OFFSET($H$3,0,0,'Données projet'!$E$9+1,1))</f>
        <v>516.30971934066179</v>
      </c>
      <c r="T86" s="62">
        <f t="shared" si="88"/>
        <v>290.84286505723571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5.6</v>
      </c>
      <c r="AI86" s="14">
        <f>IF('Données projet'!$A$62&gt;35,AI85+AH86-AQ85,IF(A86&lt;'Données projet'!$A$62,$AF$205^A86,IF(A86='Données projet'!$A$62,'Données projet'!$B$62,AI85+AH86-AQ85)))</f>
        <v>256.7999999999999</v>
      </c>
      <c r="AJ86" s="14">
        <f>AI86*VLOOKUP('Données projet'!$B$10,Paramètres!$A$1:$I$89,3,0)*VLOOKUP('Données projet'!$B$10,Paramètres!$A$1:$I$89,5,0)</f>
        <v>276.41951999999986</v>
      </c>
      <c r="AK86" s="14">
        <f t="shared" si="89"/>
        <v>66.209784705913108</v>
      </c>
      <c r="AL86" s="22">
        <f t="shared" si="58"/>
        <v>596.74603902946512</v>
      </c>
      <c r="AM86" s="62">
        <f t="shared" si="59"/>
        <v>868.6307845065686</v>
      </c>
      <c r="AN86" s="62">
        <f ca="1">AVERAGE(OFFSET($AM$3,0,0,'Données projet'!$E$10+1,1))-AVERAGE(OFFSET($H$3,0,0,'Données projet'!$E$10+1,1))</f>
        <v>542.90832990875208</v>
      </c>
      <c r="AO86" s="62">
        <f t="shared" si="90"/>
        <v>304.94365539329362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5.6</v>
      </c>
      <c r="BD86" s="13">
        <f>IF('Données projet'!$A$88&gt;35,BD85+BC86-BL85,IF(A86&lt;'Données projet'!$A$88,$BA$205^A86,IF(A86='Données projet'!$A$88,'Données projet'!$B$88,BD85+BC86-BL85)))</f>
        <v>256.7999999999999</v>
      </c>
      <c r="BE86" s="14">
        <f>BD86*VLOOKUP('Données projet'!$B$11,Paramètres!$A$1:$I$89,3,0)*VLOOKUP('Données projet'!$B$11,Paramètres!$A$1:$I$89,5,0)</f>
        <v>248.37695999999988</v>
      </c>
      <c r="BF86" s="14">
        <f t="shared" si="91"/>
        <v>60.238259626372319</v>
      </c>
      <c r="BG86" s="22">
        <f t="shared" si="61"/>
        <v>537.50484084926495</v>
      </c>
      <c r="BH86" s="62">
        <f t="shared" si="62"/>
        <v>809.38958632636843</v>
      </c>
      <c r="BI86" s="62">
        <f ca="1">AVERAGE(OFFSET($BH$3,0,0,'Données projet'!$E$11+1,1))-AVERAGE(OFFSET($H$3,0,0,'Données projet'!$E$11+1,1))</f>
        <v>496.33873798282525</v>
      </c>
      <c r="BJ86" s="62">
        <f t="shared" si="92"/>
        <v>280.25465074992246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1.7053025658242404E-13</v>
      </c>
      <c r="BZ86" s="14">
        <f>BY86*VLOOKUP('Données projet'!$B$12,Paramètres!$A$1:$I$89,3,0)*VLOOKUP('Données projet'!$B$12,Paramètres!$A$1:$I$89,5,0)</f>
        <v>1.4897523215040567E-13</v>
      </c>
      <c r="CA86" s="14">
        <f t="shared" si="93"/>
        <v>2.136562777003313E-12</v>
      </c>
      <c r="CB86" s="22">
        <f t="shared" si="64"/>
        <v>3.9806453659427267E-12</v>
      </c>
      <c r="CC86" s="62">
        <f t="shared" si="65"/>
        <v>271.88474547710746</v>
      </c>
      <c r="CD86" s="62">
        <f ca="1">AVERAGE(OFFSET($CC$3,0,0,'Données projet'!$E$12+1,1))-AVERAGE(OFFSET($H$3,0,0,'Données projet'!$E$12+1,1))</f>
        <v>298.28891728374822</v>
      </c>
      <c r="CE86" s="62">
        <f t="shared" si="94"/>
        <v>275.07405533331371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1.1368683772161603E-13</v>
      </c>
      <c r="CU86" s="18">
        <f>CT86*VLOOKUP('Données projet'!$B$13,Paramètres!$A$1:$I$89,3,0)*VLOOKUP('Données projet'!$B$13,Paramètres!$A$1:$I$89,5,0)</f>
        <v>6.7984728957526396E-14</v>
      </c>
      <c r="CV86" s="14">
        <f t="shared" si="95"/>
        <v>1.0682447123141398E-12</v>
      </c>
      <c r="CW86" s="22">
        <f t="shared" si="67"/>
        <v>1.978932943548152E-12</v>
      </c>
      <c r="CX86" s="62">
        <f t="shared" si="68"/>
        <v>271.88474547710547</v>
      </c>
      <c r="CY86" s="62">
        <f ca="1">AVERAGE(OFFSET($CX$3,0,0,'Données projet'!$E$13+1,1))-AVERAGE(OFFSET($H$3,0,0,'Données projet'!$E$13+1,1))</f>
        <v>320.46614113586043</v>
      </c>
      <c r="CZ86" s="62">
        <f t="shared" si="96"/>
        <v>250.7806929924491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0</v>
      </c>
      <c r="DG86" s="23">
        <f>EXP(-LN(2)/25)*DG85+(1-EXP(-LN(2)/25))/(LN(2)/25)*Calculateur!DB86*Calculateur!DD86*VLOOKUP('Données projet'!$B$13,Paramètres!$A$1:$I$89,3,0)*0.475*44/12</f>
        <v>0</v>
      </c>
      <c r="DH86" s="23">
        <f>EXP(-LN(2)/2)*DH85+(1-EXP(-LN(2)/2))/(LN(2)/2)*DB86*DE86*VLOOKUP('Données projet'!$B$13,Paramètres!$A$1:$I$89,3,0)*0.475*44/12</f>
        <v>9.9878008396417023E-8</v>
      </c>
      <c r="DI86" s="24">
        <f t="shared" si="69"/>
        <v>9.9878008396417023E-8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17.8</v>
      </c>
      <c r="DO86" s="13">
        <f>IF('Données projet'!$A$166&gt;35,DO85+DN86-DW85,IF(A86&lt;'Données projet'!$A$166,$DL$205^A86,IF(A86='Données projet'!$A$166,'Données projet'!$B$166,DO85+DN86-DW85)))</f>
        <v>677.4000000000002</v>
      </c>
      <c r="DP86" s="18">
        <f>DO86*VLOOKUP('Données projet'!$B$14,Paramètres!$A$1:$I$89,3,0)*VLOOKUP('Données projet'!$B$14,Paramètres!$A$1:$I$89,5,0)</f>
        <v>317.02320000000009</v>
      </c>
      <c r="DQ86" s="14">
        <f t="shared" si="97"/>
        <v>74.733636027657681</v>
      </c>
      <c r="DR86" s="22">
        <f t="shared" si="70"/>
        <v>682.30982274817052</v>
      </c>
      <c r="DS86" s="62">
        <f t="shared" si="71"/>
        <v>954.194568225274</v>
      </c>
      <c r="DT86" s="62">
        <f ca="1">AVERAGE(OFFSET($DS$3,0,0,'Données projet'!$E$14+1,1))-AVERAGE(OFFSET($H$3,0,0,'Données projet'!$E$14+1,1))</f>
        <v>429.87867712133851</v>
      </c>
      <c r="DU86" s="62">
        <f t="shared" si="98"/>
        <v>182.81277865988014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0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0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3.5897435897435854</v>
      </c>
      <c r="EJ86" s="13">
        <f>IF('Données projet'!$A$192&gt;35,EJ85+EI86-ER85,IF(A86&lt;'Données projet'!$A$192,$EG$205^A86,IF(A86='Données projet'!$A$192,'Données projet'!$B$192,EJ85+EI86-ER85)))</f>
        <v>222.30769230769243</v>
      </c>
      <c r="EK86" s="18">
        <f>EJ86*VLOOKUP('Données projet'!$B$15,Paramètres!$A$1:$I$89,3,0)*VLOOKUP('Données projet'!$B$15,Paramètres!$A$1:$I$89,5,0)</f>
        <v>149.12400000000008</v>
      </c>
      <c r="EL86" s="14">
        <f t="shared" si="99"/>
        <v>38.379443667029406</v>
      </c>
      <c r="EM86" s="22">
        <f t="shared" si="73"/>
        <v>326.56849772007638</v>
      </c>
      <c r="EN86" s="62">
        <f t="shared" si="74"/>
        <v>598.45324319717986</v>
      </c>
      <c r="EO86" s="62">
        <f ca="1">AVERAGE(OFFSET($EN$3,0,0,'Données projet'!$E$15+1,1))-AVERAGE(OFFSET($H$3,0,0,'Données projet'!$E$15+1,1))</f>
        <v>296.18088377871669</v>
      </c>
      <c r="EP86" s="62">
        <f t="shared" si="100"/>
        <v>252.23833925792056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0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0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3.5897435897435854</v>
      </c>
      <c r="FE86" s="13">
        <f>IF('Données projet'!$A$218&gt;35,FE85+FD86-FM85,IF(A86&lt;'Données projet'!$A$218,$FB$205^A86,IF(A86='Données projet'!$A$218,'Données projet'!$B$218,FE85+FD86-FM85)))</f>
        <v>222.30769230769243</v>
      </c>
      <c r="FF86" s="18">
        <f>FE86*VLOOKUP('Données projet'!$B$16,Paramètres!$A$1:$I$89,3,0)*VLOOKUP('Données projet'!$B$16,Paramètres!$A$1:$I$89,5,0)</f>
        <v>190.74000000000012</v>
      </c>
      <c r="FG86" s="14">
        <f t="shared" si="101"/>
        <v>47.703519313581637</v>
      </c>
      <c r="FH86" s="22">
        <f t="shared" si="76"/>
        <v>415.28912947115487</v>
      </c>
      <c r="FI86" s="62">
        <f t="shared" si="77"/>
        <v>687.17387494825834</v>
      </c>
      <c r="FJ86" s="62">
        <f ca="1">AVERAGE(OFFSET($FI$3,0,0,'Données projet'!$E$16+1,1))-AVERAGE(OFFSET($H$3,0,0,'Données projet'!$E$16+1,1))</f>
        <v>359.20464555327072</v>
      </c>
      <c r="FK86" s="62">
        <f t="shared" si="102"/>
        <v>305.54154052071863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0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0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5.6</v>
      </c>
      <c r="N87" s="14">
        <f>IF('Données projet'!$A$36&gt;35,N86+M87-V86,IF(A87&lt;'Données projet'!$A$36,$K$205^A87,IF(A87='Données projet'!$A$36,'Données projet'!$B$36,N86+M87-V86)))</f>
        <v>262.39999999999992</v>
      </c>
      <c r="O87" s="14">
        <f>N87*VLOOKUP('Données projet'!$B$9,Paramètres!$A$1:$I$89,3,0)*VLOOKUP('Données projet'!$B$9,Paramètres!$A$1:$I$89,5,0)</f>
        <v>266.07359999999994</v>
      </c>
      <c r="P87" s="14">
        <f t="shared" si="87"/>
        <v>64.015279012301136</v>
      </c>
      <c r="Q87" s="22">
        <f t="shared" si="54"/>
        <v>574.90479761309098</v>
      </c>
      <c r="R87" s="62">
        <f t="shared" si="55"/>
        <v>847.16162813764129</v>
      </c>
      <c r="S87" s="62">
        <f ca="1">AVERAGE(OFFSET($R$3,0,0,'Données projet'!$E$9+1,1))-AVERAGE(OFFSET($H$3,0,0,'Données projet'!$E$9+1,1))</f>
        <v>516.30971934066179</v>
      </c>
      <c r="T87" s="62">
        <f t="shared" si="88"/>
        <v>290.84286505723571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5.6</v>
      </c>
      <c r="AI87" s="14">
        <f>IF('Données projet'!$A$62&gt;35,AI86+AH87-AQ86,IF(A87&lt;'Données projet'!$A$62,$AF$205^A87,IF(A87='Données projet'!$A$62,'Données projet'!$B$62,AI86+AH87-AQ86)))</f>
        <v>262.39999999999992</v>
      </c>
      <c r="AJ87" s="14">
        <f>AI87*VLOOKUP('Données projet'!$B$10,Paramètres!$A$1:$I$89,3,0)*VLOOKUP('Données projet'!$B$10,Paramètres!$A$1:$I$89,5,0)</f>
        <v>282.44735999999989</v>
      </c>
      <c r="AK87" s="14">
        <f t="shared" si="89"/>
        <v>67.48394415518699</v>
      </c>
      <c r="AL87" s="22">
        <f t="shared" si="58"/>
        <v>609.46368807028375</v>
      </c>
      <c r="AM87" s="62">
        <f t="shared" si="59"/>
        <v>881.72051859483406</v>
      </c>
      <c r="AN87" s="62">
        <f ca="1">AVERAGE(OFFSET($AM$3,0,0,'Données projet'!$E$10+1,1))-AVERAGE(OFFSET($H$3,0,0,'Données projet'!$E$10+1,1))</f>
        <v>542.90832990875208</v>
      </c>
      <c r="AO87" s="62">
        <f t="shared" si="90"/>
        <v>304.94365539329362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5.6</v>
      </c>
      <c r="BD87" s="13">
        <f>IF('Données projet'!$A$88&gt;35,BD86+BC87-BL86,IF(A87&lt;'Données projet'!$A$88,$BA$205^A87,IF(A87='Données projet'!$A$88,'Données projet'!$B$88,BD86+BC87-BL86)))</f>
        <v>262.39999999999992</v>
      </c>
      <c r="BE87" s="14">
        <f>BD87*VLOOKUP('Données projet'!$B$11,Paramètres!$A$1:$I$89,3,0)*VLOOKUP('Données projet'!$B$11,Paramètres!$A$1:$I$89,5,0)</f>
        <v>253.79327999999995</v>
      </c>
      <c r="BF87" s="14">
        <f t="shared" si="91"/>
        <v>61.39750139179521</v>
      </c>
      <c r="BG87" s="22">
        <f t="shared" si="61"/>
        <v>548.95727759070985</v>
      </c>
      <c r="BH87" s="62">
        <f t="shared" si="62"/>
        <v>821.21410811526016</v>
      </c>
      <c r="BI87" s="62">
        <f ca="1">AVERAGE(OFFSET($BH$3,0,0,'Données projet'!$E$11+1,1))-AVERAGE(OFFSET($H$3,0,0,'Données projet'!$E$11+1,1))</f>
        <v>496.33873798282525</v>
      </c>
      <c r="BJ87" s="62">
        <f t="shared" si="92"/>
        <v>280.25465074992246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1.7053025658242404E-13</v>
      </c>
      <c r="BZ87" s="14">
        <f>BY87*VLOOKUP('Données projet'!$B$12,Paramètres!$A$1:$I$89,3,0)*VLOOKUP('Données projet'!$B$12,Paramètres!$A$1:$I$89,5,0)</f>
        <v>1.4897523215040567E-13</v>
      </c>
      <c r="CA87" s="14">
        <f t="shared" si="93"/>
        <v>2.136562777003313E-12</v>
      </c>
      <c r="CB87" s="22">
        <f t="shared" si="64"/>
        <v>3.9806453659427267E-12</v>
      </c>
      <c r="CC87" s="62">
        <f t="shared" si="65"/>
        <v>272.25683052455429</v>
      </c>
      <c r="CD87" s="62">
        <f ca="1">AVERAGE(OFFSET($CC$3,0,0,'Données projet'!$E$12+1,1))-AVERAGE(OFFSET($H$3,0,0,'Données projet'!$E$12+1,1))</f>
        <v>298.28891728374822</v>
      </c>
      <c r="CE87" s="62">
        <f t="shared" si="94"/>
        <v>275.07405533331371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1.1368683772161603E-13</v>
      </c>
      <c r="CU87" s="18">
        <f>CT87*VLOOKUP('Données projet'!$B$13,Paramètres!$A$1:$I$89,3,0)*VLOOKUP('Données projet'!$B$13,Paramètres!$A$1:$I$89,5,0)</f>
        <v>6.7984728957526396E-14</v>
      </c>
      <c r="CV87" s="14">
        <f t="shared" si="95"/>
        <v>1.0682447123141398E-12</v>
      </c>
      <c r="CW87" s="22">
        <f t="shared" si="67"/>
        <v>1.978932943548152E-12</v>
      </c>
      <c r="CX87" s="62">
        <f t="shared" si="68"/>
        <v>272.2568305245523</v>
      </c>
      <c r="CY87" s="62">
        <f ca="1">AVERAGE(OFFSET($CX$3,0,0,'Données projet'!$E$13+1,1))-AVERAGE(OFFSET($H$3,0,0,'Données projet'!$E$13+1,1))</f>
        <v>320.46614113586043</v>
      </c>
      <c r="CZ87" s="62">
        <f t="shared" si="96"/>
        <v>250.7806929924491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0</v>
      </c>
      <c r="DG87" s="23">
        <f>EXP(-LN(2)/25)*DG86+(1-EXP(-LN(2)/25))/(LN(2)/25)*Calculateur!DB87*Calculateur!DD87*VLOOKUP('Données projet'!$B$13,Paramètres!$A$1:$I$89,3,0)*0.475*44/12</f>
        <v>0</v>
      </c>
      <c r="DH87" s="23">
        <f>EXP(-LN(2)/2)*DH86+(1-EXP(-LN(2)/2))/(LN(2)/2)*DB87*DE87*VLOOKUP('Données projet'!$B$13,Paramètres!$A$1:$I$89,3,0)*0.475*44/12</f>
        <v>7.0624417028513407E-8</v>
      </c>
      <c r="DI87" s="24">
        <f t="shared" si="69"/>
        <v>7.0624417028513407E-8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17.8</v>
      </c>
      <c r="DO87" s="13">
        <f>IF('Données projet'!$A$166&gt;35,DO86+DN87-DW86,IF(A87&lt;'Données projet'!$A$166,$DL$205^A87,IF(A87='Données projet'!$A$166,'Données projet'!$B$166,DO86+DN87-DW86)))</f>
        <v>695.20000000000016</v>
      </c>
      <c r="DP87" s="18">
        <f>DO87*VLOOKUP('Données projet'!$B$14,Paramètres!$A$1:$I$89,3,0)*VLOOKUP('Données projet'!$B$14,Paramètres!$A$1:$I$89,5,0)</f>
        <v>325.35360000000009</v>
      </c>
      <c r="DQ87" s="14">
        <f t="shared" si="97"/>
        <v>76.466196343081592</v>
      </c>
      <c r="DR87" s="22">
        <f t="shared" si="70"/>
        <v>699.83614529753402</v>
      </c>
      <c r="DS87" s="62">
        <f t="shared" si="71"/>
        <v>972.09297582208433</v>
      </c>
      <c r="DT87" s="62">
        <f ca="1">AVERAGE(OFFSET($DS$3,0,0,'Données projet'!$E$14+1,1))-AVERAGE(OFFSET($H$3,0,0,'Données projet'!$E$14+1,1))</f>
        <v>429.87867712133851</v>
      </c>
      <c r="DU87" s="62">
        <f t="shared" si="98"/>
        <v>182.81277865988014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0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0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3.5897435897435854</v>
      </c>
      <c r="EJ87" s="13">
        <f>IF('Données projet'!$A$192&gt;35,EJ86+EI87-ER86,IF(A87&lt;'Données projet'!$A$192,$EG$205^A87,IF(A87='Données projet'!$A$192,'Données projet'!$B$192,EJ86+EI87-ER86)))</f>
        <v>225.89743589743603</v>
      </c>
      <c r="EK87" s="18">
        <f>EJ87*VLOOKUP('Données projet'!$B$15,Paramètres!$A$1:$I$89,3,0)*VLOOKUP('Données projet'!$B$15,Paramètres!$A$1:$I$89,5,0)</f>
        <v>151.5320000000001</v>
      </c>
      <c r="EL87" s="14">
        <f t="shared" si="99"/>
        <v>38.926531953138308</v>
      </c>
      <c r="EM87" s="22">
        <f t="shared" si="73"/>
        <v>331.71527648504934</v>
      </c>
      <c r="EN87" s="62">
        <f t="shared" si="74"/>
        <v>603.97210700959965</v>
      </c>
      <c r="EO87" s="62">
        <f ca="1">AVERAGE(OFFSET($EN$3,0,0,'Données projet'!$E$15+1,1))-AVERAGE(OFFSET($H$3,0,0,'Données projet'!$E$15+1,1))</f>
        <v>296.18088377871669</v>
      </c>
      <c r="EP87" s="62">
        <f t="shared" si="100"/>
        <v>252.23833925792056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0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0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3.5897435897435854</v>
      </c>
      <c r="FE87" s="13">
        <f>IF('Données projet'!$A$218&gt;35,FE86+FD87-FM86,IF(A87&lt;'Données projet'!$A$218,$FB$205^A87,IF(A87='Données projet'!$A$218,'Données projet'!$B$218,FE86+FD87-FM86)))</f>
        <v>225.89743589743603</v>
      </c>
      <c r="FF87" s="18">
        <f>FE87*VLOOKUP('Données projet'!$B$16,Paramètres!$A$1:$I$89,3,0)*VLOOKUP('Données projet'!$B$16,Paramètres!$A$1:$I$89,5,0)</f>
        <v>193.82000000000014</v>
      </c>
      <c r="FG87" s="14">
        <f t="shared" si="101"/>
        <v>48.383519702567263</v>
      </c>
      <c r="FH87" s="22">
        <f t="shared" si="76"/>
        <v>421.8377968153049</v>
      </c>
      <c r="FI87" s="62">
        <f t="shared" si="77"/>
        <v>694.09462733985515</v>
      </c>
      <c r="FJ87" s="62">
        <f ca="1">AVERAGE(OFFSET($FI$3,0,0,'Données projet'!$E$16+1,1))-AVERAGE(OFFSET($H$3,0,0,'Données projet'!$E$16+1,1))</f>
        <v>359.20464555327072</v>
      </c>
      <c r="FK87" s="62">
        <f t="shared" si="102"/>
        <v>305.54154052071863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0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0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5.6</v>
      </c>
      <c r="N88" s="14">
        <f>IF('Données projet'!$A$36&gt;35,N87+M88-V87,IF(A88&lt;'Données projet'!$A$36,$K$205^A88,IF(A88='Données projet'!$A$36,'Données projet'!$B$36,N87+M88-V87)))</f>
        <v>267.99999999999994</v>
      </c>
      <c r="O88" s="14">
        <f>N88*VLOOKUP('Données projet'!$B$9,Paramètres!$A$1:$I$89,3,0)*VLOOKUP('Données projet'!$B$9,Paramètres!$A$1:$I$89,5,0)</f>
        <v>271.75199999999995</v>
      </c>
      <c r="P88" s="14">
        <f t="shared" si="87"/>
        <v>65.220947824724931</v>
      </c>
      <c r="Q88" s="22">
        <f t="shared" si="54"/>
        <v>586.89455079472907</v>
      </c>
      <c r="R88" s="62">
        <f t="shared" si="55"/>
        <v>859.51701152301052</v>
      </c>
      <c r="S88" s="62">
        <f ca="1">AVERAGE(OFFSET($R$3,0,0,'Données projet'!$E$9+1,1))-AVERAGE(OFFSET($H$3,0,0,'Données projet'!$E$9+1,1))</f>
        <v>516.30971934066179</v>
      </c>
      <c r="T88" s="62">
        <f t="shared" si="88"/>
        <v>290.84286505723571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5.6</v>
      </c>
      <c r="AI88" s="14">
        <f>IF('Données projet'!$A$62&gt;35,AI87+AH88-AQ87,IF(A88&lt;'Données projet'!$A$62,$AF$205^A88,IF(A88='Données projet'!$A$62,'Données projet'!$B$62,AI87+AH88-AQ87)))</f>
        <v>267.99999999999994</v>
      </c>
      <c r="AJ88" s="14">
        <f>AI88*VLOOKUP('Données projet'!$B$10,Paramètres!$A$1:$I$89,3,0)*VLOOKUP('Données projet'!$B$10,Paramètres!$A$1:$I$89,5,0)</f>
        <v>288.47519999999997</v>
      </c>
      <c r="AK88" s="14">
        <f t="shared" si="89"/>
        <v>68.754942080410842</v>
      </c>
      <c r="AL88" s="22">
        <f t="shared" si="58"/>
        <v>622.17583079004874</v>
      </c>
      <c r="AM88" s="62">
        <f t="shared" si="59"/>
        <v>894.79829151833019</v>
      </c>
      <c r="AN88" s="62">
        <f ca="1">AVERAGE(OFFSET($AM$3,0,0,'Données projet'!$E$10+1,1))-AVERAGE(OFFSET($H$3,0,0,'Données projet'!$E$10+1,1))</f>
        <v>542.90832990875208</v>
      </c>
      <c r="AO88" s="62">
        <f t="shared" si="90"/>
        <v>304.94365539329362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5.6</v>
      </c>
      <c r="BD88" s="13">
        <f>IF('Données projet'!$A$88&gt;35,BD87+BC88-BL87,IF(A88&lt;'Données projet'!$A$88,$BA$205^A88,IF(A88='Données projet'!$A$88,'Données projet'!$B$88,BD87+BC88-BL87)))</f>
        <v>267.99999999999994</v>
      </c>
      <c r="BE88" s="14">
        <f>BD88*VLOOKUP('Données projet'!$B$11,Paramètres!$A$1:$I$89,3,0)*VLOOKUP('Données projet'!$B$11,Paramètres!$A$1:$I$89,5,0)</f>
        <v>259.20959999999997</v>
      </c>
      <c r="BF88" s="14">
        <f t="shared" si="91"/>
        <v>62.553866774106702</v>
      </c>
      <c r="BG88" s="22">
        <f t="shared" si="61"/>
        <v>560.40470463156907</v>
      </c>
      <c r="BH88" s="62">
        <f t="shared" si="62"/>
        <v>833.02716535985064</v>
      </c>
      <c r="BI88" s="62">
        <f ca="1">AVERAGE(OFFSET($BH$3,0,0,'Données projet'!$E$11+1,1))-AVERAGE(OFFSET($H$3,0,0,'Données projet'!$E$11+1,1))</f>
        <v>496.33873798282525</v>
      </c>
      <c r="BJ88" s="62">
        <f t="shared" si="92"/>
        <v>280.25465074992246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1.7053025658242404E-13</v>
      </c>
      <c r="BZ88" s="14">
        <f>BY88*VLOOKUP('Données projet'!$B$12,Paramètres!$A$1:$I$89,3,0)*VLOOKUP('Données projet'!$B$12,Paramètres!$A$1:$I$89,5,0)</f>
        <v>1.4897523215040567E-13</v>
      </c>
      <c r="CA88" s="14">
        <f t="shared" si="93"/>
        <v>2.136562777003313E-12</v>
      </c>
      <c r="CB88" s="22">
        <f t="shared" si="64"/>
        <v>3.9806453659427267E-12</v>
      </c>
      <c r="CC88" s="62">
        <f t="shared" si="65"/>
        <v>272.62246072828549</v>
      </c>
      <c r="CD88" s="62">
        <f ca="1">AVERAGE(OFFSET($CC$3,0,0,'Données projet'!$E$12+1,1))-AVERAGE(OFFSET($H$3,0,0,'Données projet'!$E$12+1,1))</f>
        <v>298.28891728374822</v>
      </c>
      <c r="CE88" s="62">
        <f t="shared" si="94"/>
        <v>275.07405533331371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1.1368683772161603E-13</v>
      </c>
      <c r="CU88" s="18">
        <f>CT88*VLOOKUP('Données projet'!$B$13,Paramètres!$A$1:$I$89,3,0)*VLOOKUP('Données projet'!$B$13,Paramètres!$A$1:$I$89,5,0)</f>
        <v>6.7984728957526396E-14</v>
      </c>
      <c r="CV88" s="14">
        <f t="shared" si="95"/>
        <v>1.0682447123141398E-12</v>
      </c>
      <c r="CW88" s="22">
        <f t="shared" si="67"/>
        <v>1.978932943548152E-12</v>
      </c>
      <c r="CX88" s="62">
        <f t="shared" si="68"/>
        <v>272.6224607282835</v>
      </c>
      <c r="CY88" s="62">
        <f ca="1">AVERAGE(OFFSET($CX$3,0,0,'Données projet'!$E$13+1,1))-AVERAGE(OFFSET($H$3,0,0,'Données projet'!$E$13+1,1))</f>
        <v>320.46614113586043</v>
      </c>
      <c r="CZ88" s="62">
        <f t="shared" si="96"/>
        <v>250.7806929924491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0</v>
      </c>
      <c r="DG88" s="23">
        <f>EXP(-LN(2)/25)*DG87+(1-EXP(-LN(2)/25))/(LN(2)/25)*Calculateur!DB88*Calculateur!DD88*VLOOKUP('Données projet'!$B$13,Paramètres!$A$1:$I$89,3,0)*0.475*44/12</f>
        <v>0</v>
      </c>
      <c r="DH88" s="23">
        <f>EXP(-LN(2)/2)*DH87+(1-EXP(-LN(2)/2))/(LN(2)/2)*DB88*DE88*VLOOKUP('Données projet'!$B$13,Paramètres!$A$1:$I$89,3,0)*0.475*44/12</f>
        <v>4.9939004198208511E-8</v>
      </c>
      <c r="DI88" s="24">
        <f t="shared" si="69"/>
        <v>4.9939004198208511E-8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17.8</v>
      </c>
      <c r="DO88" s="13">
        <f>IF('Données projet'!$A$166&gt;35,DO87+DN88-DW87,IF(A88&lt;'Données projet'!$A$166,$DL$205^A88,IF(A88='Données projet'!$A$166,'Données projet'!$B$166,DO87+DN88-DW87)))</f>
        <v>713.00000000000011</v>
      </c>
      <c r="DP88" s="18">
        <f>DO88*VLOOKUP('Données projet'!$B$14,Paramètres!$A$1:$I$89,3,0)*VLOOKUP('Données projet'!$B$14,Paramètres!$A$1:$I$89,5,0)</f>
        <v>333.68400000000003</v>
      </c>
      <c r="DQ88" s="14">
        <f t="shared" si="97"/>
        <v>78.193600162051595</v>
      </c>
      <c r="DR88" s="22">
        <f t="shared" si="70"/>
        <v>717.35348694890661</v>
      </c>
      <c r="DS88" s="62">
        <f t="shared" si="71"/>
        <v>989.97594767718806</v>
      </c>
      <c r="DT88" s="62">
        <f ca="1">AVERAGE(OFFSET($DS$3,0,0,'Données projet'!$E$14+1,1))-AVERAGE(OFFSET($H$3,0,0,'Données projet'!$E$14+1,1))</f>
        <v>429.87867712133851</v>
      </c>
      <c r="DU88" s="62">
        <f t="shared" si="98"/>
        <v>182.81277865988014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0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0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>
        <f>VLOOKUP(A88,'Données projet'!$A$191:$I$211,2,0)</f>
        <v>229.48717948717947</v>
      </c>
      <c r="EH88" s="13">
        <f>VLOOKUP(A88,'Données projet'!$A$191:$I$211,9,0)</f>
        <v>3.5897435897435854</v>
      </c>
      <c r="EI88" s="13">
        <f t="array" ref="EI88">INDEX(EH:EH,MIN(IF(ISNUMBER(EH88:EH284),ROW(EH88:EH284),"")))</f>
        <v>3.5897435897435854</v>
      </c>
      <c r="EJ88" s="13">
        <f>IF('Données projet'!$A$192&gt;35,EJ87+EI88-ER87,IF(A88&lt;'Données projet'!$A$192,$EG$205^A88,IF(A88='Données projet'!$A$192,'Données projet'!$B$192,EJ87+EI88-ER87)))</f>
        <v>229.48717948717962</v>
      </c>
      <c r="EK88" s="18">
        <f>EJ88*VLOOKUP('Données projet'!$B$15,Paramètres!$A$1:$I$89,3,0)*VLOOKUP('Données projet'!$B$15,Paramètres!$A$1:$I$89,5,0)</f>
        <v>153.94000000000011</v>
      </c>
      <c r="EL88" s="14">
        <f t="shared" si="99"/>
        <v>39.472609171514165</v>
      </c>
      <c r="EM88" s="22">
        <f t="shared" si="73"/>
        <v>336.86029430705406</v>
      </c>
      <c r="EN88" s="62">
        <f t="shared" si="74"/>
        <v>609.48275503533557</v>
      </c>
      <c r="EO88" s="62">
        <f ca="1">AVERAGE(OFFSET($EN$3,0,0,'Données projet'!$E$15+1,1))-AVERAGE(OFFSET($H$3,0,0,'Données projet'!$E$15+1,1))</f>
        <v>296.18088377871669</v>
      </c>
      <c r="EP88" s="62">
        <f t="shared" si="100"/>
        <v>252.23833925792056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0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0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>
        <f>VLOOKUP(A88,'Données projet'!$A$217:$I$237,2,0)</f>
        <v>229.48717948717947</v>
      </c>
      <c r="FC88" s="13">
        <f>VLOOKUP(A88,'Données projet'!$A$217:$I$237,9,0)</f>
        <v>3.5897435897435854</v>
      </c>
      <c r="FD88" s="13">
        <f t="array" ref="FD88">INDEX(FC:FC,MIN(IF(ISNUMBER(FC88:FC284),ROW(FC88:FC284),"")))</f>
        <v>3.5897435897435854</v>
      </c>
      <c r="FE88" s="13">
        <f>IF('Données projet'!$A$218&gt;35,FE87+FD88-FM87,IF(A88&lt;'Données projet'!$A$218,$FB$205^A88,IF(A88='Données projet'!$A$218,'Données projet'!$B$218,FE87+FD88-FM87)))</f>
        <v>229.48717948717962</v>
      </c>
      <c r="FF88" s="18">
        <f>FE88*VLOOKUP('Données projet'!$B$16,Paramètres!$A$1:$I$89,3,0)*VLOOKUP('Données projet'!$B$16,Paramètres!$A$1:$I$89,5,0)</f>
        <v>196.90000000000015</v>
      </c>
      <c r="FG88" s="14">
        <f t="shared" si="101"/>
        <v>49.062263390451321</v>
      </c>
      <c r="FH88" s="22">
        <f t="shared" si="76"/>
        <v>428.38427540503631</v>
      </c>
      <c r="FI88" s="62">
        <f t="shared" si="77"/>
        <v>701.00673613331787</v>
      </c>
      <c r="FJ88" s="62">
        <f ca="1">AVERAGE(OFFSET($FI$3,0,0,'Données projet'!$E$16+1,1))-AVERAGE(OFFSET($H$3,0,0,'Données projet'!$E$16+1,1))</f>
        <v>359.20464555327072</v>
      </c>
      <c r="FK88" s="62">
        <f t="shared" si="102"/>
        <v>305.54154052071863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0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0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5.6</v>
      </c>
      <c r="N89" s="14">
        <f>IF('Données projet'!$A$36&gt;35,N88+M89-V88,IF(A89&lt;'Données projet'!$A$36,$K$205^A89,IF(A89='Données projet'!$A$36,'Données projet'!$B$36,N88+M89-V88)))</f>
        <v>273.59999999999997</v>
      </c>
      <c r="O89" s="14">
        <f>N89*VLOOKUP('Données projet'!$B$9,Paramètres!$A$1:$I$89,3,0)*VLOOKUP('Données projet'!$B$9,Paramètres!$A$1:$I$89,5,0)</f>
        <v>277.43039999999996</v>
      </c>
      <c r="P89" s="14">
        <f t="shared" si="87"/>
        <v>66.423687500715673</v>
      </c>
      <c r="Q89" s="22">
        <f t="shared" si="54"/>
        <v>598.87920239707967</v>
      </c>
      <c r="R89" s="62">
        <f t="shared" si="55"/>
        <v>871.86095046248442</v>
      </c>
      <c r="S89" s="62">
        <f ca="1">AVERAGE(OFFSET($R$3,0,0,'Données projet'!$E$9+1,1))-AVERAGE(OFFSET($H$3,0,0,'Données projet'!$E$9+1,1))</f>
        <v>516.30971934066179</v>
      </c>
      <c r="T89" s="62">
        <f t="shared" si="88"/>
        <v>290.84286505723571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5.6</v>
      </c>
      <c r="AI89" s="14">
        <f>IF('Données projet'!$A$62&gt;35,AI88+AH89-AQ88,IF(A89&lt;'Données projet'!$A$62,$AF$205^A89,IF(A89='Données projet'!$A$62,'Données projet'!$B$62,AI88+AH89-AQ88)))</f>
        <v>273.59999999999997</v>
      </c>
      <c r="AJ89" s="14">
        <f>AI89*VLOOKUP('Données projet'!$B$10,Paramètres!$A$1:$I$89,3,0)*VLOOKUP('Données projet'!$B$10,Paramètres!$A$1:$I$89,5,0)</f>
        <v>294.50303999999994</v>
      </c>
      <c r="AK89" s="14">
        <f t="shared" si="89"/>
        <v>70.022852154069838</v>
      </c>
      <c r="AL89" s="22">
        <f t="shared" si="58"/>
        <v>634.88259550167152</v>
      </c>
      <c r="AM89" s="62">
        <f t="shared" si="59"/>
        <v>907.86434356707628</v>
      </c>
      <c r="AN89" s="62">
        <f ca="1">AVERAGE(OFFSET($AM$3,0,0,'Données projet'!$E$10+1,1))-AVERAGE(OFFSET($H$3,0,0,'Données projet'!$E$10+1,1))</f>
        <v>542.90832990875208</v>
      </c>
      <c r="AO89" s="62">
        <f t="shared" si="90"/>
        <v>304.94365539329362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5.6</v>
      </c>
      <c r="BD89" s="13">
        <f>IF('Données projet'!$A$88&gt;35,BD88+BC89-BL88,IF(A89&lt;'Données projet'!$A$88,$BA$205^A89,IF(A89='Données projet'!$A$88,'Données projet'!$B$88,BD88+BC89-BL88)))</f>
        <v>273.59999999999997</v>
      </c>
      <c r="BE89" s="14">
        <f>BD89*VLOOKUP('Données projet'!$B$11,Paramètres!$A$1:$I$89,3,0)*VLOOKUP('Données projet'!$B$11,Paramètres!$A$1:$I$89,5,0)</f>
        <v>264.62591999999995</v>
      </c>
      <c r="BF89" s="14">
        <f t="shared" si="91"/>
        <v>63.707422801198604</v>
      </c>
      <c r="BG89" s="22">
        <f t="shared" si="61"/>
        <v>571.84723871208746</v>
      </c>
      <c r="BH89" s="62">
        <f t="shared" si="62"/>
        <v>844.82898677749222</v>
      </c>
      <c r="BI89" s="62">
        <f ca="1">AVERAGE(OFFSET($BH$3,0,0,'Données projet'!$E$11+1,1))-AVERAGE(OFFSET($H$3,0,0,'Données projet'!$E$11+1,1))</f>
        <v>496.33873798282525</v>
      </c>
      <c r="BJ89" s="62">
        <f t="shared" si="92"/>
        <v>280.25465074992246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1.7053025658242404E-13</v>
      </c>
      <c r="BZ89" s="14">
        <f>BY89*VLOOKUP('Données projet'!$B$12,Paramètres!$A$1:$I$89,3,0)*VLOOKUP('Données projet'!$B$12,Paramètres!$A$1:$I$89,5,0)</f>
        <v>1.4897523215040567E-13</v>
      </c>
      <c r="CA89" s="14">
        <f t="shared" si="93"/>
        <v>2.136562777003313E-12</v>
      </c>
      <c r="CB89" s="22">
        <f t="shared" si="64"/>
        <v>3.9806453659427267E-12</v>
      </c>
      <c r="CC89" s="62">
        <f t="shared" si="65"/>
        <v>272.98174806540868</v>
      </c>
      <c r="CD89" s="62">
        <f ca="1">AVERAGE(OFFSET($CC$3,0,0,'Données projet'!$E$12+1,1))-AVERAGE(OFFSET($H$3,0,0,'Données projet'!$E$12+1,1))</f>
        <v>298.28891728374822</v>
      </c>
      <c r="CE89" s="62">
        <f t="shared" si="94"/>
        <v>275.07405533331371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1.1368683772161603E-13</v>
      </c>
      <c r="CU89" s="18">
        <f>CT89*VLOOKUP('Données projet'!$B$13,Paramètres!$A$1:$I$89,3,0)*VLOOKUP('Données projet'!$B$13,Paramètres!$A$1:$I$89,5,0)</f>
        <v>6.7984728957526396E-14</v>
      </c>
      <c r="CV89" s="14">
        <f t="shared" si="95"/>
        <v>1.0682447123141398E-12</v>
      </c>
      <c r="CW89" s="22">
        <f t="shared" si="67"/>
        <v>1.978932943548152E-12</v>
      </c>
      <c r="CX89" s="62">
        <f t="shared" si="68"/>
        <v>272.98174806540669</v>
      </c>
      <c r="CY89" s="62">
        <f ca="1">AVERAGE(OFFSET($CX$3,0,0,'Données projet'!$E$13+1,1))-AVERAGE(OFFSET($H$3,0,0,'Données projet'!$E$13+1,1))</f>
        <v>320.46614113586043</v>
      </c>
      <c r="CZ89" s="62">
        <f t="shared" si="96"/>
        <v>250.7806929924491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0</v>
      </c>
      <c r="DG89" s="23">
        <f>EXP(-LN(2)/25)*DG88+(1-EXP(-LN(2)/25))/(LN(2)/25)*Calculateur!DB89*Calculateur!DD89*VLOOKUP('Données projet'!$B$13,Paramètres!$A$1:$I$89,3,0)*0.475*44/12</f>
        <v>0</v>
      </c>
      <c r="DH89" s="23">
        <f>EXP(-LN(2)/2)*DH88+(1-EXP(-LN(2)/2))/(LN(2)/2)*DB89*DE89*VLOOKUP('Données projet'!$B$13,Paramètres!$A$1:$I$89,3,0)*0.475*44/12</f>
        <v>3.5312208514256703E-8</v>
      </c>
      <c r="DI89" s="24">
        <f t="shared" si="69"/>
        <v>3.5312208514256703E-8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17.8</v>
      </c>
      <c r="DO89" s="13">
        <f>IF('Données projet'!$A$166&gt;35,DO88+DN89-DW88,IF(A89&lt;'Données projet'!$A$166,$DL$205^A89,IF(A89='Données projet'!$A$166,'Données projet'!$B$166,DO88+DN89-DW88)))</f>
        <v>730.80000000000007</v>
      </c>
      <c r="DP89" s="18">
        <f>DO89*VLOOKUP('Données projet'!$B$14,Paramètres!$A$1:$I$89,3,0)*VLOOKUP('Données projet'!$B$14,Paramètres!$A$1:$I$89,5,0)</f>
        <v>342.01440000000002</v>
      </c>
      <c r="DQ89" s="14">
        <f t="shared" si="97"/>
        <v>79.915991022086629</v>
      </c>
      <c r="DR89" s="22">
        <f t="shared" si="70"/>
        <v>734.8620976968009</v>
      </c>
      <c r="DS89" s="62">
        <f t="shared" si="71"/>
        <v>1007.8438457622055</v>
      </c>
      <c r="DT89" s="62">
        <f ca="1">AVERAGE(OFFSET($DS$3,0,0,'Données projet'!$E$14+1,1))-AVERAGE(OFFSET($H$3,0,0,'Données projet'!$E$14+1,1))</f>
        <v>429.87867712133851</v>
      </c>
      <c r="DU89" s="62">
        <f t="shared" si="98"/>
        <v>182.81277865988014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0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0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3.3333333333333313</v>
      </c>
      <c r="EJ89" s="13">
        <f>IF('Données projet'!$A$192&gt;35,EJ88+EI89-ER88,IF(A89&lt;'Données projet'!$A$192,$EG$205^A89,IF(A89='Données projet'!$A$192,'Données projet'!$B$192,EJ88+EI89-ER88)))</f>
        <v>232.82051282051296</v>
      </c>
      <c r="EK89" s="18">
        <f>EJ89*VLOOKUP('Données projet'!$B$15,Paramètres!$A$1:$I$89,3,0)*VLOOKUP('Données projet'!$B$15,Paramètres!$A$1:$I$89,5,0)</f>
        <v>156.1760000000001</v>
      </c>
      <c r="EL89" s="14">
        <f t="shared" si="99"/>
        <v>39.978790985643677</v>
      </c>
      <c r="EM89" s="22">
        <f t="shared" si="73"/>
        <v>341.63626096666297</v>
      </c>
      <c r="EN89" s="62">
        <f t="shared" si="74"/>
        <v>614.61800903206768</v>
      </c>
      <c r="EO89" s="62">
        <f ca="1">AVERAGE(OFFSET($EN$3,0,0,'Données projet'!$E$15+1,1))-AVERAGE(OFFSET($H$3,0,0,'Données projet'!$E$15+1,1))</f>
        <v>296.18088377871669</v>
      </c>
      <c r="EP89" s="62">
        <f t="shared" si="100"/>
        <v>252.23833925792056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0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0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3.3333333333333313</v>
      </c>
      <c r="FE89" s="13">
        <f>IF('Données projet'!$A$218&gt;35,FE88+FD89-FM88,IF(A89&lt;'Données projet'!$A$218,$FB$205^A89,IF(A89='Données projet'!$A$218,'Données projet'!$B$218,FE88+FD89-FM88)))</f>
        <v>232.82051282051296</v>
      </c>
      <c r="FF89" s="18">
        <f>FE89*VLOOKUP('Données projet'!$B$16,Paramètres!$A$1:$I$89,3,0)*VLOOKUP('Données projet'!$B$16,Paramètres!$A$1:$I$89,5,0)</f>
        <v>199.76000000000013</v>
      </c>
      <c r="FG89" s="14">
        <f t="shared" si="101"/>
        <v>49.69141930412227</v>
      </c>
      <c r="FH89" s="22">
        <f t="shared" si="76"/>
        <v>434.46122195467979</v>
      </c>
      <c r="FI89" s="62">
        <f t="shared" si="77"/>
        <v>707.44297002008443</v>
      </c>
      <c r="FJ89" s="62">
        <f ca="1">AVERAGE(OFFSET($FI$3,0,0,'Données projet'!$E$16+1,1))-AVERAGE(OFFSET($H$3,0,0,'Données projet'!$E$16+1,1))</f>
        <v>359.20464555327072</v>
      </c>
      <c r="FK89" s="62">
        <f t="shared" si="102"/>
        <v>305.54154052071863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0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0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5.6</v>
      </c>
      <c r="N90" s="14">
        <f>IF('Données projet'!$A$36&gt;35,N89+M90-V89,IF(A90&lt;'Données projet'!$A$36,$K$205^A90,IF(A90='Données projet'!$A$36,'Données projet'!$B$36,N89+M90-V89)))</f>
        <v>279.2</v>
      </c>
      <c r="O90" s="14">
        <f>N90*VLOOKUP('Données projet'!$B$9,Paramètres!$A$1:$I$89,3,0)*VLOOKUP('Données projet'!$B$9,Paramètres!$A$1:$I$89,5,0)</f>
        <v>283.10879999999997</v>
      </c>
      <c r="P90" s="14">
        <f t="shared" si="87"/>
        <v>67.623564901653808</v>
      </c>
      <c r="Q90" s="22">
        <f t="shared" si="54"/>
        <v>610.85886887038032</v>
      </c>
      <c r="R90" s="62">
        <f t="shared" si="55"/>
        <v>884.19367144085516</v>
      </c>
      <c r="S90" s="62">
        <f ca="1">AVERAGE(OFFSET($R$3,0,0,'Données projet'!$E$9+1,1))-AVERAGE(OFFSET($H$3,0,0,'Données projet'!$E$9+1,1))</f>
        <v>516.30971934066179</v>
      </c>
      <c r="T90" s="62">
        <f t="shared" si="88"/>
        <v>290.84286505723571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5.6</v>
      </c>
      <c r="AI90" s="14">
        <f>IF('Données projet'!$A$62&gt;35,AI89+AH90-AQ89,IF(A90&lt;'Données projet'!$A$62,$AF$205^A90,IF(A90='Données projet'!$A$62,'Données projet'!$B$62,AI89+AH90-AQ89)))</f>
        <v>279.2</v>
      </c>
      <c r="AJ90" s="14">
        <f>AI90*VLOOKUP('Données projet'!$B$10,Paramètres!$A$1:$I$89,3,0)*VLOOKUP('Données projet'!$B$10,Paramètres!$A$1:$I$89,5,0)</f>
        <v>300.53087999999997</v>
      </c>
      <c r="AK90" s="14">
        <f t="shared" si="89"/>
        <v>71.287744860425462</v>
      </c>
      <c r="AL90" s="22">
        <f t="shared" si="58"/>
        <v>647.58410496524095</v>
      </c>
      <c r="AM90" s="62">
        <f t="shared" si="59"/>
        <v>920.91890753571579</v>
      </c>
      <c r="AN90" s="62">
        <f ca="1">AVERAGE(OFFSET($AM$3,0,0,'Données projet'!$E$10+1,1))-AVERAGE(OFFSET($H$3,0,0,'Données projet'!$E$10+1,1))</f>
        <v>542.90832990875208</v>
      </c>
      <c r="AO90" s="62">
        <f t="shared" si="90"/>
        <v>304.94365539329362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5.6</v>
      </c>
      <c r="BD90" s="13">
        <f>IF('Données projet'!$A$88&gt;35,BD89+BC90-BL89,IF(A90&lt;'Données projet'!$A$88,$BA$205^A90,IF(A90='Données projet'!$A$88,'Données projet'!$B$88,BD89+BC90-BL89)))</f>
        <v>279.2</v>
      </c>
      <c r="BE90" s="14">
        <f>BD90*VLOOKUP('Données projet'!$B$11,Paramètres!$A$1:$I$89,3,0)*VLOOKUP('Données projet'!$B$11,Paramètres!$A$1:$I$89,5,0)</f>
        <v>270.04223999999999</v>
      </c>
      <c r="BF90" s="14">
        <f t="shared" si="91"/>
        <v>64.858233600288145</v>
      </c>
      <c r="BG90" s="22">
        <f t="shared" si="61"/>
        <v>583.28499152050188</v>
      </c>
      <c r="BH90" s="62">
        <f t="shared" si="62"/>
        <v>856.61979409097671</v>
      </c>
      <c r="BI90" s="62">
        <f ca="1">AVERAGE(OFFSET($BH$3,0,0,'Données projet'!$E$11+1,1))-AVERAGE(OFFSET($H$3,0,0,'Données projet'!$E$11+1,1))</f>
        <v>496.33873798282525</v>
      </c>
      <c r="BJ90" s="62">
        <f t="shared" si="92"/>
        <v>280.25465074992246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1.7053025658242404E-13</v>
      </c>
      <c r="BZ90" s="14">
        <f>BY90*VLOOKUP('Données projet'!$B$12,Paramètres!$A$1:$I$89,3,0)*VLOOKUP('Données projet'!$B$12,Paramètres!$A$1:$I$89,5,0)</f>
        <v>1.4897523215040567E-13</v>
      </c>
      <c r="CA90" s="14">
        <f t="shared" si="93"/>
        <v>2.136562777003313E-12</v>
      </c>
      <c r="CB90" s="22">
        <f t="shared" si="64"/>
        <v>3.9806453659427267E-12</v>
      </c>
      <c r="CC90" s="62">
        <f t="shared" si="65"/>
        <v>273.33480257047881</v>
      </c>
      <c r="CD90" s="62">
        <f ca="1">AVERAGE(OFFSET($CC$3,0,0,'Données projet'!$E$12+1,1))-AVERAGE(OFFSET($H$3,0,0,'Données projet'!$E$12+1,1))</f>
        <v>298.28891728374822</v>
      </c>
      <c r="CE90" s="62">
        <f t="shared" si="94"/>
        <v>275.07405533331371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1.1368683772161603E-13</v>
      </c>
      <c r="CU90" s="18">
        <f>CT90*VLOOKUP('Données projet'!$B$13,Paramètres!$A$1:$I$89,3,0)*VLOOKUP('Données projet'!$B$13,Paramètres!$A$1:$I$89,5,0)</f>
        <v>6.7984728957526396E-14</v>
      </c>
      <c r="CV90" s="14">
        <f t="shared" si="95"/>
        <v>1.0682447123141398E-12</v>
      </c>
      <c r="CW90" s="22">
        <f t="shared" si="67"/>
        <v>1.978932943548152E-12</v>
      </c>
      <c r="CX90" s="62">
        <f t="shared" si="68"/>
        <v>273.33480257047682</v>
      </c>
      <c r="CY90" s="62">
        <f ca="1">AVERAGE(OFFSET($CX$3,0,0,'Données projet'!$E$13+1,1))-AVERAGE(OFFSET($H$3,0,0,'Données projet'!$E$13+1,1))</f>
        <v>320.46614113586043</v>
      </c>
      <c r="CZ90" s="62">
        <f t="shared" si="96"/>
        <v>250.7806929924491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0</v>
      </c>
      <c r="DG90" s="23">
        <f>EXP(-LN(2)/25)*DG89+(1-EXP(-LN(2)/25))/(LN(2)/25)*Calculateur!DB90*Calculateur!DD90*VLOOKUP('Données projet'!$B$13,Paramètres!$A$1:$I$89,3,0)*0.475*44/12</f>
        <v>0</v>
      </c>
      <c r="DH90" s="23">
        <f>EXP(-LN(2)/2)*DH89+(1-EXP(-LN(2)/2))/(LN(2)/2)*DB90*DE90*VLOOKUP('Données projet'!$B$13,Paramètres!$A$1:$I$89,3,0)*0.475*44/12</f>
        <v>2.4969502099104256E-8</v>
      </c>
      <c r="DI90" s="24">
        <f t="shared" si="69"/>
        <v>2.4969502099104256E-8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17.8</v>
      </c>
      <c r="DO90" s="13">
        <f>IF('Données projet'!$A$166&gt;35,DO89+DN90-DW89,IF(A90&lt;'Données projet'!$A$166,$DL$205^A90,IF(A90='Données projet'!$A$166,'Données projet'!$B$166,DO89+DN90-DW89)))</f>
        <v>748.6</v>
      </c>
      <c r="DP90" s="18">
        <f>DO90*VLOOKUP('Données projet'!$B$14,Paramètres!$A$1:$I$89,3,0)*VLOOKUP('Données projet'!$B$14,Paramètres!$A$1:$I$89,5,0)</f>
        <v>350.34479999999996</v>
      </c>
      <c r="DQ90" s="14">
        <f t="shared" si="97"/>
        <v>81.633505069784817</v>
      </c>
      <c r="DR90" s="22">
        <f t="shared" si="70"/>
        <v>752.36221466320842</v>
      </c>
      <c r="DS90" s="62">
        <f t="shared" si="71"/>
        <v>1025.6970172336833</v>
      </c>
      <c r="DT90" s="62">
        <f ca="1">AVERAGE(OFFSET($DS$3,0,0,'Données projet'!$E$14+1,1))-AVERAGE(OFFSET($H$3,0,0,'Données projet'!$E$14+1,1))</f>
        <v>429.87867712133851</v>
      </c>
      <c r="DU90" s="62">
        <f t="shared" si="98"/>
        <v>182.81277865988014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0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0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3.3333333333333313</v>
      </c>
      <c r="EJ90" s="13">
        <f>IF('Données projet'!$A$192&gt;35,EJ89+EI90-ER89,IF(A90&lt;'Données projet'!$A$192,$EG$205^A90,IF(A90='Données projet'!$A$192,'Données projet'!$B$192,EJ89+EI90-ER89)))</f>
        <v>236.1538461538463</v>
      </c>
      <c r="EK90" s="18">
        <f>EJ90*VLOOKUP('Données projet'!$B$15,Paramètres!$A$1:$I$89,3,0)*VLOOKUP('Données projet'!$B$15,Paramètres!$A$1:$I$89,5,0)</f>
        <v>158.41200000000012</v>
      </c>
      <c r="EL90" s="14">
        <f t="shared" si="99"/>
        <v>40.484129909813426</v>
      </c>
      <c r="EM90" s="22">
        <f t="shared" si="73"/>
        <v>346.41075959292522</v>
      </c>
      <c r="EN90" s="62">
        <f t="shared" si="74"/>
        <v>619.74556216340011</v>
      </c>
      <c r="EO90" s="62">
        <f ca="1">AVERAGE(OFFSET($EN$3,0,0,'Données projet'!$E$15+1,1))-AVERAGE(OFFSET($H$3,0,0,'Données projet'!$E$15+1,1))</f>
        <v>296.18088377871669</v>
      </c>
      <c r="EP90" s="62">
        <f t="shared" si="100"/>
        <v>252.23833925792056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0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0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3.3333333333333313</v>
      </c>
      <c r="FE90" s="13">
        <f>IF('Données projet'!$A$218&gt;35,FE89+FD90-FM89,IF(A90&lt;'Données projet'!$A$218,$FB$205^A90,IF(A90='Données projet'!$A$218,'Données projet'!$B$218,FE89+FD90-FM89)))</f>
        <v>236.1538461538463</v>
      </c>
      <c r="FF90" s="18">
        <f>FE90*VLOOKUP('Données projet'!$B$16,Paramètres!$A$1:$I$89,3,0)*VLOOKUP('Données projet'!$B$16,Paramètres!$A$1:$I$89,5,0)</f>
        <v>202.62000000000015</v>
      </c>
      <c r="FG90" s="14">
        <f t="shared" si="101"/>
        <v>50.319527552333888</v>
      </c>
      <c r="FH90" s="22">
        <f t="shared" si="76"/>
        <v>440.5363438203151</v>
      </c>
      <c r="FI90" s="62">
        <f t="shared" si="77"/>
        <v>713.87114639078993</v>
      </c>
      <c r="FJ90" s="62">
        <f ca="1">AVERAGE(OFFSET($FI$3,0,0,'Données projet'!$E$16+1,1))-AVERAGE(OFFSET($H$3,0,0,'Données projet'!$E$16+1,1))</f>
        <v>359.20464555327072</v>
      </c>
      <c r="FK90" s="62">
        <f t="shared" si="102"/>
        <v>305.54154052071863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0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0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5.6</v>
      </c>
      <c r="N91" s="14">
        <f>IF('Données projet'!$A$36&gt;35,N90+M91-V90,IF(A91&lt;'Données projet'!$A$36,$K$205^A91,IF(A91='Données projet'!$A$36,'Données projet'!$B$36,N90+M91-V90)))</f>
        <v>284.8</v>
      </c>
      <c r="O91" s="14">
        <f>N91*VLOOKUP('Données projet'!$B$9,Paramètres!$A$1:$I$89,3,0)*VLOOKUP('Données projet'!$B$9,Paramètres!$A$1:$I$89,5,0)</f>
        <v>288.78720000000004</v>
      </c>
      <c r="P91" s="14">
        <f t="shared" si="87"/>
        <v>68.820644053442436</v>
      </c>
      <c r="Q91" s="22">
        <f t="shared" si="54"/>
        <v>622.83366172641229</v>
      </c>
      <c r="R91" s="62">
        <f t="shared" si="55"/>
        <v>896.51539409560598</v>
      </c>
      <c r="S91" s="62">
        <f ca="1">AVERAGE(OFFSET($R$3,0,0,'Données projet'!$E$9+1,1))-AVERAGE(OFFSET($H$3,0,0,'Données projet'!$E$9+1,1))</f>
        <v>516.30971934066179</v>
      </c>
      <c r="T91" s="62">
        <f t="shared" si="88"/>
        <v>290.84286505723571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5.6</v>
      </c>
      <c r="AI91" s="14">
        <f>IF('Données projet'!$A$62&gt;35,AI90+AH91-AQ90,IF(A91&lt;'Données projet'!$A$62,$AF$205^A91,IF(A91='Données projet'!$A$62,'Données projet'!$B$62,AI90+AH91-AQ90)))</f>
        <v>284.8</v>
      </c>
      <c r="AJ91" s="14">
        <f>AI91*VLOOKUP('Données projet'!$B$10,Paramètres!$A$1:$I$89,3,0)*VLOOKUP('Données projet'!$B$10,Paramètres!$A$1:$I$89,5,0)</f>
        <v>306.55871999999999</v>
      </c>
      <c r="AK91" s="14">
        <f t="shared" si="89"/>
        <v>72.549687694621639</v>
      </c>
      <c r="AL91" s="22">
        <f t="shared" si="58"/>
        <v>660.28047673479932</v>
      </c>
      <c r="AM91" s="62">
        <f t="shared" si="59"/>
        <v>933.96220910399302</v>
      </c>
      <c r="AN91" s="62">
        <f ca="1">AVERAGE(OFFSET($AM$3,0,0,'Données projet'!$E$10+1,1))-AVERAGE(OFFSET($H$3,0,0,'Données projet'!$E$10+1,1))</f>
        <v>542.90832990875208</v>
      </c>
      <c r="AO91" s="62">
        <f t="shared" si="90"/>
        <v>304.94365539329362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5.6</v>
      </c>
      <c r="BD91" s="13">
        <f>IF('Données projet'!$A$88&gt;35,BD90+BC91-BL90,IF(A91&lt;'Données projet'!$A$88,$BA$205^A91,IF(A91='Données projet'!$A$88,'Données projet'!$B$88,BD90+BC91-BL90)))</f>
        <v>284.8</v>
      </c>
      <c r="BE91" s="14">
        <f>BD91*VLOOKUP('Données projet'!$B$11,Paramètres!$A$1:$I$89,3,0)*VLOOKUP('Données projet'!$B$11,Paramètres!$A$1:$I$89,5,0)</f>
        <v>275.45855999999998</v>
      </c>
      <c r="BF91" s="14">
        <f t="shared" si="91"/>
        <v>66.006360579066197</v>
      </c>
      <c r="BG91" s="22">
        <f t="shared" si="61"/>
        <v>594.71807000854017</v>
      </c>
      <c r="BH91" s="62">
        <f t="shared" si="62"/>
        <v>868.39980237773386</v>
      </c>
      <c r="BI91" s="62">
        <f ca="1">AVERAGE(OFFSET($BH$3,0,0,'Données projet'!$E$11+1,1))-AVERAGE(OFFSET($H$3,0,0,'Données projet'!$E$11+1,1))</f>
        <v>496.33873798282525</v>
      </c>
      <c r="BJ91" s="62">
        <f t="shared" si="92"/>
        <v>280.25465074992246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1.7053025658242404E-13</v>
      </c>
      <c r="BZ91" s="14">
        <f>BY91*VLOOKUP('Données projet'!$B$12,Paramètres!$A$1:$I$89,3,0)*VLOOKUP('Données projet'!$B$12,Paramètres!$A$1:$I$89,5,0)</f>
        <v>1.4897523215040567E-13</v>
      </c>
      <c r="CA91" s="14">
        <f t="shared" si="93"/>
        <v>2.136562777003313E-12</v>
      </c>
      <c r="CB91" s="22">
        <f t="shared" si="64"/>
        <v>3.9806453659427267E-12</v>
      </c>
      <c r="CC91" s="62">
        <f t="shared" si="65"/>
        <v>273.68173236919768</v>
      </c>
      <c r="CD91" s="62">
        <f ca="1">AVERAGE(OFFSET($CC$3,0,0,'Données projet'!$E$12+1,1))-AVERAGE(OFFSET($H$3,0,0,'Données projet'!$E$12+1,1))</f>
        <v>298.28891728374822</v>
      </c>
      <c r="CE91" s="62">
        <f t="shared" si="94"/>
        <v>275.07405533331371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1.1368683772161603E-13</v>
      </c>
      <c r="CU91" s="18">
        <f>CT91*VLOOKUP('Données projet'!$B$13,Paramètres!$A$1:$I$89,3,0)*VLOOKUP('Données projet'!$B$13,Paramètres!$A$1:$I$89,5,0)</f>
        <v>6.7984728957526396E-14</v>
      </c>
      <c r="CV91" s="14">
        <f t="shared" si="95"/>
        <v>1.0682447123141398E-12</v>
      </c>
      <c r="CW91" s="22">
        <f t="shared" si="67"/>
        <v>1.978932943548152E-12</v>
      </c>
      <c r="CX91" s="62">
        <f t="shared" si="68"/>
        <v>273.68173236919569</v>
      </c>
      <c r="CY91" s="62">
        <f ca="1">AVERAGE(OFFSET($CX$3,0,0,'Données projet'!$E$13+1,1))-AVERAGE(OFFSET($H$3,0,0,'Données projet'!$E$13+1,1))</f>
        <v>320.46614113586043</v>
      </c>
      <c r="CZ91" s="62">
        <f t="shared" si="96"/>
        <v>250.7806929924491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0</v>
      </c>
      <c r="DG91" s="23">
        <f>EXP(-LN(2)/25)*DG90+(1-EXP(-LN(2)/25))/(LN(2)/25)*Calculateur!DB91*Calculateur!DD91*VLOOKUP('Données projet'!$B$13,Paramètres!$A$1:$I$89,3,0)*0.475*44/12</f>
        <v>0</v>
      </c>
      <c r="DH91" s="23">
        <f>EXP(-LN(2)/2)*DH90+(1-EXP(-LN(2)/2))/(LN(2)/2)*DB91*DE91*VLOOKUP('Données projet'!$B$13,Paramètres!$A$1:$I$89,3,0)*0.475*44/12</f>
        <v>1.7656104257128352E-8</v>
      </c>
      <c r="DI91" s="24">
        <f t="shared" si="69"/>
        <v>1.7656104257128352E-8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17.8</v>
      </c>
      <c r="DO91" s="13">
        <f>IF('Données projet'!$A$166&gt;35,DO90+DN91-DW90,IF(A91&lt;'Données projet'!$A$166,$DL$205^A91,IF(A91='Données projet'!$A$166,'Données projet'!$B$166,DO90+DN91-DW90)))</f>
        <v>766.4</v>
      </c>
      <c r="DP91" s="18">
        <f>DO91*VLOOKUP('Données projet'!$B$14,Paramètres!$A$1:$I$89,3,0)*VLOOKUP('Données projet'!$B$14,Paramètres!$A$1:$I$89,5,0)</f>
        <v>358.67520000000002</v>
      </c>
      <c r="DQ91" s="14">
        <f t="shared" si="97"/>
        <v>83.346271607947827</v>
      </c>
      <c r="DR91" s="22">
        <f t="shared" si="70"/>
        <v>769.85406305050913</v>
      </c>
      <c r="DS91" s="62">
        <f t="shared" si="71"/>
        <v>1043.5357954197029</v>
      </c>
      <c r="DT91" s="62">
        <f ca="1">AVERAGE(OFFSET($DS$3,0,0,'Données projet'!$E$14+1,1))-AVERAGE(OFFSET($H$3,0,0,'Données projet'!$E$14+1,1))</f>
        <v>429.87867712133851</v>
      </c>
      <c r="DU91" s="62">
        <f t="shared" si="98"/>
        <v>182.81277865988014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0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0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3.3333333333333313</v>
      </c>
      <c r="EJ91" s="13">
        <f>IF('Données projet'!$A$192&gt;35,EJ90+EI91-ER90,IF(A91&lt;'Données projet'!$A$192,$EG$205^A91,IF(A91='Données projet'!$A$192,'Données projet'!$B$192,EJ90+EI91-ER90)))</f>
        <v>239.48717948717965</v>
      </c>
      <c r="EK91" s="18">
        <f>EJ91*VLOOKUP('Données projet'!$B$15,Paramètres!$A$1:$I$89,3,0)*VLOOKUP('Données projet'!$B$15,Paramètres!$A$1:$I$89,5,0)</f>
        <v>160.64800000000011</v>
      </c>
      <c r="EL91" s="14">
        <f t="shared" si="99"/>
        <v>40.988639216340005</v>
      </c>
      <c r="EM91" s="22">
        <f t="shared" si="73"/>
        <v>351.18381330179233</v>
      </c>
      <c r="EN91" s="62">
        <f t="shared" si="74"/>
        <v>624.86554567098597</v>
      </c>
      <c r="EO91" s="62">
        <f ca="1">AVERAGE(OFFSET($EN$3,0,0,'Données projet'!$E$15+1,1))-AVERAGE(OFFSET($H$3,0,0,'Données projet'!$E$15+1,1))</f>
        <v>296.18088377871669</v>
      </c>
      <c r="EP91" s="62">
        <f t="shared" si="100"/>
        <v>252.23833925792056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0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0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3.3333333333333313</v>
      </c>
      <c r="FE91" s="13">
        <f>IF('Données projet'!$A$218&gt;35,FE90+FD91-FM90,IF(A91&lt;'Données projet'!$A$218,$FB$205^A91,IF(A91='Données projet'!$A$218,'Données projet'!$B$218,FE90+FD91-FM90)))</f>
        <v>239.48717948717965</v>
      </c>
      <c r="FF91" s="18">
        <f>FE91*VLOOKUP('Données projet'!$B$16,Paramètres!$A$1:$I$89,3,0)*VLOOKUP('Données projet'!$B$16,Paramètres!$A$1:$I$89,5,0)</f>
        <v>205.48000000000016</v>
      </c>
      <c r="FG91" s="14">
        <f t="shared" si="101"/>
        <v>50.946604631839492</v>
      </c>
      <c r="FH91" s="22">
        <f t="shared" si="76"/>
        <v>446.60966973378737</v>
      </c>
      <c r="FI91" s="62">
        <f t="shared" si="77"/>
        <v>720.29140210298101</v>
      </c>
      <c r="FJ91" s="62">
        <f ca="1">AVERAGE(OFFSET($FI$3,0,0,'Données projet'!$E$16+1,1))-AVERAGE(OFFSET($H$3,0,0,'Données projet'!$E$16+1,1))</f>
        <v>359.20464555327072</v>
      </c>
      <c r="FK91" s="62">
        <f t="shared" si="102"/>
        <v>305.54154052071863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0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0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5.6</v>
      </c>
      <c r="N92" s="14">
        <f>IF('Données projet'!$A$36&gt;35,N91+M92-V91,IF(A92&lt;'Données projet'!$A$36,$K$205^A92,IF(A92='Données projet'!$A$36,'Données projet'!$B$36,N91+M92-V91)))</f>
        <v>290.40000000000003</v>
      </c>
      <c r="O92" s="14">
        <f>N92*VLOOKUP('Données projet'!$B$9,Paramètres!$A$1:$I$89,3,0)*VLOOKUP('Données projet'!$B$9,Paramètres!$A$1:$I$89,5,0)</f>
        <v>294.46560000000005</v>
      </c>
      <c r="P92" s="14">
        <f t="shared" si="87"/>
        <v>70.014986320104285</v>
      </c>
      <c r="Q92" s="22">
        <f t="shared" si="54"/>
        <v>634.8036878408484</v>
      </c>
      <c r="R92" s="62">
        <f t="shared" si="55"/>
        <v>908.82633155237204</v>
      </c>
      <c r="S92" s="62">
        <f ca="1">AVERAGE(OFFSET($R$3,0,0,'Données projet'!$E$9+1,1))-AVERAGE(OFFSET($H$3,0,0,'Données projet'!$E$9+1,1))</f>
        <v>516.30971934066179</v>
      </c>
      <c r="T92" s="62">
        <f t="shared" si="88"/>
        <v>290.84286505723571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5.6</v>
      </c>
      <c r="AI92" s="14">
        <f>IF('Données projet'!$A$62&gt;35,AI91+AH92-AQ91,IF(A92&lt;'Données projet'!$A$62,$AF$205^A92,IF(A92='Données projet'!$A$62,'Données projet'!$B$62,AI91+AH92-AQ91)))</f>
        <v>290.40000000000003</v>
      </c>
      <c r="AJ92" s="14">
        <f>AI92*VLOOKUP('Données projet'!$B$10,Paramètres!$A$1:$I$89,3,0)*VLOOKUP('Données projet'!$B$10,Paramètres!$A$1:$I$89,5,0)</f>
        <v>312.58656000000002</v>
      </c>
      <c r="AK92" s="14">
        <f t="shared" si="89"/>
        <v>73.808745345687967</v>
      </c>
      <c r="AL92" s="22">
        <f t="shared" si="58"/>
        <v>672.97182347707314</v>
      </c>
      <c r="AM92" s="62">
        <f t="shared" si="59"/>
        <v>946.99446718859667</v>
      </c>
      <c r="AN92" s="62">
        <f ca="1">AVERAGE(OFFSET($AM$3,0,0,'Données projet'!$E$10+1,1))-AVERAGE(OFFSET($H$3,0,0,'Données projet'!$E$10+1,1))</f>
        <v>542.90832990875208</v>
      </c>
      <c r="AO92" s="62">
        <f t="shared" si="90"/>
        <v>304.94365539329362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5.6</v>
      </c>
      <c r="BD92" s="13">
        <f>IF('Données projet'!$A$88&gt;35,BD91+BC92-BL91,IF(A92&lt;'Données projet'!$A$88,$BA$205^A92,IF(A92='Données projet'!$A$88,'Données projet'!$B$88,BD91+BC92-BL91)))</f>
        <v>290.40000000000003</v>
      </c>
      <c r="BE92" s="14">
        <f>BD92*VLOOKUP('Données projet'!$B$11,Paramètres!$A$1:$I$89,3,0)*VLOOKUP('Données projet'!$B$11,Paramètres!$A$1:$I$89,5,0)</f>
        <v>280.87488000000008</v>
      </c>
      <c r="BF92" s="14">
        <f t="shared" si="91"/>
        <v>67.151862592195855</v>
      </c>
      <c r="BG92" s="22">
        <f t="shared" si="61"/>
        <v>606.14657668140785</v>
      </c>
      <c r="BH92" s="62">
        <f t="shared" si="62"/>
        <v>880.16922039293149</v>
      </c>
      <c r="BI92" s="62">
        <f ca="1">AVERAGE(OFFSET($BH$3,0,0,'Données projet'!$E$11+1,1))-AVERAGE(OFFSET($H$3,0,0,'Données projet'!$E$11+1,1))</f>
        <v>496.33873798282525</v>
      </c>
      <c r="BJ92" s="62">
        <f t="shared" si="92"/>
        <v>280.25465074992246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1.7053025658242404E-13</v>
      </c>
      <c r="BZ92" s="14">
        <f>BY92*VLOOKUP('Données projet'!$B$12,Paramètres!$A$1:$I$89,3,0)*VLOOKUP('Données projet'!$B$12,Paramètres!$A$1:$I$89,5,0)</f>
        <v>1.4897523215040567E-13</v>
      </c>
      <c r="CA92" s="14">
        <f t="shared" si="93"/>
        <v>2.136562777003313E-12</v>
      </c>
      <c r="CB92" s="22">
        <f t="shared" si="64"/>
        <v>3.9806453659427267E-12</v>
      </c>
      <c r="CC92" s="62">
        <f t="shared" si="65"/>
        <v>274.02264371152756</v>
      </c>
      <c r="CD92" s="62">
        <f ca="1">AVERAGE(OFFSET($CC$3,0,0,'Données projet'!$E$12+1,1))-AVERAGE(OFFSET($H$3,0,0,'Données projet'!$E$12+1,1))</f>
        <v>298.28891728374822</v>
      </c>
      <c r="CE92" s="62">
        <f t="shared" si="94"/>
        <v>275.07405533331371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1.1368683772161603E-13</v>
      </c>
      <c r="CU92" s="18">
        <f>CT92*VLOOKUP('Données projet'!$B$13,Paramètres!$A$1:$I$89,3,0)*VLOOKUP('Données projet'!$B$13,Paramètres!$A$1:$I$89,5,0)</f>
        <v>6.7984728957526396E-14</v>
      </c>
      <c r="CV92" s="14">
        <f t="shared" si="95"/>
        <v>1.0682447123141398E-12</v>
      </c>
      <c r="CW92" s="22">
        <f t="shared" si="67"/>
        <v>1.978932943548152E-12</v>
      </c>
      <c r="CX92" s="62">
        <f t="shared" si="68"/>
        <v>274.02264371152557</v>
      </c>
      <c r="CY92" s="62">
        <f ca="1">AVERAGE(OFFSET($CX$3,0,0,'Données projet'!$E$13+1,1))-AVERAGE(OFFSET($H$3,0,0,'Données projet'!$E$13+1,1))</f>
        <v>320.46614113586043</v>
      </c>
      <c r="CZ92" s="62">
        <f t="shared" si="96"/>
        <v>250.7806929924491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0</v>
      </c>
      <c r="DG92" s="23">
        <f>EXP(-LN(2)/25)*DG91+(1-EXP(-LN(2)/25))/(LN(2)/25)*Calculateur!DB92*Calculateur!DD92*VLOOKUP('Données projet'!$B$13,Paramètres!$A$1:$I$89,3,0)*0.475*44/12</f>
        <v>0</v>
      </c>
      <c r="DH92" s="23">
        <f>EXP(-LN(2)/2)*DH91+(1-EXP(-LN(2)/2))/(LN(2)/2)*DB92*DE92*VLOOKUP('Données projet'!$B$13,Paramètres!$A$1:$I$89,3,0)*0.475*44/12</f>
        <v>1.2484751049552128E-8</v>
      </c>
      <c r="DI92" s="24">
        <f t="shared" si="69"/>
        <v>1.2484751049552128E-8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17.8</v>
      </c>
      <c r="DO92" s="13">
        <f>IF('Données projet'!$A$166&gt;35,DO91+DN92-DW91,IF(A92&lt;'Données projet'!$A$166,$DL$205^A92,IF(A92='Données projet'!$A$166,'Données projet'!$B$166,DO91+DN92-DW91)))</f>
        <v>784.19999999999993</v>
      </c>
      <c r="DP92" s="18">
        <f>DO92*VLOOKUP('Données projet'!$B$14,Paramètres!$A$1:$I$89,3,0)*VLOOKUP('Données projet'!$B$14,Paramètres!$A$1:$I$89,5,0)</f>
        <v>367.00559999999996</v>
      </c>
      <c r="DQ92" s="14">
        <f t="shared" si="97"/>
        <v>85.054413590443389</v>
      </c>
      <c r="DR92" s="22">
        <f t="shared" si="70"/>
        <v>787.33785700335545</v>
      </c>
      <c r="DS92" s="62">
        <f t="shared" si="71"/>
        <v>1061.360500714879</v>
      </c>
      <c r="DT92" s="62">
        <f ca="1">AVERAGE(OFFSET($DS$3,0,0,'Données projet'!$E$14+1,1))-AVERAGE(OFFSET($H$3,0,0,'Données projet'!$E$14+1,1))</f>
        <v>429.87867712133851</v>
      </c>
      <c r="DU92" s="62">
        <f t="shared" si="98"/>
        <v>182.81277865988014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0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0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3.3333333333333313</v>
      </c>
      <c r="EJ92" s="13">
        <f>IF('Données projet'!$A$192&gt;35,EJ91+EI92-ER91,IF(A92&lt;'Données projet'!$A$192,$EG$205^A92,IF(A92='Données projet'!$A$192,'Données projet'!$B$192,EJ91+EI92-ER91)))</f>
        <v>242.82051282051299</v>
      </c>
      <c r="EK92" s="18">
        <f>EJ92*VLOOKUP('Données projet'!$B$15,Paramètres!$A$1:$I$89,3,0)*VLOOKUP('Données projet'!$B$15,Paramètres!$A$1:$I$89,5,0)</f>
        <v>162.88400000000013</v>
      </c>
      <c r="EL92" s="14">
        <f t="shared" si="99"/>
        <v>41.492331786851203</v>
      </c>
      <c r="EM92" s="22">
        <f t="shared" si="73"/>
        <v>355.95544452876607</v>
      </c>
      <c r="EN92" s="62">
        <f t="shared" si="74"/>
        <v>629.97808824028971</v>
      </c>
      <c r="EO92" s="62">
        <f ca="1">AVERAGE(OFFSET($EN$3,0,0,'Données projet'!$E$15+1,1))-AVERAGE(OFFSET($H$3,0,0,'Données projet'!$E$15+1,1))</f>
        <v>296.18088377871669</v>
      </c>
      <c r="EP92" s="62">
        <f t="shared" si="100"/>
        <v>252.23833925792056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0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0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3.3333333333333313</v>
      </c>
      <c r="FE92" s="13">
        <f>IF('Données projet'!$A$218&gt;35,FE91+FD92-FM91,IF(A92&lt;'Données projet'!$A$218,$FB$205^A92,IF(A92='Données projet'!$A$218,'Données projet'!$B$218,FE91+FD92-FM91)))</f>
        <v>242.82051282051299</v>
      </c>
      <c r="FF92" s="18">
        <f>FE92*VLOOKUP('Données projet'!$B$16,Paramètres!$A$1:$I$89,3,0)*VLOOKUP('Données projet'!$B$16,Paramètres!$A$1:$I$89,5,0)</f>
        <v>208.34000000000017</v>
      </c>
      <c r="FG92" s="14">
        <f t="shared" si="101"/>
        <v>51.572666553787833</v>
      </c>
      <c r="FH92" s="22">
        <f t="shared" si="76"/>
        <v>452.68122758118079</v>
      </c>
      <c r="FI92" s="62">
        <f t="shared" si="77"/>
        <v>726.70387129270443</v>
      </c>
      <c r="FJ92" s="62">
        <f ca="1">AVERAGE(OFFSET($FI$3,0,0,'Données projet'!$E$16+1,1))-AVERAGE(OFFSET($H$3,0,0,'Données projet'!$E$16+1,1))</f>
        <v>359.20464555327072</v>
      </c>
      <c r="FK92" s="62">
        <f t="shared" si="102"/>
        <v>305.54154052071863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0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0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296</v>
      </c>
      <c r="L93" s="13">
        <f>VLOOKUP(A93,'Données projet'!$A$35:$I$55,9,0)</f>
        <v>5.6</v>
      </c>
      <c r="M93" s="13">
        <f t="array" ref="M93">INDEX(L:L,MIN(IF(ISNUMBER(L93:L289),ROW(L93:L289),"")))</f>
        <v>5.6</v>
      </c>
      <c r="N93" s="14">
        <f>IF('Données projet'!$A$36&gt;35,N92+M93-V92,IF(A93&lt;'Données projet'!$A$36,$K$205^A93,IF(A93='Données projet'!$A$36,'Données projet'!$B$36,N92+M93-V92)))</f>
        <v>296.00000000000006</v>
      </c>
      <c r="O93" s="14">
        <f>N93*VLOOKUP('Données projet'!$B$9,Paramètres!$A$1:$I$89,3,0)*VLOOKUP('Données projet'!$B$9,Paramètres!$A$1:$I$89,5,0)</f>
        <v>300.14400000000006</v>
      </c>
      <c r="P93" s="14">
        <f t="shared" si="87"/>
        <v>71.206650563609855</v>
      </c>
      <c r="Q93" s="22">
        <f t="shared" si="54"/>
        <v>646.76904973162061</v>
      </c>
      <c r="R93" s="62">
        <f t="shared" si="55"/>
        <v>921.12669073584834</v>
      </c>
      <c r="S93" s="62">
        <f ca="1">AVERAGE(OFFSET($R$3,0,0,'Données projet'!$E$9+1,1))-AVERAGE(OFFSET($H$3,0,0,'Données projet'!$E$9+1,1))</f>
        <v>516.30971934066179</v>
      </c>
      <c r="T93" s="62">
        <f t="shared" si="88"/>
        <v>290.84286505723571</v>
      </c>
      <c r="U93" s="16">
        <f>IF(ISNA(VLOOKUP(A93,'Données projet'!$A$35:$I$55,3,0)),0,VLOOKUP(A93,'Données projet'!$A$35:$I$55,3,0))</f>
        <v>7</v>
      </c>
      <c r="V93" s="16">
        <f>IF(ISNA(VLOOKUP(A93,'Données projet'!$A$35:$I$55,4,0)),0,VLOOKUP(A93,'Données projet'!$A$35:$I$55,4,0))</f>
        <v>42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296</v>
      </c>
      <c r="AG93" s="13">
        <f>VLOOKUP(A93,'Données projet'!$A$61:$I$81,9,0)</f>
        <v>5.6</v>
      </c>
      <c r="AH93" s="13">
        <f t="array" ref="AH93">INDEX(AG:AG,MIN(IF(ISNUMBER(AG93:AG289),ROW(AG93:AG289),"")))</f>
        <v>5.6</v>
      </c>
      <c r="AI93" s="14">
        <f>IF('Données projet'!$A$62&gt;35,AI92+AH93-AQ92,IF(A93&lt;'Données projet'!$A$62,$AF$205^A93,IF(A93='Données projet'!$A$62,'Données projet'!$B$62,AI92+AH93-AQ92)))</f>
        <v>296.00000000000006</v>
      </c>
      <c r="AJ93" s="14">
        <f>AI93*VLOOKUP('Données projet'!$B$10,Paramètres!$A$1:$I$89,3,0)*VLOOKUP('Données projet'!$B$10,Paramètres!$A$1:$I$89,5,0)</f>
        <v>318.61440000000005</v>
      </c>
      <c r="AK93" s="14">
        <f t="shared" si="89"/>
        <v>75.06497986502842</v>
      </c>
      <c r="AL93" s="22">
        <f t="shared" si="58"/>
        <v>685.6582532649245</v>
      </c>
      <c r="AM93" s="62">
        <f t="shared" si="59"/>
        <v>960.01589426915211</v>
      </c>
      <c r="AN93" s="62">
        <f ca="1">AVERAGE(OFFSET($AM$3,0,0,'Données projet'!$E$10+1,1))-AVERAGE(OFFSET($H$3,0,0,'Données projet'!$E$10+1,1))</f>
        <v>542.90832990875208</v>
      </c>
      <c r="AO93" s="62">
        <f t="shared" si="90"/>
        <v>304.94365539329362</v>
      </c>
      <c r="AP93" s="16">
        <f>IF(ISNA(VLOOKUP(A93,'Données projet'!$A$61:$I$81,3,0)),0,VLOOKUP(A93,'Données projet'!$A$61:$I$81,3,0))</f>
        <v>7</v>
      </c>
      <c r="AQ93" s="16">
        <f>IF(ISNA(VLOOKUP(A93,'Données projet'!$A$61:$I$81,4,0)),0,VLOOKUP(A93,'Données projet'!$A$61:$I$81,4,0))</f>
        <v>42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296</v>
      </c>
      <c r="BB93" s="13">
        <f>VLOOKUP(A93,'Données projet'!$A$87:$I$107,9,0)</f>
        <v>5.6</v>
      </c>
      <c r="BC93" s="13">
        <f t="array" ref="BC93">INDEX(BB:BB,MIN(IF(ISNUMBER(BB93:BB289),ROW(BB93:BB289),"")))</f>
        <v>5.6</v>
      </c>
      <c r="BD93" s="13">
        <f>IF('Données projet'!$A$88&gt;35,BD92+BC93-BL92,IF(A93&lt;'Données projet'!$A$88,$BA$205^A93,IF(A93='Données projet'!$A$88,'Données projet'!$B$88,BD92+BC93-BL92)))</f>
        <v>296.00000000000006</v>
      </c>
      <c r="BE93" s="14">
        <f>BD93*VLOOKUP('Données projet'!$B$11,Paramètres!$A$1:$I$89,3,0)*VLOOKUP('Données projet'!$B$11,Paramètres!$A$1:$I$89,5,0)</f>
        <v>286.29120000000006</v>
      </c>
      <c r="BF93" s="14">
        <f t="shared" si="91"/>
        <v>68.294796094604408</v>
      </c>
      <c r="BG93" s="22">
        <f t="shared" si="61"/>
        <v>617.57060986476938</v>
      </c>
      <c r="BH93" s="62">
        <f t="shared" si="62"/>
        <v>891.92825086899711</v>
      </c>
      <c r="BI93" s="62">
        <f ca="1">AVERAGE(OFFSET($BH$3,0,0,'Données projet'!$E$11+1,1))-AVERAGE(OFFSET($H$3,0,0,'Données projet'!$E$11+1,1))</f>
        <v>496.33873798282525</v>
      </c>
      <c r="BJ93" s="62">
        <f t="shared" si="92"/>
        <v>280.25465074992246</v>
      </c>
      <c r="BK93" s="16">
        <f>IF(ISNA(VLOOKUP(A93,'Données projet'!$A$87:$I$107,3,0)),0,VLOOKUP(A93,'Données projet'!$A$87:$I$107,3,0))</f>
        <v>7</v>
      </c>
      <c r="BL93" s="16">
        <f>IF(ISNA(VLOOKUP(A93,'Données projet'!$A$87:$I$107,4,0)),0,VLOOKUP(A93,'Données projet'!$A$87:$I$107,4,0))</f>
        <v>42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1.7053025658242404E-13</v>
      </c>
      <c r="BZ93" s="14">
        <f>BY93*VLOOKUP('Données projet'!$B$12,Paramètres!$A$1:$I$89,3,0)*VLOOKUP('Données projet'!$B$12,Paramètres!$A$1:$I$89,5,0)</f>
        <v>1.4897523215040567E-13</v>
      </c>
      <c r="CA93" s="14">
        <f t="shared" si="93"/>
        <v>2.136562777003313E-12</v>
      </c>
      <c r="CB93" s="22">
        <f t="shared" si="64"/>
        <v>3.9806453659427267E-12</v>
      </c>
      <c r="CC93" s="62">
        <f t="shared" si="65"/>
        <v>274.35764100423165</v>
      </c>
      <c r="CD93" s="62">
        <f ca="1">AVERAGE(OFFSET($CC$3,0,0,'Données projet'!$E$12+1,1))-AVERAGE(OFFSET($H$3,0,0,'Données projet'!$E$12+1,1))</f>
        <v>298.28891728374822</v>
      </c>
      <c r="CE93" s="62">
        <f t="shared" si="94"/>
        <v>275.07405533331371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1.1368683772161603E-13</v>
      </c>
      <c r="CU93" s="18">
        <f>CT93*VLOOKUP('Données projet'!$B$13,Paramètres!$A$1:$I$89,3,0)*VLOOKUP('Données projet'!$B$13,Paramètres!$A$1:$I$89,5,0)</f>
        <v>6.7984728957526396E-14</v>
      </c>
      <c r="CV93" s="14">
        <f t="shared" si="95"/>
        <v>1.0682447123141398E-12</v>
      </c>
      <c r="CW93" s="22">
        <f t="shared" si="67"/>
        <v>1.978932943548152E-12</v>
      </c>
      <c r="CX93" s="62">
        <f t="shared" si="68"/>
        <v>274.35764100422966</v>
      </c>
      <c r="CY93" s="62">
        <f ca="1">AVERAGE(OFFSET($CX$3,0,0,'Données projet'!$E$13+1,1))-AVERAGE(OFFSET($H$3,0,0,'Données projet'!$E$13+1,1))</f>
        <v>320.46614113586043</v>
      </c>
      <c r="CZ93" s="62">
        <f t="shared" si="96"/>
        <v>250.7806929924491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0</v>
      </c>
      <c r="DG93" s="23">
        <f>EXP(-LN(2)/25)*DG92+(1-EXP(-LN(2)/25))/(LN(2)/25)*Calculateur!DB93*Calculateur!DD93*VLOOKUP('Données projet'!$B$13,Paramètres!$A$1:$I$89,3,0)*0.475*44/12</f>
        <v>0</v>
      </c>
      <c r="DH93" s="23">
        <f>EXP(-LN(2)/2)*DH92+(1-EXP(-LN(2)/2))/(LN(2)/2)*DB93*DE93*VLOOKUP('Données projet'!$B$13,Paramètres!$A$1:$I$89,3,0)*0.475*44/12</f>
        <v>8.8280521285641759E-9</v>
      </c>
      <c r="DI93" s="24">
        <f t="shared" si="69"/>
        <v>8.8280521285641759E-9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>
        <f>VLOOKUP(A93,'Données projet'!$A$165:$I$185,2,0)</f>
        <v>802</v>
      </c>
      <c r="DM93" s="13">
        <f>VLOOKUP(A93,'Données projet'!$A$165:$I$185,9,0)</f>
        <v>17.8</v>
      </c>
      <c r="DN93" s="13">
        <f t="array" ref="DN93">INDEX(DM:DM,MIN(IF(ISNUMBER(DM93:DM289),ROW(DM93:DM289),"")))</f>
        <v>17.8</v>
      </c>
      <c r="DO93" s="13">
        <f>IF('Données projet'!$A$166&gt;35,DO92+DN93-DW92,IF(A93&lt;'Données projet'!$A$166,$DL$205^A93,IF(A93='Données projet'!$A$166,'Données projet'!$B$166,DO92+DN93-DW92)))</f>
        <v>801.99999999999989</v>
      </c>
      <c r="DP93" s="18">
        <f>DO93*VLOOKUP('Données projet'!$B$14,Paramètres!$A$1:$I$89,3,0)*VLOOKUP('Données projet'!$B$14,Paramètres!$A$1:$I$89,5,0)</f>
        <v>375.33599999999996</v>
      </c>
      <c r="DQ93" s="14">
        <f t="shared" si="97"/>
        <v>86.75804807087205</v>
      </c>
      <c r="DR93" s="22">
        <f t="shared" si="70"/>
        <v>804.81380039010207</v>
      </c>
      <c r="DS93" s="62">
        <f t="shared" si="71"/>
        <v>1079.1714413943298</v>
      </c>
      <c r="DT93" s="62">
        <f ca="1">AVERAGE(OFFSET($DS$3,0,0,'Données projet'!$E$14+1,1))-AVERAGE(OFFSET($H$3,0,0,'Données projet'!$E$14+1,1))</f>
        <v>429.87867712133851</v>
      </c>
      <c r="DU93" s="62">
        <f t="shared" si="98"/>
        <v>182.81277865988014</v>
      </c>
      <c r="DV93" s="16">
        <f>IF(ISNA(VLOOKUP(A93,'Données projet'!$A$165:$I$185,3,0)),0,VLOOKUP(A93,'Données projet'!$A$165:$I$185,3,0))</f>
        <v>6</v>
      </c>
      <c r="DW93" s="16">
        <f>IF(ISNA(VLOOKUP(A93,'Données projet'!$A$165:$I$185,4,0)),0,VLOOKUP(A93,'Données projet'!$A$165:$I$185,4,0))</f>
        <v>97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0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0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>
        <f>VLOOKUP(A93,'Données projet'!$A$191:$I$211,2,0)</f>
        <v>246.15384615384613</v>
      </c>
      <c r="EH93" s="13">
        <f>VLOOKUP(A93,'Données projet'!$A$191:$I$211,9,0)</f>
        <v>3.3333333333333313</v>
      </c>
      <c r="EI93" s="13">
        <f t="array" ref="EI93">INDEX(EH:EH,MIN(IF(ISNUMBER(EH93:EH289),ROW(EH93:EH289),"")))</f>
        <v>3.3333333333333313</v>
      </c>
      <c r="EJ93" s="13">
        <f>IF('Données projet'!$A$192&gt;35,EJ92+EI93-ER92,IF(A93&lt;'Données projet'!$A$192,$EG$205^A93,IF(A93='Données projet'!$A$192,'Données projet'!$B$192,EJ92+EI93-ER92)))</f>
        <v>246.15384615384633</v>
      </c>
      <c r="EK93" s="18">
        <f>EJ93*VLOOKUP('Données projet'!$B$15,Paramètres!$A$1:$I$89,3,0)*VLOOKUP('Données projet'!$B$15,Paramètres!$A$1:$I$89,5,0)</f>
        <v>165.12000000000012</v>
      </c>
      <c r="EL93" s="14">
        <f t="shared" si="99"/>
        <v>41.995220128988628</v>
      </c>
      <c r="EM93" s="22">
        <f t="shared" si="73"/>
        <v>360.72567505798867</v>
      </c>
      <c r="EN93" s="62">
        <f t="shared" si="74"/>
        <v>635.08331606221634</v>
      </c>
      <c r="EO93" s="62">
        <f ca="1">AVERAGE(OFFSET($EN$3,0,0,'Données projet'!$E$15+1,1))-AVERAGE(OFFSET($H$3,0,0,'Données projet'!$E$15+1,1))</f>
        <v>296.18088377871669</v>
      </c>
      <c r="EP93" s="62">
        <f t="shared" si="100"/>
        <v>252.23833925792056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21.153846153846153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0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0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>
        <f>VLOOKUP(A93,'Données projet'!$A$217:$I$237,2,0)</f>
        <v>246.15384615384613</v>
      </c>
      <c r="FC93" s="13">
        <f>VLOOKUP(A93,'Données projet'!$A$217:$I$237,9,0)</f>
        <v>3.3333333333333313</v>
      </c>
      <c r="FD93" s="13">
        <f t="array" ref="FD93">INDEX(FC:FC,MIN(IF(ISNUMBER(FC93:FC289),ROW(FC93:FC289),"")))</f>
        <v>3.3333333333333313</v>
      </c>
      <c r="FE93" s="13">
        <f>IF('Données projet'!$A$218&gt;35,FE92+FD93-FM92,IF(A93&lt;'Données projet'!$A$218,$FB$205^A93,IF(A93='Données projet'!$A$218,'Données projet'!$B$218,FE92+FD93-FM92)))</f>
        <v>246.15384615384633</v>
      </c>
      <c r="FF93" s="18">
        <f>FE93*VLOOKUP('Données projet'!$B$16,Paramètres!$A$1:$I$89,3,0)*VLOOKUP('Données projet'!$B$16,Paramètres!$A$1:$I$89,5,0)</f>
        <v>211.20000000000019</v>
      </c>
      <c r="FG93" s="14">
        <f t="shared" si="101"/>
        <v>52.197728864483501</v>
      </c>
      <c r="FH93" s="22">
        <f t="shared" si="76"/>
        <v>458.75104443897573</v>
      </c>
      <c r="FI93" s="62">
        <f t="shared" si="77"/>
        <v>733.1086854432034</v>
      </c>
      <c r="FJ93" s="62">
        <f ca="1">AVERAGE(OFFSET($FI$3,0,0,'Données projet'!$E$16+1,1))-AVERAGE(OFFSET($H$3,0,0,'Données projet'!$E$16+1,1))</f>
        <v>359.20464555327072</v>
      </c>
      <c r="FK93" s="62">
        <f t="shared" si="102"/>
        <v>305.54154052071863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21.153846153846153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0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0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4.9000000000000004</v>
      </c>
      <c r="N94" s="14">
        <f>IF('Données projet'!$A$36&gt;35,N93+M94-V93,IF(A94&lt;'Données projet'!$A$36,$K$205^A94,IF(A94='Données projet'!$A$36,'Données projet'!$B$36,N93+M94-V93)))</f>
        <v>258.90000000000003</v>
      </c>
      <c r="O94" s="14">
        <f>N94*VLOOKUP('Données projet'!$B$9,Paramètres!$A$1:$I$89,3,0)*VLOOKUP('Données projet'!$B$9,Paramètres!$A$1:$I$89,5,0)</f>
        <v>262.52460000000002</v>
      </c>
      <c r="P94" s="14">
        <f t="shared" si="87"/>
        <v>63.260217631774687</v>
      </c>
      <c r="Q94" s="22">
        <f t="shared" si="54"/>
        <v>567.40855737534105</v>
      </c>
      <c r="R94" s="62">
        <f t="shared" si="55"/>
        <v>842.09538421818615</v>
      </c>
      <c r="S94" s="62">
        <f ca="1">AVERAGE(OFFSET($R$3,0,0,'Données projet'!$E$9+1,1))-AVERAGE(OFFSET($H$3,0,0,'Données projet'!$E$9+1,1))</f>
        <v>516.30971934066179</v>
      </c>
      <c r="T94" s="62">
        <f t="shared" si="88"/>
        <v>290.84286505723571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4.9000000000000004</v>
      </c>
      <c r="AI94" s="14">
        <f>IF('Données projet'!$A$62&gt;35,AI93+AH94-AQ93,IF(A94&lt;'Données projet'!$A$62,$AF$205^A94,IF(A94='Données projet'!$A$62,'Données projet'!$B$62,AI93+AH94-AQ93)))</f>
        <v>258.90000000000003</v>
      </c>
      <c r="AJ94" s="14">
        <f>AI94*VLOOKUP('Données projet'!$B$10,Paramètres!$A$1:$I$89,3,0)*VLOOKUP('Données projet'!$B$10,Paramètres!$A$1:$I$89,5,0)</f>
        <v>278.67996000000005</v>
      </c>
      <c r="AK94" s="14">
        <f t="shared" si="89"/>
        <v>66.687969806197728</v>
      </c>
      <c r="AL94" s="22">
        <f t="shared" si="58"/>
        <v>601.51581107912773</v>
      </c>
      <c r="AM94" s="62">
        <f t="shared" si="59"/>
        <v>876.20263792197284</v>
      </c>
      <c r="AN94" s="62">
        <f ca="1">AVERAGE(OFFSET($AM$3,0,0,'Données projet'!$E$10+1,1))-AVERAGE(OFFSET($H$3,0,0,'Données projet'!$E$10+1,1))</f>
        <v>542.90832990875208</v>
      </c>
      <c r="AO94" s="62">
        <f t="shared" si="90"/>
        <v>304.94365539329362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4.9000000000000004</v>
      </c>
      <c r="BD94" s="13">
        <f>IF('Données projet'!$A$88&gt;35,BD93+BC94-BL93,IF(A94&lt;'Données projet'!$A$88,$BA$205^A94,IF(A94='Données projet'!$A$88,'Données projet'!$B$88,BD93+BC94-BL93)))</f>
        <v>258.90000000000003</v>
      </c>
      <c r="BE94" s="14">
        <f>BD94*VLOOKUP('Données projet'!$B$11,Paramètres!$A$1:$I$89,3,0)*VLOOKUP('Données projet'!$B$11,Paramètres!$A$1:$I$89,5,0)</f>
        <v>250.40808000000004</v>
      </c>
      <c r="BF94" s="14">
        <f t="shared" si="91"/>
        <v>60.67331674592576</v>
      </c>
      <c r="BG94" s="22">
        <f t="shared" si="61"/>
        <v>541.80009933248743</v>
      </c>
      <c r="BH94" s="62">
        <f t="shared" si="62"/>
        <v>816.48692617533243</v>
      </c>
      <c r="BI94" s="62">
        <f ca="1">AVERAGE(OFFSET($BH$3,0,0,'Données projet'!$E$11+1,1))-AVERAGE(OFFSET($H$3,0,0,'Données projet'!$E$11+1,1))</f>
        <v>496.33873798282525</v>
      </c>
      <c r="BJ94" s="62">
        <f t="shared" si="92"/>
        <v>280.25465074992246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1.7053025658242404E-13</v>
      </c>
      <c r="BZ94" s="14">
        <f>BY94*VLOOKUP('Données projet'!$B$12,Paramètres!$A$1:$I$89,3,0)*VLOOKUP('Données projet'!$B$12,Paramètres!$A$1:$I$89,5,0)</f>
        <v>1.4897523215040567E-13</v>
      </c>
      <c r="CA94" s="14">
        <f t="shared" si="93"/>
        <v>2.136562777003313E-12</v>
      </c>
      <c r="CB94" s="22">
        <f t="shared" si="64"/>
        <v>3.9806453659427267E-12</v>
      </c>
      <c r="CC94" s="62">
        <f t="shared" si="65"/>
        <v>274.68682684284903</v>
      </c>
      <c r="CD94" s="62">
        <f ca="1">AVERAGE(OFFSET($CC$3,0,0,'Données projet'!$E$12+1,1))-AVERAGE(OFFSET($H$3,0,0,'Données projet'!$E$12+1,1))</f>
        <v>298.28891728374822</v>
      </c>
      <c r="CE94" s="62">
        <f t="shared" si="94"/>
        <v>275.07405533331371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1.1368683772161603E-13</v>
      </c>
      <c r="CU94" s="18">
        <f>CT94*VLOOKUP('Données projet'!$B$13,Paramètres!$A$1:$I$89,3,0)*VLOOKUP('Données projet'!$B$13,Paramètres!$A$1:$I$89,5,0)</f>
        <v>6.7984728957526396E-14</v>
      </c>
      <c r="CV94" s="14">
        <f t="shared" si="95"/>
        <v>1.0682447123141398E-12</v>
      </c>
      <c r="CW94" s="22">
        <f t="shared" si="67"/>
        <v>1.978932943548152E-12</v>
      </c>
      <c r="CX94" s="62">
        <f t="shared" si="68"/>
        <v>274.68682684284704</v>
      </c>
      <c r="CY94" s="62">
        <f ca="1">AVERAGE(OFFSET($CX$3,0,0,'Données projet'!$E$13+1,1))-AVERAGE(OFFSET($H$3,0,0,'Données projet'!$E$13+1,1))</f>
        <v>320.46614113586043</v>
      </c>
      <c r="CZ94" s="62">
        <f t="shared" si="96"/>
        <v>250.7806929924491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0</v>
      </c>
      <c r="DG94" s="23">
        <f>EXP(-LN(2)/25)*DG93+(1-EXP(-LN(2)/25))/(LN(2)/25)*Calculateur!DB94*Calculateur!DD94*VLOOKUP('Données projet'!$B$13,Paramètres!$A$1:$I$89,3,0)*0.475*44/12</f>
        <v>0</v>
      </c>
      <c r="DH94" s="23">
        <f>EXP(-LN(2)/2)*DH93+(1-EXP(-LN(2)/2))/(LN(2)/2)*DB94*DE94*VLOOKUP('Données projet'!$B$13,Paramètres!$A$1:$I$89,3,0)*0.475*44/12</f>
        <v>6.2423755247760639E-9</v>
      </c>
      <c r="DI94" s="24">
        <f t="shared" si="69"/>
        <v>6.2423755247760639E-9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15</v>
      </c>
      <c r="DO94" s="13">
        <f>IF('Données projet'!$A$166&gt;35,DO93+DN94-DW93,IF(A94&lt;'Données projet'!$A$166,$DL$205^A94,IF(A94='Données projet'!$A$166,'Données projet'!$B$166,DO93+DN94-DW93)))</f>
        <v>719.99999999999989</v>
      </c>
      <c r="DP94" s="18">
        <f>DO94*VLOOKUP('Données projet'!$B$14,Paramètres!$A$1:$I$89,3,0)*VLOOKUP('Données projet'!$B$14,Paramètres!$A$1:$I$89,5,0)</f>
        <v>336.95999999999992</v>
      </c>
      <c r="DQ94" s="14">
        <f t="shared" si="97"/>
        <v>78.871535242083567</v>
      </c>
      <c r="DR94" s="22">
        <f t="shared" si="70"/>
        <v>724.23992387996202</v>
      </c>
      <c r="DS94" s="62">
        <f t="shared" si="71"/>
        <v>998.92675072280713</v>
      </c>
      <c r="DT94" s="62">
        <f ca="1">AVERAGE(OFFSET($DS$3,0,0,'Données projet'!$E$14+1,1))-AVERAGE(OFFSET($H$3,0,0,'Données projet'!$E$14+1,1))</f>
        <v>429.87867712133851</v>
      </c>
      <c r="DU94" s="62">
        <f t="shared" si="98"/>
        <v>182.81277865988014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0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0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3.2051282051282102</v>
      </c>
      <c r="EJ94" s="13">
        <f>IF('Données projet'!$A$192&gt;35,EJ93+EI94-ER93,IF(A94&lt;'Données projet'!$A$192,$EG$205^A94,IF(A94='Données projet'!$A$192,'Données projet'!$B$192,EJ93+EI94-ER93)))</f>
        <v>228.20512820512837</v>
      </c>
      <c r="EK94" s="18">
        <f>EJ94*VLOOKUP('Données projet'!$B$15,Paramètres!$A$1:$I$89,3,0)*VLOOKUP('Données projet'!$B$15,Paramètres!$A$1:$I$89,5,0)</f>
        <v>153.0800000000001</v>
      </c>
      <c r="EL94" s="14">
        <f t="shared" si="99"/>
        <v>39.277696538385037</v>
      </c>
      <c r="EM94" s="22">
        <f t="shared" si="73"/>
        <v>335.02298813768743</v>
      </c>
      <c r="EN94" s="62">
        <f t="shared" si="74"/>
        <v>609.70981498053243</v>
      </c>
      <c r="EO94" s="62">
        <f ca="1">AVERAGE(OFFSET($EN$3,0,0,'Données projet'!$E$15+1,1))-AVERAGE(OFFSET($H$3,0,0,'Données projet'!$E$15+1,1))</f>
        <v>296.18088377871669</v>
      </c>
      <c r="EP94" s="62">
        <f t="shared" si="100"/>
        <v>252.23833925792056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0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0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3.2051282051282102</v>
      </c>
      <c r="FE94" s="13">
        <f>IF('Données projet'!$A$218&gt;35,FE93+FD94-FM93,IF(A94&lt;'Données projet'!$A$218,$FB$205^A94,IF(A94='Données projet'!$A$218,'Données projet'!$B$218,FE93+FD94-FM93)))</f>
        <v>228.20512820512837</v>
      </c>
      <c r="FF94" s="18">
        <f>FE94*VLOOKUP('Données projet'!$B$16,Paramètres!$A$1:$I$89,3,0)*VLOOKUP('Données projet'!$B$16,Paramètres!$A$1:$I$89,5,0)</f>
        <v>195.80000000000015</v>
      </c>
      <c r="FG94" s="14">
        <f t="shared" si="101"/>
        <v>48.819997800579685</v>
      </c>
      <c r="FH94" s="22">
        <f t="shared" si="76"/>
        <v>426.04649616934313</v>
      </c>
      <c r="FI94" s="62">
        <f t="shared" si="77"/>
        <v>700.73332301218818</v>
      </c>
      <c r="FJ94" s="62">
        <f ca="1">AVERAGE(OFFSET($FI$3,0,0,'Données projet'!$E$16+1,1))-AVERAGE(OFFSET($H$3,0,0,'Données projet'!$E$16+1,1))</f>
        <v>359.20464555327072</v>
      </c>
      <c r="FK94" s="62">
        <f t="shared" si="102"/>
        <v>305.54154052071863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0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0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4.9000000000000004</v>
      </c>
      <c r="N95" s="14">
        <f>IF('Données projet'!$A$36&gt;35,N94+M95-V94,IF(A95&lt;'Données projet'!$A$36,$K$205^A95,IF(A95='Données projet'!$A$36,'Données projet'!$B$36,N94+M95-V94)))</f>
        <v>263.8</v>
      </c>
      <c r="O95" s="14">
        <f>N95*VLOOKUP('Données projet'!$B$9,Paramètres!$A$1:$I$89,3,0)*VLOOKUP('Données projet'!$B$9,Paramètres!$A$1:$I$89,5,0)</f>
        <v>267.49320000000006</v>
      </c>
      <c r="P95" s="14">
        <f t="shared" si="87"/>
        <v>64.316974590266341</v>
      </c>
      <c r="Q95" s="22">
        <f t="shared" si="54"/>
        <v>577.90272074471397</v>
      </c>
      <c r="R95" s="62">
        <f t="shared" si="55"/>
        <v>852.91302278782564</v>
      </c>
      <c r="S95" s="62">
        <f ca="1">AVERAGE(OFFSET($R$3,0,0,'Données projet'!$E$9+1,1))-AVERAGE(OFFSET($H$3,0,0,'Données projet'!$E$9+1,1))</f>
        <v>516.30971934066179</v>
      </c>
      <c r="T95" s="62">
        <f t="shared" si="88"/>
        <v>290.84286505723571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4.9000000000000004</v>
      </c>
      <c r="AI95" s="14">
        <f>IF('Données projet'!$A$62&gt;35,AI94+AH95-AQ94,IF(A95&lt;'Données projet'!$A$62,$AF$205^A95,IF(A95='Données projet'!$A$62,'Données projet'!$B$62,AI94+AH95-AQ94)))</f>
        <v>263.8</v>
      </c>
      <c r="AJ95" s="14">
        <f>AI95*VLOOKUP('Données projet'!$B$10,Paramètres!$A$1:$I$89,3,0)*VLOOKUP('Données projet'!$B$10,Paramètres!$A$1:$I$89,5,0)</f>
        <v>283.95432</v>
      </c>
      <c r="AK95" s="14">
        <f t="shared" si="89"/>
        <v>67.801987095081913</v>
      </c>
      <c r="AL95" s="22">
        <f t="shared" si="58"/>
        <v>612.64223485726768</v>
      </c>
      <c r="AM95" s="62">
        <f t="shared" si="59"/>
        <v>887.65253690037935</v>
      </c>
      <c r="AN95" s="62">
        <f ca="1">AVERAGE(OFFSET($AM$3,0,0,'Données projet'!$E$10+1,1))-AVERAGE(OFFSET($H$3,0,0,'Données projet'!$E$10+1,1))</f>
        <v>542.90832990875208</v>
      </c>
      <c r="AO95" s="62">
        <f t="shared" si="90"/>
        <v>304.94365539329362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4.9000000000000004</v>
      </c>
      <c r="BD95" s="13">
        <f>IF('Données projet'!$A$88&gt;35,BD94+BC95-BL94,IF(A95&lt;'Données projet'!$A$88,$BA$205^A95,IF(A95='Données projet'!$A$88,'Données projet'!$B$88,BD94+BC95-BL94)))</f>
        <v>263.8</v>
      </c>
      <c r="BE95" s="14">
        <f>BD95*VLOOKUP('Données projet'!$B$11,Paramètres!$A$1:$I$89,3,0)*VLOOKUP('Données projet'!$B$11,Paramètres!$A$1:$I$89,5,0)</f>
        <v>255.14736000000002</v>
      </c>
      <c r="BF95" s="14">
        <f t="shared" si="91"/>
        <v>61.686859728645651</v>
      </c>
      <c r="BG95" s="22">
        <f t="shared" si="61"/>
        <v>551.81959936072451</v>
      </c>
      <c r="BH95" s="62">
        <f t="shared" si="62"/>
        <v>826.82990140383617</v>
      </c>
      <c r="BI95" s="62">
        <f ca="1">AVERAGE(OFFSET($BH$3,0,0,'Données projet'!$E$11+1,1))-AVERAGE(OFFSET($H$3,0,0,'Données projet'!$E$11+1,1))</f>
        <v>496.33873798282525</v>
      </c>
      <c r="BJ95" s="62">
        <f t="shared" si="92"/>
        <v>280.25465074992246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1.7053025658242404E-13</v>
      </c>
      <c r="BZ95" s="14">
        <f>BY95*VLOOKUP('Données projet'!$B$12,Paramètres!$A$1:$I$89,3,0)*VLOOKUP('Données projet'!$B$12,Paramètres!$A$1:$I$89,5,0)</f>
        <v>1.4897523215040567E-13</v>
      </c>
      <c r="CA95" s="14">
        <f t="shared" si="93"/>
        <v>2.136562777003313E-12</v>
      </c>
      <c r="CB95" s="22">
        <f t="shared" si="64"/>
        <v>3.9806453659427267E-12</v>
      </c>
      <c r="CC95" s="62">
        <f t="shared" si="65"/>
        <v>275.0103020431157</v>
      </c>
      <c r="CD95" s="62">
        <f ca="1">AVERAGE(OFFSET($CC$3,0,0,'Données projet'!$E$12+1,1))-AVERAGE(OFFSET($H$3,0,0,'Données projet'!$E$12+1,1))</f>
        <v>298.28891728374822</v>
      </c>
      <c r="CE95" s="62">
        <f t="shared" si="94"/>
        <v>275.07405533331371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1.1368683772161603E-13</v>
      </c>
      <c r="CU95" s="18">
        <f>CT95*VLOOKUP('Données projet'!$B$13,Paramètres!$A$1:$I$89,3,0)*VLOOKUP('Données projet'!$B$13,Paramètres!$A$1:$I$89,5,0)</f>
        <v>6.7984728957526396E-14</v>
      </c>
      <c r="CV95" s="14">
        <f t="shared" si="95"/>
        <v>1.0682447123141398E-12</v>
      </c>
      <c r="CW95" s="22">
        <f t="shared" si="67"/>
        <v>1.978932943548152E-12</v>
      </c>
      <c r="CX95" s="62">
        <f t="shared" si="68"/>
        <v>275.01030204311371</v>
      </c>
      <c r="CY95" s="62">
        <f ca="1">AVERAGE(OFFSET($CX$3,0,0,'Données projet'!$E$13+1,1))-AVERAGE(OFFSET($H$3,0,0,'Données projet'!$E$13+1,1))</f>
        <v>320.46614113586043</v>
      </c>
      <c r="CZ95" s="62">
        <f t="shared" si="96"/>
        <v>250.7806929924491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0</v>
      </c>
      <c r="DG95" s="23">
        <f>EXP(-LN(2)/25)*DG94+(1-EXP(-LN(2)/25))/(LN(2)/25)*Calculateur!DB95*Calculateur!DD95*VLOOKUP('Données projet'!$B$13,Paramètres!$A$1:$I$89,3,0)*0.475*44/12</f>
        <v>0</v>
      </c>
      <c r="DH95" s="23">
        <f>EXP(-LN(2)/2)*DH94+(1-EXP(-LN(2)/2))/(LN(2)/2)*DB95*DE95*VLOOKUP('Données projet'!$B$13,Paramètres!$A$1:$I$89,3,0)*0.475*44/12</f>
        <v>4.4140260642820879E-9</v>
      </c>
      <c r="DI95" s="24">
        <f t="shared" si="69"/>
        <v>4.4140260642820879E-9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15</v>
      </c>
      <c r="DO95" s="13">
        <f>IF('Données projet'!$A$166&gt;35,DO94+DN95-DW94,IF(A95&lt;'Données projet'!$A$166,$DL$205^A95,IF(A95='Données projet'!$A$166,'Données projet'!$B$166,DO94+DN95-DW94)))</f>
        <v>734.99999999999989</v>
      </c>
      <c r="DP95" s="18">
        <f>DO95*VLOOKUP('Données projet'!$B$14,Paramètres!$A$1:$I$89,3,0)*VLOOKUP('Données projet'!$B$14,Paramètres!$A$1:$I$89,5,0)</f>
        <v>343.97999999999996</v>
      </c>
      <c r="DQ95" s="14">
        <f t="shared" si="97"/>
        <v>80.321681832084693</v>
      </c>
      <c r="DR95" s="22">
        <f t="shared" si="70"/>
        <v>738.9920958575475</v>
      </c>
      <c r="DS95" s="62">
        <f t="shared" si="71"/>
        <v>1014.0023979006592</v>
      </c>
      <c r="DT95" s="62">
        <f ca="1">AVERAGE(OFFSET($DS$3,0,0,'Données projet'!$E$14+1,1))-AVERAGE(OFFSET($H$3,0,0,'Données projet'!$E$14+1,1))</f>
        <v>429.87867712133851</v>
      </c>
      <c r="DU95" s="62">
        <f t="shared" si="98"/>
        <v>182.81277865988014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0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0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3.2051282051282102</v>
      </c>
      <c r="EJ95" s="13">
        <f>IF('Données projet'!$A$192&gt;35,EJ94+EI95-ER94,IF(A95&lt;'Données projet'!$A$192,$EG$205^A95,IF(A95='Données projet'!$A$192,'Données projet'!$B$192,EJ94+EI95-ER94)))</f>
        <v>231.41025641025658</v>
      </c>
      <c r="EK95" s="18">
        <f>EJ95*VLOOKUP('Données projet'!$B$15,Paramètres!$A$1:$I$89,3,0)*VLOOKUP('Données projet'!$B$15,Paramètres!$A$1:$I$89,5,0)</f>
        <v>155.23000000000013</v>
      </c>
      <c r="EL95" s="14">
        <f t="shared" si="99"/>
        <v>39.764740791164932</v>
      </c>
      <c r="EM95" s="22">
        <f t="shared" si="73"/>
        <v>339.61584021127914</v>
      </c>
      <c r="EN95" s="62">
        <f t="shared" si="74"/>
        <v>614.62614225439086</v>
      </c>
      <c r="EO95" s="62">
        <f ca="1">AVERAGE(OFFSET($EN$3,0,0,'Données projet'!$E$15+1,1))-AVERAGE(OFFSET($H$3,0,0,'Données projet'!$E$15+1,1))</f>
        <v>296.18088377871669</v>
      </c>
      <c r="EP95" s="62">
        <f t="shared" si="100"/>
        <v>252.23833925792056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0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0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3.2051282051282102</v>
      </c>
      <c r="FE95" s="13">
        <f>IF('Données projet'!$A$218&gt;35,FE94+FD95-FM94,IF(A95&lt;'Données projet'!$A$218,$FB$205^A95,IF(A95='Données projet'!$A$218,'Données projet'!$B$218,FE94+FD95-FM94)))</f>
        <v>231.41025641025658</v>
      </c>
      <c r="FF95" s="18">
        <f>FE95*VLOOKUP('Données projet'!$B$16,Paramètres!$A$1:$I$89,3,0)*VLOOKUP('Données projet'!$B$16,Paramètres!$A$1:$I$89,5,0)</f>
        <v>198.55000000000018</v>
      </c>
      <c r="FG95" s="14">
        <f t="shared" si="101"/>
        <v>49.42536678718168</v>
      </c>
      <c r="FH95" s="22">
        <f t="shared" si="76"/>
        <v>431.89043048767508</v>
      </c>
      <c r="FI95" s="62">
        <f t="shared" si="77"/>
        <v>706.90073253078685</v>
      </c>
      <c r="FJ95" s="62">
        <f ca="1">AVERAGE(OFFSET($FI$3,0,0,'Données projet'!$E$16+1,1))-AVERAGE(OFFSET($H$3,0,0,'Données projet'!$E$16+1,1))</f>
        <v>359.20464555327072</v>
      </c>
      <c r="FK95" s="62">
        <f t="shared" si="102"/>
        <v>305.54154052071863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0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0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4.9000000000000004</v>
      </c>
      <c r="N96" s="14">
        <f>IF('Données projet'!$A$36&gt;35,N95+M96-V95,IF(A96&lt;'Données projet'!$A$36,$K$205^A96,IF(A96='Données projet'!$A$36,'Données projet'!$B$36,N95+M96-V95)))</f>
        <v>268.7</v>
      </c>
      <c r="O96" s="14">
        <f>N96*VLOOKUP('Données projet'!$B$9,Paramètres!$A$1:$I$89,3,0)*VLOOKUP('Données projet'!$B$9,Paramètres!$A$1:$I$89,5,0)</f>
        <v>272.46180000000004</v>
      </c>
      <c r="P96" s="14">
        <f t="shared" si="87"/>
        <v>65.371449071921944</v>
      </c>
      <c r="Q96" s="22">
        <f t="shared" si="54"/>
        <v>588.39290880026408</v>
      </c>
      <c r="R96" s="62">
        <f t="shared" si="55"/>
        <v>863.7210744721001</v>
      </c>
      <c r="S96" s="62">
        <f ca="1">AVERAGE(OFFSET($R$3,0,0,'Données projet'!$E$9+1,1))-AVERAGE(OFFSET($H$3,0,0,'Données projet'!$E$9+1,1))</f>
        <v>516.30971934066179</v>
      </c>
      <c r="T96" s="62">
        <f t="shared" si="88"/>
        <v>290.84286505723571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4.9000000000000004</v>
      </c>
      <c r="AI96" s="14">
        <f>IF('Données projet'!$A$62&gt;35,AI95+AH96-AQ95,IF(A96&lt;'Données projet'!$A$62,$AF$205^A96,IF(A96='Données projet'!$A$62,'Données projet'!$B$62,AI95+AH96-AQ95)))</f>
        <v>268.7</v>
      </c>
      <c r="AJ96" s="14">
        <f>AI96*VLOOKUP('Données projet'!$B$10,Paramètres!$A$1:$I$89,3,0)*VLOOKUP('Données projet'!$B$10,Paramètres!$A$1:$I$89,5,0)</f>
        <v>289.22868</v>
      </c>
      <c r="AK96" s="14">
        <f t="shared" si="89"/>
        <v>68.913598231220931</v>
      </c>
      <c r="AL96" s="22">
        <f t="shared" si="58"/>
        <v>623.76446791937644</v>
      </c>
      <c r="AM96" s="62">
        <f t="shared" si="59"/>
        <v>899.09263359121246</v>
      </c>
      <c r="AN96" s="62">
        <f ca="1">AVERAGE(OFFSET($AM$3,0,0,'Données projet'!$E$10+1,1))-AVERAGE(OFFSET($H$3,0,0,'Données projet'!$E$10+1,1))</f>
        <v>542.90832990875208</v>
      </c>
      <c r="AO96" s="62">
        <f t="shared" si="90"/>
        <v>304.94365539329362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4.9000000000000004</v>
      </c>
      <c r="BD96" s="13">
        <f>IF('Données projet'!$A$88&gt;35,BD95+BC96-BL95,IF(A96&lt;'Données projet'!$A$88,$BA$205^A96,IF(A96='Données projet'!$A$88,'Données projet'!$B$88,BD95+BC96-BL95)))</f>
        <v>268.7</v>
      </c>
      <c r="BE96" s="14">
        <f>BD96*VLOOKUP('Données projet'!$B$11,Paramètres!$A$1:$I$89,3,0)*VLOOKUP('Données projet'!$B$11,Paramètres!$A$1:$I$89,5,0)</f>
        <v>259.88664</v>
      </c>
      <c r="BF96" s="14">
        <f t="shared" si="91"/>
        <v>62.698213571884004</v>
      </c>
      <c r="BG96" s="22">
        <f t="shared" si="61"/>
        <v>561.835286637698</v>
      </c>
      <c r="BH96" s="62">
        <f t="shared" si="62"/>
        <v>837.16345230953402</v>
      </c>
      <c r="BI96" s="62">
        <f ca="1">AVERAGE(OFFSET($BH$3,0,0,'Données projet'!$E$11+1,1))-AVERAGE(OFFSET($H$3,0,0,'Données projet'!$E$11+1,1))</f>
        <v>496.33873798282525</v>
      </c>
      <c r="BJ96" s="62">
        <f t="shared" si="92"/>
        <v>280.25465074992246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1.7053025658242404E-13</v>
      </c>
      <c r="BZ96" s="14">
        <f>BY96*VLOOKUP('Données projet'!$B$12,Paramètres!$A$1:$I$89,3,0)*VLOOKUP('Données projet'!$B$12,Paramètres!$A$1:$I$89,5,0)</f>
        <v>1.4897523215040567E-13</v>
      </c>
      <c r="CA96" s="14">
        <f t="shared" si="93"/>
        <v>2.136562777003313E-12</v>
      </c>
      <c r="CB96" s="22">
        <f t="shared" si="64"/>
        <v>3.9806453659427267E-12</v>
      </c>
      <c r="CC96" s="62">
        <f t="shared" si="65"/>
        <v>275.32816567183994</v>
      </c>
      <c r="CD96" s="62">
        <f ca="1">AVERAGE(OFFSET($CC$3,0,0,'Données projet'!$E$12+1,1))-AVERAGE(OFFSET($H$3,0,0,'Données projet'!$E$12+1,1))</f>
        <v>298.28891728374822</v>
      </c>
      <c r="CE96" s="62">
        <f t="shared" si="94"/>
        <v>275.07405533331371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1.1368683772161603E-13</v>
      </c>
      <c r="CU96" s="18">
        <f>CT96*VLOOKUP('Données projet'!$B$13,Paramètres!$A$1:$I$89,3,0)*VLOOKUP('Données projet'!$B$13,Paramètres!$A$1:$I$89,5,0)</f>
        <v>6.7984728957526396E-14</v>
      </c>
      <c r="CV96" s="14">
        <f t="shared" si="95"/>
        <v>1.0682447123141398E-12</v>
      </c>
      <c r="CW96" s="22">
        <f t="shared" si="67"/>
        <v>1.978932943548152E-12</v>
      </c>
      <c r="CX96" s="62">
        <f t="shared" si="68"/>
        <v>275.32816567183795</v>
      </c>
      <c r="CY96" s="62">
        <f ca="1">AVERAGE(OFFSET($CX$3,0,0,'Données projet'!$E$13+1,1))-AVERAGE(OFFSET($H$3,0,0,'Données projet'!$E$13+1,1))</f>
        <v>320.46614113586043</v>
      </c>
      <c r="CZ96" s="62">
        <f t="shared" si="96"/>
        <v>250.7806929924491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0</v>
      </c>
      <c r="DG96" s="23">
        <f>EXP(-LN(2)/25)*DG95+(1-EXP(-LN(2)/25))/(LN(2)/25)*Calculateur!DB96*Calculateur!DD96*VLOOKUP('Données projet'!$B$13,Paramètres!$A$1:$I$89,3,0)*0.475*44/12</f>
        <v>0</v>
      </c>
      <c r="DH96" s="23">
        <f>EXP(-LN(2)/2)*DH95+(1-EXP(-LN(2)/2))/(LN(2)/2)*DB96*DE96*VLOOKUP('Données projet'!$B$13,Paramètres!$A$1:$I$89,3,0)*0.475*44/12</f>
        <v>3.121187762388032E-9</v>
      </c>
      <c r="DI96" s="24">
        <f t="shared" si="69"/>
        <v>3.121187762388032E-9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15</v>
      </c>
      <c r="DO96" s="13">
        <f>IF('Données projet'!$A$166&gt;35,DO95+DN96-DW95,IF(A96&lt;'Données projet'!$A$166,$DL$205^A96,IF(A96='Données projet'!$A$166,'Données projet'!$B$166,DO95+DN96-DW95)))</f>
        <v>749.99999999999989</v>
      </c>
      <c r="DP96" s="18">
        <f>DO96*VLOOKUP('Données projet'!$B$14,Paramètres!$A$1:$I$89,3,0)*VLOOKUP('Données projet'!$B$14,Paramètres!$A$1:$I$89,5,0)</f>
        <v>350.99999999999994</v>
      </c>
      <c r="DQ96" s="14">
        <f t="shared" si="97"/>
        <v>81.768387419963787</v>
      </c>
      <c r="DR96" s="22">
        <f t="shared" si="70"/>
        <v>753.73827475643691</v>
      </c>
      <c r="DS96" s="62">
        <f t="shared" si="71"/>
        <v>1029.0664404282729</v>
      </c>
      <c r="DT96" s="62">
        <f ca="1">AVERAGE(OFFSET($DS$3,0,0,'Données projet'!$E$14+1,1))-AVERAGE(OFFSET($H$3,0,0,'Données projet'!$E$14+1,1))</f>
        <v>429.87867712133851</v>
      </c>
      <c r="DU96" s="62">
        <f t="shared" si="98"/>
        <v>182.81277865988014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0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0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3.2051282051282102</v>
      </c>
      <c r="EJ96" s="13">
        <f>IF('Données projet'!$A$192&gt;35,EJ95+EI96-ER95,IF(A96&lt;'Données projet'!$A$192,$EG$205^A96,IF(A96='Données projet'!$A$192,'Données projet'!$B$192,EJ95+EI96-ER95)))</f>
        <v>234.61538461538478</v>
      </c>
      <c r="EK96" s="18">
        <f>EJ96*VLOOKUP('Données projet'!$B$15,Paramètres!$A$1:$I$89,3,0)*VLOOKUP('Données projet'!$B$15,Paramètres!$A$1:$I$89,5,0)</f>
        <v>157.38000000000011</v>
      </c>
      <c r="EL96" s="14">
        <f t="shared" si="99"/>
        <v>40.25100044295251</v>
      </c>
      <c r="EM96" s="22">
        <f t="shared" si="73"/>
        <v>344.20732577147578</v>
      </c>
      <c r="EN96" s="62">
        <f t="shared" si="74"/>
        <v>619.53549144331168</v>
      </c>
      <c r="EO96" s="62">
        <f ca="1">AVERAGE(OFFSET($EN$3,0,0,'Données projet'!$E$15+1,1))-AVERAGE(OFFSET($H$3,0,0,'Données projet'!$E$15+1,1))</f>
        <v>296.18088377871669</v>
      </c>
      <c r="EP96" s="62">
        <f t="shared" si="100"/>
        <v>252.23833925792056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0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0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3.2051282051282102</v>
      </c>
      <c r="FE96" s="13">
        <f>IF('Données projet'!$A$218&gt;35,FE95+FD96-FM95,IF(A96&lt;'Données projet'!$A$218,$FB$205^A96,IF(A96='Données projet'!$A$218,'Données projet'!$B$218,FE95+FD96-FM95)))</f>
        <v>234.61538461538478</v>
      </c>
      <c r="FF96" s="18">
        <f>FE96*VLOOKUP('Données projet'!$B$16,Paramètres!$A$1:$I$89,3,0)*VLOOKUP('Données projet'!$B$16,Paramètres!$A$1:$I$89,5,0)</f>
        <v>201.30000000000015</v>
      </c>
      <c r="FG96" s="14">
        <f t="shared" si="101"/>
        <v>50.029760558277118</v>
      </c>
      <c r="FH96" s="22">
        <f t="shared" si="76"/>
        <v>437.73266630566621</v>
      </c>
      <c r="FI96" s="62">
        <f t="shared" si="77"/>
        <v>713.06083197750218</v>
      </c>
      <c r="FJ96" s="62">
        <f ca="1">AVERAGE(OFFSET($FI$3,0,0,'Données projet'!$E$16+1,1))-AVERAGE(OFFSET($H$3,0,0,'Données projet'!$E$16+1,1))</f>
        <v>359.20464555327072</v>
      </c>
      <c r="FK96" s="62">
        <f t="shared" si="102"/>
        <v>305.54154052071863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0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0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4.9000000000000004</v>
      </c>
      <c r="N97" s="14">
        <f>IF('Données projet'!$A$36&gt;35,N96+M97-V96,IF(A97&lt;'Données projet'!$A$36,$K$205^A97,IF(A97='Données projet'!$A$36,'Données projet'!$B$36,N96+M97-V96)))</f>
        <v>273.59999999999997</v>
      </c>
      <c r="O97" s="14">
        <f>N97*VLOOKUP('Données projet'!$B$9,Paramètres!$A$1:$I$89,3,0)*VLOOKUP('Données projet'!$B$9,Paramètres!$A$1:$I$89,5,0)</f>
        <v>277.43039999999996</v>
      </c>
      <c r="P97" s="14">
        <f t="shared" si="87"/>
        <v>66.423687500715673</v>
      </c>
      <c r="Q97" s="22">
        <f t="shared" si="54"/>
        <v>598.87920239707967</v>
      </c>
      <c r="R97" s="62">
        <f t="shared" si="55"/>
        <v>874.51971747431821</v>
      </c>
      <c r="S97" s="62">
        <f ca="1">AVERAGE(OFFSET($R$3,0,0,'Données projet'!$E$9+1,1))-AVERAGE(OFFSET($H$3,0,0,'Données projet'!$E$9+1,1))</f>
        <v>516.30971934066179</v>
      </c>
      <c r="T97" s="62">
        <f t="shared" si="88"/>
        <v>290.84286505723571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4.9000000000000004</v>
      </c>
      <c r="AI97" s="14">
        <f>IF('Données projet'!$A$62&gt;35,AI96+AH97-AQ96,IF(A97&lt;'Données projet'!$A$62,$AF$205^A97,IF(A97='Données projet'!$A$62,'Données projet'!$B$62,AI96+AH97-AQ96)))</f>
        <v>273.59999999999997</v>
      </c>
      <c r="AJ97" s="14">
        <f>AI97*VLOOKUP('Données projet'!$B$10,Paramètres!$A$1:$I$89,3,0)*VLOOKUP('Données projet'!$B$10,Paramètres!$A$1:$I$89,5,0)</f>
        <v>294.50303999999994</v>
      </c>
      <c r="AK97" s="14">
        <f t="shared" si="89"/>
        <v>70.022852154069838</v>
      </c>
      <c r="AL97" s="22">
        <f t="shared" si="58"/>
        <v>634.88259550167152</v>
      </c>
      <c r="AM97" s="62">
        <f t="shared" si="59"/>
        <v>910.52311057891006</v>
      </c>
      <c r="AN97" s="62">
        <f ca="1">AVERAGE(OFFSET($AM$3,0,0,'Données projet'!$E$10+1,1))-AVERAGE(OFFSET($H$3,0,0,'Données projet'!$E$10+1,1))</f>
        <v>542.90832990875208</v>
      </c>
      <c r="AO97" s="62">
        <f t="shared" si="90"/>
        <v>304.94365539329362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4.9000000000000004</v>
      </c>
      <c r="BD97" s="13">
        <f>IF('Données projet'!$A$88&gt;35,BD96+BC97-BL96,IF(A97&lt;'Données projet'!$A$88,$BA$205^A97,IF(A97='Données projet'!$A$88,'Données projet'!$B$88,BD96+BC97-BL96)))</f>
        <v>273.59999999999997</v>
      </c>
      <c r="BE97" s="14">
        <f>BD97*VLOOKUP('Données projet'!$B$11,Paramètres!$A$1:$I$89,3,0)*VLOOKUP('Données projet'!$B$11,Paramètres!$A$1:$I$89,5,0)</f>
        <v>264.62591999999995</v>
      </c>
      <c r="BF97" s="14">
        <f t="shared" si="91"/>
        <v>63.707422801198604</v>
      </c>
      <c r="BG97" s="22">
        <f t="shared" si="61"/>
        <v>571.84723871208746</v>
      </c>
      <c r="BH97" s="62">
        <f t="shared" si="62"/>
        <v>847.48775378932601</v>
      </c>
      <c r="BI97" s="62">
        <f ca="1">AVERAGE(OFFSET($BH$3,0,0,'Données projet'!$E$11+1,1))-AVERAGE(OFFSET($H$3,0,0,'Données projet'!$E$11+1,1))</f>
        <v>496.33873798282525</v>
      </c>
      <c r="BJ97" s="62">
        <f t="shared" si="92"/>
        <v>280.25465074992246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1.7053025658242404E-13</v>
      </c>
      <c r="BZ97" s="14">
        <f>BY97*VLOOKUP('Données projet'!$B$12,Paramètres!$A$1:$I$89,3,0)*VLOOKUP('Données projet'!$B$12,Paramètres!$A$1:$I$89,5,0)</f>
        <v>1.4897523215040567E-13</v>
      </c>
      <c r="CA97" s="14">
        <f t="shared" si="93"/>
        <v>2.136562777003313E-12</v>
      </c>
      <c r="CB97" s="22">
        <f t="shared" si="64"/>
        <v>3.9806453659427267E-12</v>
      </c>
      <c r="CC97" s="62">
        <f t="shared" si="65"/>
        <v>275.64051507724247</v>
      </c>
      <c r="CD97" s="62">
        <f ca="1">AVERAGE(OFFSET($CC$3,0,0,'Données projet'!$E$12+1,1))-AVERAGE(OFFSET($H$3,0,0,'Données projet'!$E$12+1,1))</f>
        <v>298.28891728374822</v>
      </c>
      <c r="CE97" s="62">
        <f t="shared" si="94"/>
        <v>275.07405533331371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1.1368683772161603E-13</v>
      </c>
      <c r="CU97" s="18">
        <f>CT97*VLOOKUP('Données projet'!$B$13,Paramètres!$A$1:$I$89,3,0)*VLOOKUP('Données projet'!$B$13,Paramètres!$A$1:$I$89,5,0)</f>
        <v>6.7984728957526396E-14</v>
      </c>
      <c r="CV97" s="14">
        <f t="shared" si="95"/>
        <v>1.0682447123141398E-12</v>
      </c>
      <c r="CW97" s="22">
        <f t="shared" si="67"/>
        <v>1.978932943548152E-12</v>
      </c>
      <c r="CX97" s="62">
        <f t="shared" si="68"/>
        <v>275.64051507724048</v>
      </c>
      <c r="CY97" s="62">
        <f ca="1">AVERAGE(OFFSET($CX$3,0,0,'Données projet'!$E$13+1,1))-AVERAGE(OFFSET($H$3,0,0,'Données projet'!$E$13+1,1))</f>
        <v>320.46614113586043</v>
      </c>
      <c r="CZ97" s="62">
        <f t="shared" si="96"/>
        <v>250.7806929924491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0</v>
      </c>
      <c r="DG97" s="23">
        <f>EXP(-LN(2)/25)*DG96+(1-EXP(-LN(2)/25))/(LN(2)/25)*Calculateur!DB97*Calculateur!DD97*VLOOKUP('Données projet'!$B$13,Paramètres!$A$1:$I$89,3,0)*0.475*44/12</f>
        <v>0</v>
      </c>
      <c r="DH97" s="23">
        <f>EXP(-LN(2)/2)*DH96+(1-EXP(-LN(2)/2))/(LN(2)/2)*DB97*DE97*VLOOKUP('Données projet'!$B$13,Paramètres!$A$1:$I$89,3,0)*0.475*44/12</f>
        <v>2.207013032141044E-9</v>
      </c>
      <c r="DI97" s="24">
        <f t="shared" si="69"/>
        <v>2.207013032141044E-9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15</v>
      </c>
      <c r="DO97" s="13">
        <f>IF('Données projet'!$A$166&gt;35,DO96+DN97-DW96,IF(A97&lt;'Données projet'!$A$166,$DL$205^A97,IF(A97='Données projet'!$A$166,'Données projet'!$B$166,DO96+DN97-DW96)))</f>
        <v>764.99999999999989</v>
      </c>
      <c r="DP97" s="18">
        <f>DO97*VLOOKUP('Données projet'!$B$14,Paramètres!$A$1:$I$89,3,0)*VLOOKUP('Données projet'!$B$14,Paramètres!$A$1:$I$89,5,0)</f>
        <v>358.02</v>
      </c>
      <c r="DQ97" s="14">
        <f t="shared" si="97"/>
        <v>83.211728757381735</v>
      </c>
      <c r="DR97" s="22">
        <f t="shared" si="70"/>
        <v>768.47859425243985</v>
      </c>
      <c r="DS97" s="62">
        <f t="shared" si="71"/>
        <v>1044.1191093296784</v>
      </c>
      <c r="DT97" s="62">
        <f ca="1">AVERAGE(OFFSET($DS$3,0,0,'Données projet'!$E$14+1,1))-AVERAGE(OFFSET($H$3,0,0,'Données projet'!$E$14+1,1))</f>
        <v>429.87867712133851</v>
      </c>
      <c r="DU97" s="62">
        <f t="shared" si="98"/>
        <v>182.81277865988014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0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0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3.2051282051282102</v>
      </c>
      <c r="EJ97" s="13">
        <f>IF('Données projet'!$A$192&gt;35,EJ96+EI97-ER96,IF(A97&lt;'Données projet'!$A$192,$EG$205^A97,IF(A97='Données projet'!$A$192,'Données projet'!$B$192,EJ96+EI97-ER96)))</f>
        <v>237.82051282051299</v>
      </c>
      <c r="EK97" s="18">
        <f>EJ97*VLOOKUP('Données projet'!$B$15,Paramètres!$A$1:$I$89,3,0)*VLOOKUP('Données projet'!$B$15,Paramètres!$A$1:$I$89,5,0)</f>
        <v>159.53000000000011</v>
      </c>
      <c r="EL97" s="14">
        <f t="shared" si="99"/>
        <v>40.736487451224015</v>
      </c>
      <c r="EM97" s="22">
        <f t="shared" si="73"/>
        <v>348.79746564421538</v>
      </c>
      <c r="EN97" s="62">
        <f t="shared" si="74"/>
        <v>624.43798072145387</v>
      </c>
      <c r="EO97" s="62">
        <f ca="1">AVERAGE(OFFSET($EN$3,0,0,'Données projet'!$E$15+1,1))-AVERAGE(OFFSET($H$3,0,0,'Données projet'!$E$15+1,1))</f>
        <v>296.18088377871669</v>
      </c>
      <c r="EP97" s="62">
        <f t="shared" si="100"/>
        <v>252.23833925792056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0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0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3.2051282051282102</v>
      </c>
      <c r="FE97" s="13">
        <f>IF('Données projet'!$A$218&gt;35,FE96+FD97-FM96,IF(A97&lt;'Données projet'!$A$218,$FB$205^A97,IF(A97='Données projet'!$A$218,'Données projet'!$B$218,FE96+FD97-FM96)))</f>
        <v>237.82051282051299</v>
      </c>
      <c r="FF97" s="18">
        <f>FE97*VLOOKUP('Données projet'!$B$16,Paramètres!$A$1:$I$89,3,0)*VLOOKUP('Données projet'!$B$16,Paramètres!$A$1:$I$89,5,0)</f>
        <v>204.05000000000018</v>
      </c>
      <c r="FG97" s="14">
        <f t="shared" si="101"/>
        <v>50.633193976345922</v>
      </c>
      <c r="FH97" s="22">
        <f t="shared" si="76"/>
        <v>443.5732295088028</v>
      </c>
      <c r="FI97" s="62">
        <f t="shared" si="77"/>
        <v>719.21374458604123</v>
      </c>
      <c r="FJ97" s="62">
        <f ca="1">AVERAGE(OFFSET($FI$3,0,0,'Données projet'!$E$16+1,1))-AVERAGE(OFFSET($H$3,0,0,'Données projet'!$E$16+1,1))</f>
        <v>359.20464555327072</v>
      </c>
      <c r="FK97" s="62">
        <f t="shared" si="102"/>
        <v>305.54154052071863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0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0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4.9000000000000004</v>
      </c>
      <c r="N98" s="14">
        <f>IF('Données projet'!$A$36&gt;35,N97+M98-V97,IF(A98&lt;'Données projet'!$A$36,$K$205^A98,IF(A98='Données projet'!$A$36,'Données projet'!$B$36,N97+M98-V97)))</f>
        <v>278.49999999999994</v>
      </c>
      <c r="O98" s="14">
        <f>N98*VLOOKUP('Données projet'!$B$9,Paramètres!$A$1:$I$89,3,0)*VLOOKUP('Données projet'!$B$9,Paramètres!$A$1:$I$89,5,0)</f>
        <v>282.399</v>
      </c>
      <c r="P98" s="14">
        <f t="shared" si="87"/>
        <v>67.473734542548371</v>
      </c>
      <c r="Q98" s="22">
        <f t="shared" si="54"/>
        <v>609.36167932827175</v>
      </c>
      <c r="R98" s="62">
        <f t="shared" si="55"/>
        <v>885.30912524703763</v>
      </c>
      <c r="S98" s="62">
        <f ca="1">AVERAGE(OFFSET($R$3,0,0,'Données projet'!$E$9+1,1))-AVERAGE(OFFSET($H$3,0,0,'Données projet'!$E$9+1,1))</f>
        <v>516.30971934066179</v>
      </c>
      <c r="T98" s="62">
        <f t="shared" si="88"/>
        <v>290.84286505723571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4.9000000000000004</v>
      </c>
      <c r="AI98" s="14">
        <f>IF('Données projet'!$A$62&gt;35,AI97+AH98-AQ97,IF(A98&lt;'Données projet'!$A$62,$AF$205^A98,IF(A98='Données projet'!$A$62,'Données projet'!$B$62,AI97+AH98-AQ97)))</f>
        <v>278.49999999999994</v>
      </c>
      <c r="AJ98" s="14">
        <f>AI98*VLOOKUP('Données projet'!$B$10,Paramètres!$A$1:$I$89,3,0)*VLOOKUP('Données projet'!$B$10,Paramètres!$A$1:$I$89,5,0)</f>
        <v>299.77739999999989</v>
      </c>
      <c r="AK98" s="14">
        <f t="shared" si="89"/>
        <v>71.129795949749251</v>
      </c>
      <c r="AL98" s="22">
        <f t="shared" si="58"/>
        <v>645.9966996124798</v>
      </c>
      <c r="AM98" s="62">
        <f t="shared" si="59"/>
        <v>921.94414553124579</v>
      </c>
      <c r="AN98" s="62">
        <f ca="1">AVERAGE(OFFSET($AM$3,0,0,'Données projet'!$E$10+1,1))-AVERAGE(OFFSET($H$3,0,0,'Données projet'!$E$10+1,1))</f>
        <v>542.90832990875208</v>
      </c>
      <c r="AO98" s="62">
        <f t="shared" si="90"/>
        <v>304.94365539329362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4.9000000000000004</v>
      </c>
      <c r="BD98" s="13">
        <f>IF('Données projet'!$A$88&gt;35,BD97+BC98-BL97,IF(A98&lt;'Données projet'!$A$88,$BA$205^A98,IF(A98='Données projet'!$A$88,'Données projet'!$B$88,BD97+BC98-BL97)))</f>
        <v>278.49999999999994</v>
      </c>
      <c r="BE98" s="14">
        <f>BD98*VLOOKUP('Données projet'!$B$11,Paramètres!$A$1:$I$89,3,0)*VLOOKUP('Données projet'!$B$11,Paramètres!$A$1:$I$89,5,0)</f>
        <v>269.36519999999996</v>
      </c>
      <c r="BF98" s="14">
        <f t="shared" si="91"/>
        <v>64.714530255967034</v>
      </c>
      <c r="BG98" s="22">
        <f t="shared" si="61"/>
        <v>581.85553019580914</v>
      </c>
      <c r="BH98" s="62">
        <f t="shared" si="62"/>
        <v>857.80297611457513</v>
      </c>
      <c r="BI98" s="62">
        <f ca="1">AVERAGE(OFFSET($BH$3,0,0,'Données projet'!$E$11+1,1))-AVERAGE(OFFSET($H$3,0,0,'Données projet'!$E$11+1,1))</f>
        <v>496.33873798282525</v>
      </c>
      <c r="BJ98" s="62">
        <f t="shared" si="92"/>
        <v>280.25465074992246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1.7053025658242404E-13</v>
      </c>
      <c r="BZ98" s="14">
        <f>BY98*VLOOKUP('Données projet'!$B$12,Paramètres!$A$1:$I$89,3,0)*VLOOKUP('Données projet'!$B$12,Paramètres!$A$1:$I$89,5,0)</f>
        <v>1.4897523215040567E-13</v>
      </c>
      <c r="CA98" s="14">
        <f t="shared" si="93"/>
        <v>2.136562777003313E-12</v>
      </c>
      <c r="CB98" s="22">
        <f t="shared" si="64"/>
        <v>3.9806453659427267E-12</v>
      </c>
      <c r="CC98" s="62">
        <f t="shared" si="65"/>
        <v>275.94744591876992</v>
      </c>
      <c r="CD98" s="62">
        <f ca="1">AVERAGE(OFFSET($CC$3,0,0,'Données projet'!$E$12+1,1))-AVERAGE(OFFSET($H$3,0,0,'Données projet'!$E$12+1,1))</f>
        <v>298.28891728374822</v>
      </c>
      <c r="CE98" s="62">
        <f t="shared" si="94"/>
        <v>275.07405533331371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1.1368683772161603E-13</v>
      </c>
      <c r="CU98" s="18">
        <f>CT98*VLOOKUP('Données projet'!$B$13,Paramètres!$A$1:$I$89,3,0)*VLOOKUP('Données projet'!$B$13,Paramètres!$A$1:$I$89,5,0)</f>
        <v>6.7984728957526396E-14</v>
      </c>
      <c r="CV98" s="14">
        <f t="shared" si="95"/>
        <v>1.0682447123141398E-12</v>
      </c>
      <c r="CW98" s="22">
        <f t="shared" si="67"/>
        <v>1.978932943548152E-12</v>
      </c>
      <c r="CX98" s="62">
        <f t="shared" si="68"/>
        <v>275.94744591876793</v>
      </c>
      <c r="CY98" s="62">
        <f ca="1">AVERAGE(OFFSET($CX$3,0,0,'Données projet'!$E$13+1,1))-AVERAGE(OFFSET($H$3,0,0,'Données projet'!$E$13+1,1))</f>
        <v>320.46614113586043</v>
      </c>
      <c r="CZ98" s="62">
        <f t="shared" si="96"/>
        <v>250.7806929924491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0</v>
      </c>
      <c r="DG98" s="23">
        <f>EXP(-LN(2)/25)*DG97+(1-EXP(-LN(2)/25))/(LN(2)/25)*Calculateur!DB98*Calculateur!DD98*VLOOKUP('Données projet'!$B$13,Paramètres!$A$1:$I$89,3,0)*0.475*44/12</f>
        <v>0</v>
      </c>
      <c r="DH98" s="23">
        <f>EXP(-LN(2)/2)*DH97+(1-EXP(-LN(2)/2))/(LN(2)/2)*DB98*DE98*VLOOKUP('Données projet'!$B$13,Paramètres!$A$1:$I$89,3,0)*0.475*44/12</f>
        <v>1.560593881194016E-9</v>
      </c>
      <c r="DI98" s="24">
        <f t="shared" si="69"/>
        <v>1.560593881194016E-9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15</v>
      </c>
      <c r="DO98" s="13">
        <f>IF('Données projet'!$A$166&gt;35,DO97+DN98-DW97,IF(A98&lt;'Données projet'!$A$166,$DL$205^A98,IF(A98='Données projet'!$A$166,'Données projet'!$B$166,DO97+DN98-DW97)))</f>
        <v>779.99999999999989</v>
      </c>
      <c r="DP98" s="18">
        <f>DO98*VLOOKUP('Données projet'!$B$14,Paramètres!$A$1:$I$89,3,0)*VLOOKUP('Données projet'!$B$14,Paramètres!$A$1:$I$89,5,0)</f>
        <v>365.03999999999996</v>
      </c>
      <c r="DQ98" s="14">
        <f t="shared" si="97"/>
        <v>84.651779413976413</v>
      </c>
      <c r="DR98" s="22">
        <f t="shared" si="70"/>
        <v>783.21318247934221</v>
      </c>
      <c r="DS98" s="62">
        <f t="shared" si="71"/>
        <v>1059.1606283981082</v>
      </c>
      <c r="DT98" s="62">
        <f ca="1">AVERAGE(OFFSET($DS$3,0,0,'Données projet'!$E$14+1,1))-AVERAGE(OFFSET($H$3,0,0,'Données projet'!$E$14+1,1))</f>
        <v>429.87867712133851</v>
      </c>
      <c r="DU98" s="62">
        <f t="shared" si="98"/>
        <v>182.81277865988014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0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0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>
        <f>VLOOKUP(A98,'Données projet'!$A$191:$I$211,2,0)</f>
        <v>241.02564102564102</v>
      </c>
      <c r="EH98" s="13">
        <f>VLOOKUP(A98,'Données projet'!$A$191:$I$211,9,0)</f>
        <v>3.2051282051282102</v>
      </c>
      <c r="EI98" s="13">
        <f t="array" ref="EI98">INDEX(EH:EH,MIN(IF(ISNUMBER(EH98:EH294),ROW(EH98:EH294),"")))</f>
        <v>3.2051282051282102</v>
      </c>
      <c r="EJ98" s="13">
        <f>IF('Données projet'!$A$192&gt;35,EJ97+EI98-ER97,IF(A98&lt;'Données projet'!$A$192,$EG$205^A98,IF(A98='Données projet'!$A$192,'Données projet'!$B$192,EJ97+EI98-ER97)))</f>
        <v>241.02564102564119</v>
      </c>
      <c r="EK98" s="18">
        <f>EJ98*VLOOKUP('Données projet'!$B$15,Paramètres!$A$1:$I$89,3,0)*VLOOKUP('Données projet'!$B$15,Paramètres!$A$1:$I$89,5,0)</f>
        <v>161.68000000000012</v>
      </c>
      <c r="EL98" s="14">
        <f t="shared" si="99"/>
        <v>41.221213432630442</v>
      </c>
      <c r="EM98" s="22">
        <f t="shared" si="73"/>
        <v>353.38628006183154</v>
      </c>
      <c r="EN98" s="62">
        <f t="shared" si="74"/>
        <v>629.33372598059748</v>
      </c>
      <c r="EO98" s="62">
        <f ca="1">AVERAGE(OFFSET($EN$3,0,0,'Données projet'!$E$15+1,1))-AVERAGE(OFFSET($H$3,0,0,'Données projet'!$E$15+1,1))</f>
        <v>296.18088377871669</v>
      </c>
      <c r="EP98" s="62">
        <f t="shared" si="100"/>
        <v>252.23833925792056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0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0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>
        <f>VLOOKUP(A98,'Données projet'!$A$217:$I$237,2,0)</f>
        <v>241.02564102564102</v>
      </c>
      <c r="FC98" s="13">
        <f>VLOOKUP(A98,'Données projet'!$A$217:$I$237,9,0)</f>
        <v>3.2051282051282102</v>
      </c>
      <c r="FD98" s="13">
        <f t="array" ref="FD98">INDEX(FC:FC,MIN(IF(ISNUMBER(FC98:FC294),ROW(FC98:FC294),"")))</f>
        <v>3.2051282051282102</v>
      </c>
      <c r="FE98" s="13">
        <f>IF('Données projet'!$A$218&gt;35,FE97+FD98-FM97,IF(A98&lt;'Données projet'!$A$218,$FB$205^A98,IF(A98='Données projet'!$A$218,'Données projet'!$B$218,FE97+FD98-FM97)))</f>
        <v>241.02564102564119</v>
      </c>
      <c r="FF98" s="18">
        <f>FE98*VLOOKUP('Données projet'!$B$16,Paramètres!$A$1:$I$89,3,0)*VLOOKUP('Données projet'!$B$16,Paramètres!$A$1:$I$89,5,0)</f>
        <v>206.80000000000015</v>
      </c>
      <c r="FG98" s="14">
        <f t="shared" si="101"/>
        <v>51.235681480240629</v>
      </c>
      <c r="FH98" s="22">
        <f t="shared" si="76"/>
        <v>449.41214524475271</v>
      </c>
      <c r="FI98" s="62">
        <f t="shared" si="77"/>
        <v>725.35959116351864</v>
      </c>
      <c r="FJ98" s="62">
        <f ca="1">AVERAGE(OFFSET($FI$3,0,0,'Données projet'!$E$16+1,1))-AVERAGE(OFFSET($H$3,0,0,'Données projet'!$E$16+1,1))</f>
        <v>359.20464555327072</v>
      </c>
      <c r="FK98" s="62">
        <f t="shared" si="102"/>
        <v>305.54154052071863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0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0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4.9000000000000004</v>
      </c>
      <c r="N99" s="14">
        <f>IF('Données projet'!$A$36&gt;35,N98+M99-V98,IF(A99&lt;'Données projet'!$A$36,$K$205^A99,IF(A99='Données projet'!$A$36,'Données projet'!$B$36,N98+M99-V98)))</f>
        <v>283.39999999999992</v>
      </c>
      <c r="O99" s="14">
        <f>N99*VLOOKUP('Données projet'!$B$9,Paramètres!$A$1:$I$89,3,0)*VLOOKUP('Données projet'!$B$9,Paramètres!$A$1:$I$89,5,0)</f>
        <v>287.36759999999992</v>
      </c>
      <c r="P99" s="14">
        <f t="shared" si="87"/>
        <v>68.521633201565123</v>
      </c>
      <c r="Q99" s="22">
        <f t="shared" ref="Q99:Q130" si="107">(O99+P99)*0.475*44/12</f>
        <v>619.84041449272581</v>
      </c>
      <c r="R99" s="62">
        <f t="shared" si="55"/>
        <v>896.08946668911324</v>
      </c>
      <c r="S99" s="62">
        <f ca="1">AVERAGE(OFFSET($R$3,0,0,'Données projet'!$E$9+1,1))-AVERAGE(OFFSET($H$3,0,0,'Données projet'!$E$9+1,1))</f>
        <v>516.30971934066179</v>
      </c>
      <c r="T99" s="62">
        <f t="shared" si="88"/>
        <v>290.84286505723571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4.9000000000000004</v>
      </c>
      <c r="AI99" s="14">
        <f>IF('Données projet'!$A$62&gt;35,AI98+AH99-AQ98,IF(A99&lt;'Données projet'!$A$62,$AF$205^A99,IF(A99='Données projet'!$A$62,'Données projet'!$B$62,AI98+AH99-AQ98)))</f>
        <v>283.39999999999992</v>
      </c>
      <c r="AJ99" s="14">
        <f>AI99*VLOOKUP('Données projet'!$B$10,Paramètres!$A$1:$I$89,3,0)*VLOOKUP('Données projet'!$B$10,Paramètres!$A$1:$I$89,5,0)</f>
        <v>305.05175999999989</v>
      </c>
      <c r="AK99" s="14">
        <f t="shared" si="89"/>
        <v>72.23447495258219</v>
      </c>
      <c r="AL99" s="22">
        <f t="shared" si="58"/>
        <v>657.10685920908043</v>
      </c>
      <c r="AM99" s="62">
        <f t="shared" si="59"/>
        <v>933.35591140546785</v>
      </c>
      <c r="AN99" s="62">
        <f ca="1">AVERAGE(OFFSET($AM$3,0,0,'Données projet'!$E$10+1,1))-AVERAGE(OFFSET($H$3,0,0,'Données projet'!$E$10+1,1))</f>
        <v>542.90832990875208</v>
      </c>
      <c r="AO99" s="62">
        <f t="shared" si="90"/>
        <v>304.94365539329362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4.9000000000000004</v>
      </c>
      <c r="BD99" s="13">
        <f>IF('Données projet'!$A$88&gt;35,BD98+BC99-BL98,IF(A99&lt;'Données projet'!$A$88,$BA$205^A99,IF(A99='Données projet'!$A$88,'Données projet'!$B$88,BD98+BC99-BL98)))</f>
        <v>283.39999999999992</v>
      </c>
      <c r="BE99" s="14">
        <f>BD99*VLOOKUP('Données projet'!$B$11,Paramètres!$A$1:$I$89,3,0)*VLOOKUP('Données projet'!$B$11,Paramètres!$A$1:$I$89,5,0)</f>
        <v>274.10447999999991</v>
      </c>
      <c r="BF99" s="14">
        <f t="shared" si="91"/>
        <v>65.719577181765516</v>
      </c>
      <c r="BG99" s="22">
        <f t="shared" si="61"/>
        <v>591.86023292490802</v>
      </c>
      <c r="BH99" s="62">
        <f t="shared" si="62"/>
        <v>868.10928512129544</v>
      </c>
      <c r="BI99" s="62">
        <f ca="1">AVERAGE(OFFSET($BH$3,0,0,'Données projet'!$E$11+1,1))-AVERAGE(OFFSET($H$3,0,0,'Données projet'!$E$11+1,1))</f>
        <v>496.33873798282525</v>
      </c>
      <c r="BJ99" s="62">
        <f t="shared" si="92"/>
        <v>280.25465074992246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1.7053025658242404E-13</v>
      </c>
      <c r="BZ99" s="14">
        <f>BY99*VLOOKUP('Données projet'!$B$12,Paramètres!$A$1:$I$89,3,0)*VLOOKUP('Données projet'!$B$12,Paramètres!$A$1:$I$89,5,0)</f>
        <v>1.4897523215040567E-13</v>
      </c>
      <c r="CA99" s="14">
        <f t="shared" si="93"/>
        <v>2.136562777003313E-12</v>
      </c>
      <c r="CB99" s="22">
        <f t="shared" si="64"/>
        <v>3.9806453659427267E-12</v>
      </c>
      <c r="CC99" s="62">
        <f t="shared" si="65"/>
        <v>276.2490521963914</v>
      </c>
      <c r="CD99" s="62">
        <f ca="1">AVERAGE(OFFSET($CC$3,0,0,'Données projet'!$E$12+1,1))-AVERAGE(OFFSET($H$3,0,0,'Données projet'!$E$12+1,1))</f>
        <v>298.28891728374822</v>
      </c>
      <c r="CE99" s="62">
        <f t="shared" si="94"/>
        <v>275.07405533331371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1.1368683772161603E-13</v>
      </c>
      <c r="CU99" s="18">
        <f>CT99*VLOOKUP('Données projet'!$B$13,Paramètres!$A$1:$I$89,3,0)*VLOOKUP('Données projet'!$B$13,Paramètres!$A$1:$I$89,5,0)</f>
        <v>6.7984728957526396E-14</v>
      </c>
      <c r="CV99" s="14">
        <f t="shared" si="95"/>
        <v>1.0682447123141398E-12</v>
      </c>
      <c r="CW99" s="22">
        <f t="shared" si="67"/>
        <v>1.978932943548152E-12</v>
      </c>
      <c r="CX99" s="62">
        <f t="shared" si="68"/>
        <v>276.24905219638941</v>
      </c>
      <c r="CY99" s="62">
        <f ca="1">AVERAGE(OFFSET($CX$3,0,0,'Données projet'!$E$13+1,1))-AVERAGE(OFFSET($H$3,0,0,'Données projet'!$E$13+1,1))</f>
        <v>320.46614113586043</v>
      </c>
      <c r="CZ99" s="62">
        <f t="shared" si="96"/>
        <v>250.7806929924491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0</v>
      </c>
      <c r="DG99" s="23">
        <f>EXP(-LN(2)/25)*DG98+(1-EXP(-LN(2)/25))/(LN(2)/25)*Calculateur!DB99*Calculateur!DD99*VLOOKUP('Données projet'!$B$13,Paramètres!$A$1:$I$89,3,0)*0.475*44/12</f>
        <v>0</v>
      </c>
      <c r="DH99" s="23">
        <f>EXP(-LN(2)/2)*DH98+(1-EXP(-LN(2)/2))/(LN(2)/2)*DB99*DE99*VLOOKUP('Données projet'!$B$13,Paramètres!$A$1:$I$89,3,0)*0.475*44/12</f>
        <v>1.103506516070522E-9</v>
      </c>
      <c r="DI99" s="24">
        <f t="shared" si="69"/>
        <v>1.103506516070522E-9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15</v>
      </c>
      <c r="DO99" s="13">
        <f>IF('Données projet'!$A$166&gt;35,DO98+DN99-DW98,IF(A99&lt;'Données projet'!$A$166,$DL$205^A99,IF(A99='Données projet'!$A$166,'Données projet'!$B$166,DO98+DN99-DW98)))</f>
        <v>794.99999999999989</v>
      </c>
      <c r="DP99" s="18">
        <f>DO99*VLOOKUP('Données projet'!$B$14,Paramètres!$A$1:$I$89,3,0)*VLOOKUP('Données projet'!$B$14,Paramètres!$A$1:$I$89,5,0)</f>
        <v>372.05999999999995</v>
      </c>
      <c r="DQ99" s="14">
        <f t="shared" si="97"/>
        <v>86.08860996789744</v>
      </c>
      <c r="DR99" s="22">
        <f t="shared" si="70"/>
        <v>797.94216236075465</v>
      </c>
      <c r="DS99" s="62">
        <f t="shared" si="71"/>
        <v>1074.1912145571421</v>
      </c>
      <c r="DT99" s="62">
        <f ca="1">AVERAGE(OFFSET($DS$3,0,0,'Données projet'!$E$14+1,1))-AVERAGE(OFFSET($H$3,0,0,'Données projet'!$E$14+1,1))</f>
        <v>429.87867712133851</v>
      </c>
      <c r="DU99" s="62">
        <f t="shared" si="98"/>
        <v>182.81277865988014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0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0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3.0769230769230775</v>
      </c>
      <c r="EJ99" s="13">
        <f>IF('Données projet'!$A$192&gt;35,EJ98+EI99-ER98,IF(A99&lt;'Données projet'!$A$192,$EG$205^A99,IF(A99='Données projet'!$A$192,'Données projet'!$B$192,EJ98+EI99-ER98)))</f>
        <v>244.10256410256426</v>
      </c>
      <c r="EK99" s="18">
        <f>EJ99*VLOOKUP('Données projet'!$B$15,Paramètres!$A$1:$I$89,3,0)*VLOOKUP('Données projet'!$B$15,Paramètres!$A$1:$I$89,5,0)</f>
        <v>163.74400000000011</v>
      </c>
      <c r="EL99" s="14">
        <f t="shared" si="99"/>
        <v>41.685844883594605</v>
      </c>
      <c r="EM99" s="22">
        <f t="shared" si="73"/>
        <v>357.79031317226077</v>
      </c>
      <c r="EN99" s="62">
        <f t="shared" si="74"/>
        <v>634.03936536864819</v>
      </c>
      <c r="EO99" s="62">
        <f ca="1">AVERAGE(OFFSET($EN$3,0,0,'Données projet'!$E$15+1,1))-AVERAGE(OFFSET($H$3,0,0,'Données projet'!$E$15+1,1))</f>
        <v>296.18088377871669</v>
      </c>
      <c r="EP99" s="62">
        <f t="shared" si="100"/>
        <v>252.23833925792056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0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0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3.0769230769230775</v>
      </c>
      <c r="FE99" s="13">
        <f>IF('Données projet'!$A$218&gt;35,FE98+FD99-FM98,IF(A99&lt;'Données projet'!$A$218,$FB$205^A99,IF(A99='Données projet'!$A$218,'Données projet'!$B$218,FE98+FD99-FM98)))</f>
        <v>244.10256410256426</v>
      </c>
      <c r="FF99" s="18">
        <f>FE99*VLOOKUP('Données projet'!$B$16,Paramètres!$A$1:$I$89,3,0)*VLOOKUP('Données projet'!$B$16,Paramètres!$A$1:$I$89,5,0)</f>
        <v>209.44000000000017</v>
      </c>
      <c r="FG99" s="14">
        <f t="shared" si="101"/>
        <v>51.813192597573718</v>
      </c>
      <c r="FH99" s="22">
        <f t="shared" si="76"/>
        <v>455.01597710744119</v>
      </c>
      <c r="FI99" s="62">
        <f t="shared" si="77"/>
        <v>731.26502930382867</v>
      </c>
      <c r="FJ99" s="62">
        <f ca="1">AVERAGE(OFFSET($FI$3,0,0,'Données projet'!$E$16+1,1))-AVERAGE(OFFSET($H$3,0,0,'Données projet'!$E$16+1,1))</f>
        <v>359.20464555327072</v>
      </c>
      <c r="FK99" s="62">
        <f t="shared" si="102"/>
        <v>305.54154052071863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0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0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4.9000000000000004</v>
      </c>
      <c r="N100" s="14">
        <f>IF('Données projet'!$A$36&gt;35,N99+M100-V99,IF(A100&lt;'Données projet'!$A$36,$K$205^A100,IF(A100='Données projet'!$A$36,'Données projet'!$B$36,N99+M100-V99)))</f>
        <v>288.2999999999999</v>
      </c>
      <c r="O100" s="14">
        <f>N100*VLOOKUP('Données projet'!$B$9,Paramètres!$A$1:$I$89,3,0)*VLOOKUP('Données projet'!$B$9,Paramètres!$A$1:$I$89,5,0)</f>
        <v>292.33619999999996</v>
      </c>
      <c r="P100" s="14">
        <f t="shared" si="87"/>
        <v>69.56742490962327</v>
      </c>
      <c r="Q100" s="22">
        <f t="shared" si="107"/>
        <v>630.31548005092702</v>
      </c>
      <c r="R100" s="62">
        <f t="shared" si="55"/>
        <v>906.86090633030983</v>
      </c>
      <c r="S100" s="62">
        <f ca="1">AVERAGE(OFFSET($R$3,0,0,'Données projet'!$E$9+1,1))-AVERAGE(OFFSET($H$3,0,0,'Données projet'!$E$9+1,1))</f>
        <v>516.30971934066179</v>
      </c>
      <c r="T100" s="62">
        <f t="shared" si="88"/>
        <v>290.84286505723571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4.9000000000000004</v>
      </c>
      <c r="AI100" s="14">
        <f>IF('Données projet'!$A$62&gt;35,AI99+AH100-AQ99,IF(A100&lt;'Données projet'!$A$62,$AF$205^A100,IF(A100='Données projet'!$A$62,'Données projet'!$B$62,AI99+AH100-AQ99)))</f>
        <v>288.2999999999999</v>
      </c>
      <c r="AJ100" s="14">
        <f>AI100*VLOOKUP('Données projet'!$B$10,Paramètres!$A$1:$I$89,3,0)*VLOOKUP('Données projet'!$B$10,Paramètres!$A$1:$I$89,5,0)</f>
        <v>310.32611999999989</v>
      </c>
      <c r="AK100" s="14">
        <f t="shared" si="89"/>
        <v>73.336932839409357</v>
      </c>
      <c r="AL100" s="22">
        <f t="shared" si="58"/>
        <v>668.21315036197109</v>
      </c>
      <c r="AM100" s="62">
        <f t="shared" si="59"/>
        <v>944.7585766413539</v>
      </c>
      <c r="AN100" s="62">
        <f ca="1">AVERAGE(OFFSET($AM$3,0,0,'Données projet'!$E$10+1,1))-AVERAGE(OFFSET($H$3,0,0,'Données projet'!$E$10+1,1))</f>
        <v>542.90832990875208</v>
      </c>
      <c r="AO100" s="62">
        <f t="shared" si="90"/>
        <v>304.94365539329362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4.9000000000000004</v>
      </c>
      <c r="BD100" s="13">
        <f>IF('Données projet'!$A$88&gt;35,BD99+BC100-BL99,IF(A100&lt;'Données projet'!$A$88,$BA$205^A100,IF(A100='Données projet'!$A$88,'Données projet'!$B$88,BD99+BC100-BL99)))</f>
        <v>288.2999999999999</v>
      </c>
      <c r="BE100" s="14">
        <f>BD100*VLOOKUP('Données projet'!$B$11,Paramètres!$A$1:$I$89,3,0)*VLOOKUP('Données projet'!$B$11,Paramètres!$A$1:$I$89,5,0)</f>
        <v>278.84375999999992</v>
      </c>
      <c r="BF100" s="14">
        <f t="shared" si="91"/>
        <v>66.722603316177725</v>
      </c>
      <c r="BG100" s="22">
        <f t="shared" si="61"/>
        <v>601.86141610900938</v>
      </c>
      <c r="BH100" s="62">
        <f t="shared" si="62"/>
        <v>878.40684238839219</v>
      </c>
      <c r="BI100" s="62">
        <f ca="1">AVERAGE(OFFSET($BH$3,0,0,'Données projet'!$E$11+1,1))-AVERAGE(OFFSET($H$3,0,0,'Données projet'!$E$11+1,1))</f>
        <v>496.33873798282525</v>
      </c>
      <c r="BJ100" s="62">
        <f t="shared" si="92"/>
        <v>280.25465074992246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1.7053025658242404E-13</v>
      </c>
      <c r="BZ100" s="14">
        <f>BY100*VLOOKUP('Données projet'!$B$12,Paramètres!$A$1:$I$89,3,0)*VLOOKUP('Données projet'!$B$12,Paramètres!$A$1:$I$89,5,0)</f>
        <v>1.4897523215040567E-13</v>
      </c>
      <c r="CA100" s="14">
        <f t="shared" si="93"/>
        <v>2.136562777003313E-12</v>
      </c>
      <c r="CB100" s="22">
        <f t="shared" si="64"/>
        <v>3.9806453659427267E-12</v>
      </c>
      <c r="CC100" s="62">
        <f t="shared" si="65"/>
        <v>276.54542627938679</v>
      </c>
      <c r="CD100" s="62">
        <f ca="1">AVERAGE(OFFSET($CC$3,0,0,'Données projet'!$E$12+1,1))-AVERAGE(OFFSET($H$3,0,0,'Données projet'!$E$12+1,1))</f>
        <v>298.28891728374822</v>
      </c>
      <c r="CE100" s="62">
        <f t="shared" si="94"/>
        <v>275.07405533331371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1.1368683772161603E-13</v>
      </c>
      <c r="CU100" s="18">
        <f>CT100*VLOOKUP('Données projet'!$B$13,Paramètres!$A$1:$I$89,3,0)*VLOOKUP('Données projet'!$B$13,Paramètres!$A$1:$I$89,5,0)</f>
        <v>6.7984728957526396E-14</v>
      </c>
      <c r="CV100" s="14">
        <f t="shared" si="95"/>
        <v>1.0682447123141398E-12</v>
      </c>
      <c r="CW100" s="22">
        <f t="shared" si="67"/>
        <v>1.978932943548152E-12</v>
      </c>
      <c r="CX100" s="62">
        <f t="shared" si="68"/>
        <v>276.5454262793848</v>
      </c>
      <c r="CY100" s="62">
        <f ca="1">AVERAGE(OFFSET($CX$3,0,0,'Données projet'!$E$13+1,1))-AVERAGE(OFFSET($H$3,0,0,'Données projet'!$E$13+1,1))</f>
        <v>320.46614113586043</v>
      </c>
      <c r="CZ100" s="62">
        <f t="shared" si="96"/>
        <v>250.7806929924491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0</v>
      </c>
      <c r="DG100" s="23">
        <f>EXP(-LN(2)/25)*DG99+(1-EXP(-LN(2)/25))/(LN(2)/25)*Calculateur!DB100*Calculateur!DD100*VLOOKUP('Données projet'!$B$13,Paramètres!$A$1:$I$89,3,0)*0.475*44/12</f>
        <v>0</v>
      </c>
      <c r="DH100" s="23">
        <f>EXP(-LN(2)/2)*DH99+(1-EXP(-LN(2)/2))/(LN(2)/2)*DB100*DE100*VLOOKUP('Données projet'!$B$13,Paramètres!$A$1:$I$89,3,0)*0.475*44/12</f>
        <v>7.8029694059700799E-10</v>
      </c>
      <c r="DI100" s="24">
        <f t="shared" si="69"/>
        <v>7.8029694059700799E-10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15</v>
      </c>
      <c r="DO100" s="13">
        <f>IF('Données projet'!$A$166&gt;35,DO99+DN100-DW99,IF(A100&lt;'Données projet'!$A$166,$DL$205^A100,IF(A100='Données projet'!$A$166,'Données projet'!$B$166,DO99+DN100-DW99)))</f>
        <v>809.99999999999989</v>
      </c>
      <c r="DP100" s="18">
        <f>DO100*VLOOKUP('Données projet'!$B$14,Paramètres!$A$1:$I$89,3,0)*VLOOKUP('Données projet'!$B$14,Paramètres!$A$1:$I$89,5,0)</f>
        <v>379.08</v>
      </c>
      <c r="DQ100" s="14">
        <f t="shared" si="97"/>
        <v>87.522288181554913</v>
      </c>
      <c r="DR100" s="22">
        <f t="shared" si="70"/>
        <v>812.66565191620805</v>
      </c>
      <c r="DS100" s="62">
        <f t="shared" si="71"/>
        <v>1089.2110781955907</v>
      </c>
      <c r="DT100" s="62">
        <f ca="1">AVERAGE(OFFSET($DS$3,0,0,'Données projet'!$E$14+1,1))-AVERAGE(OFFSET($H$3,0,0,'Données projet'!$E$14+1,1))</f>
        <v>429.87867712133851</v>
      </c>
      <c r="DU100" s="62">
        <f t="shared" si="98"/>
        <v>182.81277865988014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0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0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3.0769230769230775</v>
      </c>
      <c r="EJ100" s="13">
        <f>IF('Données projet'!$A$192&gt;35,EJ99+EI100-ER99,IF(A100&lt;'Données projet'!$A$192,$EG$205^A100,IF(A100='Données projet'!$A$192,'Données projet'!$B$192,EJ99+EI100-ER99)))</f>
        <v>247.17948717948732</v>
      </c>
      <c r="EK100" s="18">
        <f>EJ100*VLOOKUP('Données projet'!$B$15,Paramètres!$A$1:$I$89,3,0)*VLOOKUP('Données projet'!$B$15,Paramètres!$A$1:$I$89,5,0)</f>
        <v>165.80800000000011</v>
      </c>
      <c r="EL100" s="14">
        <f t="shared" si="99"/>
        <v>42.149795095597277</v>
      </c>
      <c r="EM100" s="22">
        <f t="shared" si="73"/>
        <v>362.19315979149877</v>
      </c>
      <c r="EN100" s="62">
        <f t="shared" si="74"/>
        <v>638.73858607088164</v>
      </c>
      <c r="EO100" s="62">
        <f ca="1">AVERAGE(OFFSET($EN$3,0,0,'Données projet'!$E$15+1,1))-AVERAGE(OFFSET($H$3,0,0,'Données projet'!$E$15+1,1))</f>
        <v>296.18088377871669</v>
      </c>
      <c r="EP100" s="62">
        <f t="shared" si="100"/>
        <v>252.23833925792056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0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0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3.0769230769230775</v>
      </c>
      <c r="FE100" s="13">
        <f>IF('Données projet'!$A$218&gt;35,FE99+FD100-FM99,IF(A100&lt;'Données projet'!$A$218,$FB$205^A100,IF(A100='Données projet'!$A$218,'Données projet'!$B$218,FE99+FD100-FM99)))</f>
        <v>247.17948717948732</v>
      </c>
      <c r="FF100" s="18">
        <f>FE100*VLOOKUP('Données projet'!$B$16,Paramètres!$A$1:$I$89,3,0)*VLOOKUP('Données projet'!$B$16,Paramètres!$A$1:$I$89,5,0)</f>
        <v>212.08000000000015</v>
      </c>
      <c r="FG100" s="14">
        <f t="shared" si="101"/>
        <v>52.389856972670401</v>
      </c>
      <c r="FH100" s="22">
        <f t="shared" si="76"/>
        <v>460.61833422740119</v>
      </c>
      <c r="FI100" s="62">
        <f t="shared" si="77"/>
        <v>737.163760506784</v>
      </c>
      <c r="FJ100" s="62">
        <f ca="1">AVERAGE(OFFSET($FI$3,0,0,'Données projet'!$E$16+1,1))-AVERAGE(OFFSET($H$3,0,0,'Données projet'!$E$16+1,1))</f>
        <v>359.20464555327072</v>
      </c>
      <c r="FK100" s="62">
        <f t="shared" si="102"/>
        <v>305.54154052071863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0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0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4.9000000000000004</v>
      </c>
      <c r="N101" s="14">
        <f>IF('Données projet'!$A$36&gt;35,N100+M101-V100,IF(A101&lt;'Données projet'!$A$36,$K$205^A101,IF(A101='Données projet'!$A$36,'Données projet'!$B$36,N100+M101-V100)))</f>
        <v>293.19999999999987</v>
      </c>
      <c r="O101" s="14">
        <f>N101*VLOOKUP('Données projet'!$B$9,Paramètres!$A$1:$I$89,3,0)*VLOOKUP('Données projet'!$B$9,Paramètres!$A$1:$I$89,5,0)</f>
        <v>297.30479999999989</v>
      </c>
      <c r="P101" s="14">
        <f t="shared" si="87"/>
        <v>70.611149609504906</v>
      </c>
      <c r="Q101" s="22">
        <f t="shared" si="107"/>
        <v>640.78694556988739</v>
      </c>
      <c r="R101" s="62">
        <f t="shared" si="55"/>
        <v>917.62360450451877</v>
      </c>
      <c r="S101" s="62">
        <f ca="1">AVERAGE(OFFSET($R$3,0,0,'Données projet'!$E$9+1,1))-AVERAGE(OFFSET($H$3,0,0,'Données projet'!$E$9+1,1))</f>
        <v>516.30971934066179</v>
      </c>
      <c r="T101" s="62">
        <f t="shared" si="88"/>
        <v>290.84286505723571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4.9000000000000004</v>
      </c>
      <c r="AI101" s="14">
        <f>IF('Données projet'!$A$62&gt;35,AI100+AH101-AQ100,IF(A101&lt;'Données projet'!$A$62,$AF$205^A101,IF(A101='Données projet'!$A$62,'Données projet'!$B$62,AI100+AH101-AQ100)))</f>
        <v>293.19999999999987</v>
      </c>
      <c r="AJ101" s="14">
        <f>AI101*VLOOKUP('Données projet'!$B$10,Paramètres!$A$1:$I$89,3,0)*VLOOKUP('Données projet'!$B$10,Paramètres!$A$1:$I$89,5,0)</f>
        <v>315.60047999999989</v>
      </c>
      <c r="AK101" s="14">
        <f t="shared" si="89"/>
        <v>74.437211717310802</v>
      </c>
      <c r="AL101" s="22">
        <f t="shared" si="58"/>
        <v>679.31564640764952</v>
      </c>
      <c r="AM101" s="62">
        <f t="shared" si="59"/>
        <v>956.1523053422809</v>
      </c>
      <c r="AN101" s="62">
        <f ca="1">AVERAGE(OFFSET($AM$3,0,0,'Données projet'!$E$10+1,1))-AVERAGE(OFFSET($H$3,0,0,'Données projet'!$E$10+1,1))</f>
        <v>542.90832990875208</v>
      </c>
      <c r="AO101" s="62">
        <f t="shared" si="90"/>
        <v>304.94365539329362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4.9000000000000004</v>
      </c>
      <c r="BD101" s="13">
        <f>IF('Données projet'!$A$88&gt;35,BD100+BC101-BL100,IF(A101&lt;'Données projet'!$A$88,$BA$205^A101,IF(A101='Données projet'!$A$88,'Données projet'!$B$88,BD100+BC101-BL100)))</f>
        <v>293.19999999999987</v>
      </c>
      <c r="BE101" s="14">
        <f>BD101*VLOOKUP('Données projet'!$B$11,Paramètres!$A$1:$I$89,3,0)*VLOOKUP('Données projet'!$B$11,Paramètres!$A$1:$I$89,5,0)</f>
        <v>283.58303999999993</v>
      </c>
      <c r="BF101" s="14">
        <f t="shared" si="91"/>
        <v>67.723646968605209</v>
      </c>
      <c r="BG101" s="22">
        <f t="shared" si="61"/>
        <v>611.85914647032064</v>
      </c>
      <c r="BH101" s="62">
        <f t="shared" si="62"/>
        <v>888.69580540495201</v>
      </c>
      <c r="BI101" s="62">
        <f ca="1">AVERAGE(OFFSET($BH$3,0,0,'Données projet'!$E$11+1,1))-AVERAGE(OFFSET($H$3,0,0,'Données projet'!$E$11+1,1))</f>
        <v>496.33873798282525</v>
      </c>
      <c r="BJ101" s="62">
        <f t="shared" si="92"/>
        <v>280.25465074992246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1.7053025658242404E-13</v>
      </c>
      <c r="BZ101" s="14">
        <f>BY101*VLOOKUP('Données projet'!$B$12,Paramètres!$A$1:$I$89,3,0)*VLOOKUP('Données projet'!$B$12,Paramètres!$A$1:$I$89,5,0)</f>
        <v>1.4897523215040567E-13</v>
      </c>
      <c r="CA101" s="14">
        <f t="shared" si="93"/>
        <v>2.136562777003313E-12</v>
      </c>
      <c r="CB101" s="22">
        <f t="shared" si="64"/>
        <v>3.9806453659427267E-12</v>
      </c>
      <c r="CC101" s="62">
        <f t="shared" si="65"/>
        <v>276.83665893463535</v>
      </c>
      <c r="CD101" s="62">
        <f ca="1">AVERAGE(OFFSET($CC$3,0,0,'Données projet'!$E$12+1,1))-AVERAGE(OFFSET($H$3,0,0,'Données projet'!$E$12+1,1))</f>
        <v>298.28891728374822</v>
      </c>
      <c r="CE101" s="62">
        <f t="shared" si="94"/>
        <v>275.07405533331371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1.1368683772161603E-13</v>
      </c>
      <c r="CU101" s="18">
        <f>CT101*VLOOKUP('Données projet'!$B$13,Paramètres!$A$1:$I$89,3,0)*VLOOKUP('Données projet'!$B$13,Paramètres!$A$1:$I$89,5,0)</f>
        <v>6.7984728957526396E-14</v>
      </c>
      <c r="CV101" s="14">
        <f t="shared" si="95"/>
        <v>1.0682447123141398E-12</v>
      </c>
      <c r="CW101" s="22">
        <f t="shared" si="67"/>
        <v>1.978932943548152E-12</v>
      </c>
      <c r="CX101" s="62">
        <f t="shared" si="68"/>
        <v>276.83665893463336</v>
      </c>
      <c r="CY101" s="62">
        <f ca="1">AVERAGE(OFFSET($CX$3,0,0,'Données projet'!$E$13+1,1))-AVERAGE(OFFSET($H$3,0,0,'Données projet'!$E$13+1,1))</f>
        <v>320.46614113586043</v>
      </c>
      <c r="CZ101" s="62">
        <f t="shared" si="96"/>
        <v>250.7806929924491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0</v>
      </c>
      <c r="DG101" s="23">
        <f>EXP(-LN(2)/25)*DG100+(1-EXP(-LN(2)/25))/(LN(2)/25)*Calculateur!DB101*Calculateur!DD101*VLOOKUP('Données projet'!$B$13,Paramètres!$A$1:$I$89,3,0)*0.475*44/12</f>
        <v>0</v>
      </c>
      <c r="DH101" s="23">
        <f>EXP(-LN(2)/2)*DH100+(1-EXP(-LN(2)/2))/(LN(2)/2)*DB101*DE101*VLOOKUP('Données projet'!$B$13,Paramètres!$A$1:$I$89,3,0)*0.475*44/12</f>
        <v>5.5175325803526099E-10</v>
      </c>
      <c r="DI101" s="24">
        <f t="shared" si="69"/>
        <v>5.5175325803526099E-10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15</v>
      </c>
      <c r="DO101" s="13">
        <f>IF('Données projet'!$A$166&gt;35,DO100+DN101-DW100,IF(A101&lt;'Données projet'!$A$166,$DL$205^A101,IF(A101='Données projet'!$A$166,'Données projet'!$B$166,DO100+DN101-DW100)))</f>
        <v>824.99999999999989</v>
      </c>
      <c r="DP101" s="18">
        <f>DO101*VLOOKUP('Données projet'!$B$14,Paramètres!$A$1:$I$89,3,0)*VLOOKUP('Données projet'!$B$14,Paramètres!$A$1:$I$89,5,0)</f>
        <v>386.09999999999997</v>
      </c>
      <c r="DQ101" s="14">
        <f t="shared" si="97"/>
        <v>88.952879163979915</v>
      </c>
      <c r="DR101" s="22">
        <f t="shared" si="70"/>
        <v>827.38376454393153</v>
      </c>
      <c r="DS101" s="62">
        <f t="shared" si="71"/>
        <v>1104.2204234785629</v>
      </c>
      <c r="DT101" s="62">
        <f ca="1">AVERAGE(OFFSET($DS$3,0,0,'Données projet'!$E$14+1,1))-AVERAGE(OFFSET($H$3,0,0,'Données projet'!$E$14+1,1))</f>
        <v>429.87867712133851</v>
      </c>
      <c r="DU101" s="62">
        <f t="shared" si="98"/>
        <v>182.81277865988014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0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0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3.0769230769230775</v>
      </c>
      <c r="EJ101" s="13">
        <f>IF('Données projet'!$A$192&gt;35,EJ100+EI101-ER100,IF(A101&lt;'Données projet'!$A$192,$EG$205^A101,IF(A101='Données projet'!$A$192,'Données projet'!$B$192,EJ100+EI101-ER100)))</f>
        <v>250.25641025641039</v>
      </c>
      <c r="EK101" s="18">
        <f>EJ101*VLOOKUP('Données projet'!$B$15,Paramètres!$A$1:$I$89,3,0)*VLOOKUP('Données projet'!$B$15,Paramètres!$A$1:$I$89,5,0)</f>
        <v>167.8720000000001</v>
      </c>
      <c r="EL101" s="14">
        <f t="shared" si="99"/>
        <v>42.613073529517067</v>
      </c>
      <c r="EM101" s="22">
        <f t="shared" si="73"/>
        <v>366.59483639724243</v>
      </c>
      <c r="EN101" s="62">
        <f t="shared" si="74"/>
        <v>643.43149533187375</v>
      </c>
      <c r="EO101" s="62">
        <f ca="1">AVERAGE(OFFSET($EN$3,0,0,'Données projet'!$E$15+1,1))-AVERAGE(OFFSET($H$3,0,0,'Données projet'!$E$15+1,1))</f>
        <v>296.18088377871669</v>
      </c>
      <c r="EP101" s="62">
        <f t="shared" si="100"/>
        <v>252.23833925792056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0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0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3.0769230769230775</v>
      </c>
      <c r="FE101" s="13">
        <f>IF('Données projet'!$A$218&gt;35,FE100+FD101-FM100,IF(A101&lt;'Données projet'!$A$218,$FB$205^A101,IF(A101='Données projet'!$A$218,'Données projet'!$B$218,FE100+FD101-FM100)))</f>
        <v>250.25641025641039</v>
      </c>
      <c r="FF101" s="18">
        <f>FE101*VLOOKUP('Données projet'!$B$16,Paramètres!$A$1:$I$89,3,0)*VLOOKUP('Données projet'!$B$16,Paramètres!$A$1:$I$89,5,0)</f>
        <v>214.72000000000014</v>
      </c>
      <c r="FG101" s="14">
        <f t="shared" si="101"/>
        <v>52.965686364878238</v>
      </c>
      <c r="FH101" s="22">
        <f t="shared" si="76"/>
        <v>466.21923708549645</v>
      </c>
      <c r="FI101" s="62">
        <f t="shared" si="77"/>
        <v>743.05589602012788</v>
      </c>
      <c r="FJ101" s="62">
        <f ca="1">AVERAGE(OFFSET($FI$3,0,0,'Données projet'!$E$16+1,1))-AVERAGE(OFFSET($H$3,0,0,'Données projet'!$E$16+1,1))</f>
        <v>359.20464555327072</v>
      </c>
      <c r="FK101" s="62">
        <f t="shared" si="102"/>
        <v>305.54154052071863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0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0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4.9000000000000004</v>
      </c>
      <c r="N102" s="14">
        <f>IF('Données projet'!$A$36&gt;35,N101+M102-V101,IF(A102&lt;'Données projet'!$A$36,$K$205^A102,IF(A102='Données projet'!$A$36,'Données projet'!$B$36,N101+M102-V101)))</f>
        <v>298.09999999999985</v>
      </c>
      <c r="O102" s="14">
        <f>N102*VLOOKUP('Données projet'!$B$9,Paramètres!$A$1:$I$89,3,0)*VLOOKUP('Données projet'!$B$9,Paramètres!$A$1:$I$89,5,0)</f>
        <v>302.27339999999987</v>
      </c>
      <c r="P102" s="14">
        <f t="shared" si="87"/>
        <v>71.652845832409739</v>
      </c>
      <c r="Q102" s="22">
        <f t="shared" si="107"/>
        <v>651.25487815811346</v>
      </c>
      <c r="R102" s="62">
        <f t="shared" si="55"/>
        <v>928.37771751252353</v>
      </c>
      <c r="S102" s="62">
        <f ca="1">AVERAGE(OFFSET($R$3,0,0,'Données projet'!$E$9+1,1))-AVERAGE(OFFSET($H$3,0,0,'Données projet'!$E$9+1,1))</f>
        <v>516.30971934066179</v>
      </c>
      <c r="T102" s="62">
        <f t="shared" si="88"/>
        <v>290.84286505723571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4.9000000000000004</v>
      </c>
      <c r="AI102" s="14">
        <f>IF('Données projet'!$A$62&gt;35,AI101+AH102-AQ101,IF(A102&lt;'Données projet'!$A$62,$AF$205^A102,IF(A102='Données projet'!$A$62,'Données projet'!$B$62,AI101+AH102-AQ101)))</f>
        <v>298.09999999999985</v>
      </c>
      <c r="AJ102" s="14">
        <f>AI102*VLOOKUP('Données projet'!$B$10,Paramètres!$A$1:$I$89,3,0)*VLOOKUP('Données projet'!$B$10,Paramètres!$A$1:$I$89,5,0)</f>
        <v>320.87483999999984</v>
      </c>
      <c r="AK102" s="14">
        <f t="shared" si="89"/>
        <v>75.535352205297585</v>
      </c>
      <c r="AL102" s="22">
        <f t="shared" si="58"/>
        <v>690.41441809089304</v>
      </c>
      <c r="AM102" s="62">
        <f t="shared" si="59"/>
        <v>967.53725744530311</v>
      </c>
      <c r="AN102" s="62">
        <f ca="1">AVERAGE(OFFSET($AM$3,0,0,'Données projet'!$E$10+1,1))-AVERAGE(OFFSET($H$3,0,0,'Données projet'!$E$10+1,1))</f>
        <v>542.90832990875208</v>
      </c>
      <c r="AO102" s="62">
        <f t="shared" si="90"/>
        <v>304.94365539329362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4.9000000000000004</v>
      </c>
      <c r="BD102" s="13">
        <f>IF('Données projet'!$A$88&gt;35,BD101+BC102-BL101,IF(A102&lt;'Données projet'!$A$88,$BA$205^A102,IF(A102='Données projet'!$A$88,'Données projet'!$B$88,BD101+BC102-BL101)))</f>
        <v>298.09999999999985</v>
      </c>
      <c r="BE102" s="14">
        <f>BD102*VLOOKUP('Données projet'!$B$11,Paramètres!$A$1:$I$89,3,0)*VLOOKUP('Données projet'!$B$11,Paramètres!$A$1:$I$89,5,0)</f>
        <v>288.32231999999988</v>
      </c>
      <c r="BF102" s="14">
        <f t="shared" si="91"/>
        <v>68.722745094590621</v>
      </c>
      <c r="BG102" s="22">
        <f t="shared" si="61"/>
        <v>621.85348837307845</v>
      </c>
      <c r="BH102" s="62">
        <f t="shared" si="62"/>
        <v>898.97632772748852</v>
      </c>
      <c r="BI102" s="62">
        <f ca="1">AVERAGE(OFFSET($BH$3,0,0,'Données projet'!$E$11+1,1))-AVERAGE(OFFSET($H$3,0,0,'Données projet'!$E$11+1,1))</f>
        <v>496.33873798282525</v>
      </c>
      <c r="BJ102" s="62">
        <f t="shared" si="92"/>
        <v>280.25465074992246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1.7053025658242404E-13</v>
      </c>
      <c r="BZ102" s="14">
        <f>BY102*VLOOKUP('Données projet'!$B$12,Paramètres!$A$1:$I$89,3,0)*VLOOKUP('Données projet'!$B$12,Paramètres!$A$1:$I$89,5,0)</f>
        <v>1.4897523215040567E-13</v>
      </c>
      <c r="CA102" s="14">
        <f t="shared" si="93"/>
        <v>2.136562777003313E-12</v>
      </c>
      <c r="CB102" s="22">
        <f t="shared" si="64"/>
        <v>3.9806453659427267E-12</v>
      </c>
      <c r="CC102" s="62">
        <f t="shared" si="65"/>
        <v>277.12283935441411</v>
      </c>
      <c r="CD102" s="62">
        <f ca="1">AVERAGE(OFFSET($CC$3,0,0,'Données projet'!$E$12+1,1))-AVERAGE(OFFSET($H$3,0,0,'Données projet'!$E$12+1,1))</f>
        <v>298.28891728374822</v>
      </c>
      <c r="CE102" s="62">
        <f t="shared" si="94"/>
        <v>275.07405533331371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1.1368683772161603E-13</v>
      </c>
      <c r="CU102" s="18">
        <f>CT102*VLOOKUP('Données projet'!$B$13,Paramètres!$A$1:$I$89,3,0)*VLOOKUP('Données projet'!$B$13,Paramètres!$A$1:$I$89,5,0)</f>
        <v>6.7984728957526396E-14</v>
      </c>
      <c r="CV102" s="14">
        <f t="shared" si="95"/>
        <v>1.0682447123141398E-12</v>
      </c>
      <c r="CW102" s="22">
        <f t="shared" si="67"/>
        <v>1.978932943548152E-12</v>
      </c>
      <c r="CX102" s="62">
        <f t="shared" si="68"/>
        <v>277.12283935441212</v>
      </c>
      <c r="CY102" s="62">
        <f ca="1">AVERAGE(OFFSET($CX$3,0,0,'Données projet'!$E$13+1,1))-AVERAGE(OFFSET($H$3,0,0,'Données projet'!$E$13+1,1))</f>
        <v>320.46614113586043</v>
      </c>
      <c r="CZ102" s="62">
        <f t="shared" si="96"/>
        <v>250.7806929924491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0</v>
      </c>
      <c r="DG102" s="23">
        <f>EXP(-LN(2)/25)*DG101+(1-EXP(-LN(2)/25))/(LN(2)/25)*Calculateur!DB102*Calculateur!DD102*VLOOKUP('Données projet'!$B$13,Paramètres!$A$1:$I$89,3,0)*0.475*44/12</f>
        <v>0</v>
      </c>
      <c r="DH102" s="23">
        <f>EXP(-LN(2)/2)*DH101+(1-EXP(-LN(2)/2))/(LN(2)/2)*DB102*DE102*VLOOKUP('Données projet'!$B$13,Paramètres!$A$1:$I$89,3,0)*0.475*44/12</f>
        <v>3.90148470298504E-10</v>
      </c>
      <c r="DI102" s="24">
        <f t="shared" si="69"/>
        <v>3.90148470298504E-10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15</v>
      </c>
      <c r="DO102" s="13">
        <f>IF('Données projet'!$A$166&gt;35,DO101+DN102-DW101,IF(A102&lt;'Données projet'!$A$166,$DL$205^A102,IF(A102='Données projet'!$A$166,'Données projet'!$B$166,DO101+DN102-DW101)))</f>
        <v>839.99999999999989</v>
      </c>
      <c r="DP102" s="18">
        <f>DO102*VLOOKUP('Données projet'!$B$14,Paramètres!$A$1:$I$89,3,0)*VLOOKUP('Données projet'!$B$14,Paramètres!$A$1:$I$89,5,0)</f>
        <v>393.11999999999989</v>
      </c>
      <c r="DQ102" s="14">
        <f t="shared" si="97"/>
        <v>90.380445521044919</v>
      </c>
      <c r="DR102" s="22">
        <f t="shared" si="70"/>
        <v>842.09660928248638</v>
      </c>
      <c r="DS102" s="62">
        <f t="shared" si="71"/>
        <v>1119.2194486368965</v>
      </c>
      <c r="DT102" s="62">
        <f ca="1">AVERAGE(OFFSET($DS$3,0,0,'Données projet'!$E$14+1,1))-AVERAGE(OFFSET($H$3,0,0,'Données projet'!$E$14+1,1))</f>
        <v>429.87867712133851</v>
      </c>
      <c r="DU102" s="62">
        <f t="shared" si="98"/>
        <v>182.81277865988014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0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0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3.0769230769230775</v>
      </c>
      <c r="EJ102" s="13">
        <f>IF('Données projet'!$A$192&gt;35,EJ101+EI102-ER101,IF(A102&lt;'Données projet'!$A$192,$EG$205^A102,IF(A102='Données projet'!$A$192,'Données projet'!$B$192,EJ101+EI102-ER101)))</f>
        <v>253.33333333333346</v>
      </c>
      <c r="EK102" s="18">
        <f>EJ102*VLOOKUP('Données projet'!$B$15,Paramètres!$A$1:$I$89,3,0)*VLOOKUP('Données projet'!$B$15,Paramètres!$A$1:$I$89,5,0)</f>
        <v>169.93600000000009</v>
      </c>
      <c r="EL102" s="14">
        <f t="shared" si="99"/>
        <v>43.075689400206009</v>
      </c>
      <c r="EM102" s="22">
        <f t="shared" si="73"/>
        <v>370.99535903869236</v>
      </c>
      <c r="EN102" s="62">
        <f t="shared" si="74"/>
        <v>648.11819839310249</v>
      </c>
      <c r="EO102" s="62">
        <f ca="1">AVERAGE(OFFSET($EN$3,0,0,'Données projet'!$E$15+1,1))-AVERAGE(OFFSET($H$3,0,0,'Données projet'!$E$15+1,1))</f>
        <v>296.18088377871669</v>
      </c>
      <c r="EP102" s="62">
        <f t="shared" si="100"/>
        <v>252.23833925792056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0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0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3.0769230769230775</v>
      </c>
      <c r="FE102" s="13">
        <f>IF('Données projet'!$A$218&gt;35,FE101+FD102-FM101,IF(A102&lt;'Données projet'!$A$218,$FB$205^A102,IF(A102='Données projet'!$A$218,'Données projet'!$B$218,FE101+FD102-FM101)))</f>
        <v>253.33333333333346</v>
      </c>
      <c r="FF102" s="18">
        <f>FE102*VLOOKUP('Données projet'!$B$16,Paramètres!$A$1:$I$89,3,0)*VLOOKUP('Données projet'!$B$16,Paramètres!$A$1:$I$89,5,0)</f>
        <v>217.3600000000001</v>
      </c>
      <c r="FG102" s="14">
        <f t="shared" si="101"/>
        <v>53.540692227746895</v>
      </c>
      <c r="FH102" s="22">
        <f t="shared" si="76"/>
        <v>471.81870562999273</v>
      </c>
      <c r="FI102" s="62">
        <f t="shared" si="77"/>
        <v>748.94154498440287</v>
      </c>
      <c r="FJ102" s="62">
        <f ca="1">AVERAGE(OFFSET($FI$3,0,0,'Données projet'!$E$16+1,1))-AVERAGE(OFFSET($H$3,0,0,'Données projet'!$E$16+1,1))</f>
        <v>359.20464555327072</v>
      </c>
      <c r="FK102" s="62">
        <f t="shared" si="102"/>
        <v>305.54154052071863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0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0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303</v>
      </c>
      <c r="L103" s="13">
        <f>VLOOKUP(A103,'Données projet'!$A$35:$I$55,9,0)</f>
        <v>4.9000000000000004</v>
      </c>
      <c r="M103" s="13">
        <f t="array" ref="M103">INDEX(L:L,MIN(IF(ISNUMBER(L103:L299),ROW(L103:L299),"")))</f>
        <v>4.9000000000000004</v>
      </c>
      <c r="N103" s="14">
        <f>IF('Données projet'!$A$36&gt;35,N102+M103-V102,IF(A103&lt;'Données projet'!$A$36,$K$205^A103,IF(A103='Données projet'!$A$36,'Données projet'!$B$36,N102+M103-V102)))</f>
        <v>302.99999999999983</v>
      </c>
      <c r="O103" s="14">
        <f>N103*VLOOKUP('Données projet'!$B$9,Paramètres!$A$1:$I$89,3,0)*VLOOKUP('Données projet'!$B$9,Paramètres!$A$1:$I$89,5,0)</f>
        <v>307.24199999999985</v>
      </c>
      <c r="P103" s="14">
        <f t="shared" si="87"/>
        <v>72.692550770207774</v>
      </c>
      <c r="Q103" s="22">
        <f t="shared" si="107"/>
        <v>661.71934259144484</v>
      </c>
      <c r="R103" s="62">
        <f t="shared" si="55"/>
        <v>939.12339777515399</v>
      </c>
      <c r="S103" s="62">
        <f ca="1">AVERAGE(OFFSET($R$3,0,0,'Données projet'!$E$9+1,1))-AVERAGE(OFFSET($H$3,0,0,'Données projet'!$E$9+1,1))</f>
        <v>516.30971934066179</v>
      </c>
      <c r="T103" s="62">
        <f t="shared" si="88"/>
        <v>290.84286505723571</v>
      </c>
      <c r="U103" s="16">
        <f>IF(ISNA(VLOOKUP(A103,'Données projet'!$A$35:$I$55,3,0)),0,VLOOKUP(A103,'Données projet'!$A$35:$I$55,3,0))</f>
        <v>8</v>
      </c>
      <c r="V103" s="16">
        <f>IF(ISNA(VLOOKUP(A103,'Données projet'!$A$35:$I$55,4,0)),0,VLOOKUP(A103,'Données projet'!$A$35:$I$55,4,0))</f>
        <v>42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303</v>
      </c>
      <c r="AG103" s="13">
        <f>VLOOKUP(A103,'Données projet'!$A$61:$I$81,9,0)</f>
        <v>4.9000000000000004</v>
      </c>
      <c r="AH103" s="13">
        <f t="array" ref="AH103">INDEX(AG:AG,MIN(IF(ISNUMBER(AG103:AG299),ROW(AG103:AG299),"")))</f>
        <v>4.9000000000000004</v>
      </c>
      <c r="AI103" s="14">
        <f>IF('Données projet'!$A$62&gt;35,AI102+AH103-AQ102,IF(A103&lt;'Données projet'!$A$62,$AF$205^A103,IF(A103='Données projet'!$A$62,'Données projet'!$B$62,AI102+AH103-AQ102)))</f>
        <v>302.99999999999983</v>
      </c>
      <c r="AJ103" s="14">
        <f>AI103*VLOOKUP('Données projet'!$B$10,Paramètres!$A$1:$I$89,3,0)*VLOOKUP('Données projet'!$B$10,Paramètres!$A$1:$I$89,5,0)</f>
        <v>326.14919999999984</v>
      </c>
      <c r="AK103" s="14">
        <f t="shared" si="89"/>
        <v>76.631393510479555</v>
      </c>
      <c r="AL103" s="22">
        <f t="shared" si="58"/>
        <v>701.50953369741819</v>
      </c>
      <c r="AM103" s="62">
        <f t="shared" si="59"/>
        <v>978.91358888112745</v>
      </c>
      <c r="AN103" s="62">
        <f ca="1">AVERAGE(OFFSET($AM$3,0,0,'Données projet'!$E$10+1,1))-AVERAGE(OFFSET($H$3,0,0,'Données projet'!$E$10+1,1))</f>
        <v>542.90832990875208</v>
      </c>
      <c r="AO103" s="62">
        <f t="shared" si="90"/>
        <v>304.94365539329362</v>
      </c>
      <c r="AP103" s="16">
        <f>IF(ISNA(VLOOKUP(A103,'Données projet'!$A$61:$I$81,3,0)),0,VLOOKUP(A103,'Données projet'!$A$61:$I$81,3,0))</f>
        <v>8</v>
      </c>
      <c r="AQ103" s="16">
        <f>IF(ISNA(VLOOKUP(A103,'Données projet'!$A$61:$I$81,4,0)),0,VLOOKUP(A103,'Données projet'!$A$61:$I$81,4,0))</f>
        <v>42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303</v>
      </c>
      <c r="BB103" s="13">
        <f>VLOOKUP(A103,'Données projet'!$A$87:$I$107,9,0)</f>
        <v>4.9000000000000004</v>
      </c>
      <c r="BC103" s="13">
        <f t="array" ref="BC103">INDEX(BB:BB,MIN(IF(ISNUMBER(BB103:BB299),ROW(BB103:BB299),"")))</f>
        <v>4.9000000000000004</v>
      </c>
      <c r="BD103" s="13">
        <f>IF('Données projet'!$A$88&gt;35,BD102+BC103-BL102,IF(A103&lt;'Données projet'!$A$88,$BA$205^A103,IF(A103='Données projet'!$A$88,'Données projet'!$B$88,BD102+BC103-BL102)))</f>
        <v>302.99999999999983</v>
      </c>
      <c r="BE103" s="14">
        <f>BD103*VLOOKUP('Données projet'!$B$11,Paramètres!$A$1:$I$89,3,0)*VLOOKUP('Données projet'!$B$11,Paramètres!$A$1:$I$89,5,0)</f>
        <v>293.06159999999983</v>
      </c>
      <c r="BF103" s="14">
        <f t="shared" si="91"/>
        <v>69.719933365116546</v>
      </c>
      <c r="BG103" s="22">
        <f t="shared" si="61"/>
        <v>631.84450394424437</v>
      </c>
      <c r="BH103" s="62">
        <f t="shared" si="62"/>
        <v>909.24855912795351</v>
      </c>
      <c r="BI103" s="62">
        <f ca="1">AVERAGE(OFFSET($BH$3,0,0,'Données projet'!$E$11+1,1))-AVERAGE(OFFSET($H$3,0,0,'Données projet'!$E$11+1,1))</f>
        <v>496.33873798282525</v>
      </c>
      <c r="BJ103" s="62">
        <f t="shared" si="92"/>
        <v>280.25465074992246</v>
      </c>
      <c r="BK103" s="16">
        <f>IF(ISNA(VLOOKUP(A103,'Données projet'!$A$87:$I$107,3,0)),0,VLOOKUP(A103,'Données projet'!$A$87:$I$107,3,0))</f>
        <v>8</v>
      </c>
      <c r="BL103" s="16">
        <f>IF(ISNA(VLOOKUP(A103,'Données projet'!$A$87:$I$107,4,0)),0,VLOOKUP(A103,'Données projet'!$A$87:$I$107,4,0))</f>
        <v>42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1.7053025658242404E-13</v>
      </c>
      <c r="BZ103" s="14">
        <f>BY103*VLOOKUP('Données projet'!$B$12,Paramètres!$A$1:$I$89,3,0)*VLOOKUP('Données projet'!$B$12,Paramètres!$A$1:$I$89,5,0)</f>
        <v>1.4897523215040567E-13</v>
      </c>
      <c r="CA103" s="14">
        <f t="shared" si="93"/>
        <v>2.136562777003313E-12</v>
      </c>
      <c r="CB103" s="22">
        <f t="shared" si="64"/>
        <v>3.9806453659427267E-12</v>
      </c>
      <c r="CC103" s="62">
        <f t="shared" si="65"/>
        <v>277.40405518371318</v>
      </c>
      <c r="CD103" s="62">
        <f ca="1">AVERAGE(OFFSET($CC$3,0,0,'Données projet'!$E$12+1,1))-AVERAGE(OFFSET($H$3,0,0,'Données projet'!$E$12+1,1))</f>
        <v>298.28891728374822</v>
      </c>
      <c r="CE103" s="62">
        <f t="shared" si="94"/>
        <v>275.07405533331371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1.1368683772161603E-13</v>
      </c>
      <c r="CU103" s="18">
        <f>CT103*VLOOKUP('Données projet'!$B$13,Paramètres!$A$1:$I$89,3,0)*VLOOKUP('Données projet'!$B$13,Paramètres!$A$1:$I$89,5,0)</f>
        <v>6.7984728957526396E-14</v>
      </c>
      <c r="CV103" s="14">
        <f t="shared" si="95"/>
        <v>1.0682447123141398E-12</v>
      </c>
      <c r="CW103" s="22">
        <f t="shared" si="67"/>
        <v>1.978932943548152E-12</v>
      </c>
      <c r="CX103" s="62">
        <f t="shared" si="68"/>
        <v>277.40405518371119</v>
      </c>
      <c r="CY103" s="62">
        <f ca="1">AVERAGE(OFFSET($CX$3,0,0,'Données projet'!$E$13+1,1))-AVERAGE(OFFSET($H$3,0,0,'Données projet'!$E$13+1,1))</f>
        <v>320.46614113586043</v>
      </c>
      <c r="CZ103" s="62">
        <f t="shared" si="96"/>
        <v>250.7806929924491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0</v>
      </c>
      <c r="DG103" s="23">
        <f>EXP(-LN(2)/25)*DG102+(1-EXP(-LN(2)/25))/(LN(2)/25)*Calculateur!DB103*Calculateur!DD103*VLOOKUP('Données projet'!$B$13,Paramètres!$A$1:$I$89,3,0)*0.475*44/12</f>
        <v>0</v>
      </c>
      <c r="DH103" s="23">
        <f>EXP(-LN(2)/2)*DH102+(1-EXP(-LN(2)/2))/(LN(2)/2)*DB103*DE103*VLOOKUP('Données projet'!$B$13,Paramètres!$A$1:$I$89,3,0)*0.475*44/12</f>
        <v>2.758766290176305E-10</v>
      </c>
      <c r="DI103" s="24">
        <f t="shared" si="69"/>
        <v>2.758766290176305E-10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>
        <f>VLOOKUP(A103,'Données projet'!$A$165:$I$185,2,0)</f>
        <v>855</v>
      </c>
      <c r="DM103" s="13">
        <f>VLOOKUP(A103,'Données projet'!$A$165:$I$185,9,0)</f>
        <v>15</v>
      </c>
      <c r="DN103" s="13">
        <f t="array" ref="DN103">INDEX(DM:DM,MIN(IF(ISNUMBER(DM103:DM299),ROW(DM103:DM299),"")))</f>
        <v>15</v>
      </c>
      <c r="DO103" s="13">
        <f>IF('Données projet'!$A$166&gt;35,DO102+DN103-DW102,IF(A103&lt;'Données projet'!$A$166,$DL$205^A103,IF(A103='Données projet'!$A$166,'Données projet'!$B$166,DO102+DN103-DW102)))</f>
        <v>854.99999999999989</v>
      </c>
      <c r="DP103" s="18">
        <f>DO103*VLOOKUP('Données projet'!$B$14,Paramètres!$A$1:$I$89,3,0)*VLOOKUP('Données projet'!$B$14,Paramètres!$A$1:$I$89,5,0)</f>
        <v>400.13999999999993</v>
      </c>
      <c r="DQ103" s="14">
        <f t="shared" si="97"/>
        <v>91.805047494648534</v>
      </c>
      <c r="DR103" s="22">
        <f t="shared" si="70"/>
        <v>856.80429105317944</v>
      </c>
      <c r="DS103" s="62">
        <f t="shared" si="71"/>
        <v>1134.2083462368887</v>
      </c>
      <c r="DT103" s="62">
        <f ca="1">AVERAGE(OFFSET($DS$3,0,0,'Données projet'!$E$14+1,1))-AVERAGE(OFFSET($H$3,0,0,'Données projet'!$E$14+1,1))</f>
        <v>429.87867712133851</v>
      </c>
      <c r="DU103" s="62">
        <f t="shared" si="98"/>
        <v>182.81277865988014</v>
      </c>
      <c r="DV103" s="16">
        <f>IF(ISNA(VLOOKUP(A103,'Données projet'!$A$165:$I$185,3,0)),0,VLOOKUP(A103,'Données projet'!$A$165:$I$185,3,0))</f>
        <v>7</v>
      </c>
      <c r="DW103" s="16">
        <f>IF(ISNA(VLOOKUP(A103,'Données projet'!$A$165:$I$185,4,0)),0,VLOOKUP(A103,'Données projet'!$A$165:$I$185,4,0))</f>
        <v>855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0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0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>
        <f>VLOOKUP(A103,'Données projet'!$A$191:$I$211,2,0)</f>
        <v>256.41025641025641</v>
      </c>
      <c r="EH103" s="13">
        <f>VLOOKUP(A103,'Données projet'!$A$191:$I$211,9,0)</f>
        <v>3.0769230769230775</v>
      </c>
      <c r="EI103" s="13">
        <f t="array" ref="EI103">INDEX(EH:EH,MIN(IF(ISNUMBER(EH103:EH299),ROW(EH103:EH299),"")))</f>
        <v>3.0769230769230775</v>
      </c>
      <c r="EJ103" s="13">
        <f>IF('Données projet'!$A$192&gt;35,EJ102+EI103-ER102,IF(A103&lt;'Données projet'!$A$192,$EG$205^A103,IF(A103='Données projet'!$A$192,'Données projet'!$B$192,EJ102+EI103-ER102)))</f>
        <v>256.41025641025652</v>
      </c>
      <c r="EK103" s="18">
        <f>EJ103*VLOOKUP('Données projet'!$B$15,Paramètres!$A$1:$I$89,3,0)*VLOOKUP('Données projet'!$B$15,Paramètres!$A$1:$I$89,5,0)</f>
        <v>172.00000000000009</v>
      </c>
      <c r="EL103" s="14">
        <f t="shared" si="99"/>
        <v>43.537651685795808</v>
      </c>
      <c r="EM103" s="22">
        <f t="shared" si="73"/>
        <v>375.39474335276117</v>
      </c>
      <c r="EN103" s="62">
        <f t="shared" si="74"/>
        <v>652.79879853647037</v>
      </c>
      <c r="EO103" s="62">
        <f ca="1">AVERAGE(OFFSET($EN$3,0,0,'Données projet'!$E$15+1,1))-AVERAGE(OFFSET($H$3,0,0,'Données projet'!$E$15+1,1))</f>
        <v>296.18088377871669</v>
      </c>
      <c r="EP103" s="62">
        <f t="shared" si="100"/>
        <v>252.23833925792056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17.948717948717949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0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0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>
        <f>VLOOKUP(A103,'Données projet'!$A$217:$I$237,2,0)</f>
        <v>256.41025641025641</v>
      </c>
      <c r="FC103" s="13">
        <f>VLOOKUP(A103,'Données projet'!$A$217:$I$237,9,0)</f>
        <v>3.0769230769230775</v>
      </c>
      <c r="FD103" s="13">
        <f t="array" ref="FD103">INDEX(FC:FC,MIN(IF(ISNUMBER(FC103:FC299),ROW(FC103:FC299),"")))</f>
        <v>3.0769230769230775</v>
      </c>
      <c r="FE103" s="13">
        <f>IF('Données projet'!$A$218&gt;35,FE102+FD103-FM102,IF(A103&lt;'Données projet'!$A$218,$FB$205^A103,IF(A103='Données projet'!$A$218,'Données projet'!$B$218,FE102+FD103-FM102)))</f>
        <v>256.41025641025652</v>
      </c>
      <c r="FF103" s="18">
        <f>FE103*VLOOKUP('Données projet'!$B$16,Paramètres!$A$1:$I$89,3,0)*VLOOKUP('Données projet'!$B$16,Paramètres!$A$1:$I$89,5,0)</f>
        <v>220.00000000000014</v>
      </c>
      <c r="FG103" s="14">
        <f t="shared" si="101"/>
        <v>54.114885720596014</v>
      </c>
      <c r="FH103" s="22">
        <f t="shared" si="76"/>
        <v>477.41675929670492</v>
      </c>
      <c r="FI103" s="62">
        <f t="shared" si="77"/>
        <v>754.82081448041413</v>
      </c>
      <c r="FJ103" s="62">
        <f ca="1">AVERAGE(OFFSET($FI$3,0,0,'Données projet'!$E$16+1,1))-AVERAGE(OFFSET($H$3,0,0,'Données projet'!$E$16+1,1))</f>
        <v>359.20464555327072</v>
      </c>
      <c r="FK103" s="62">
        <f t="shared" si="102"/>
        <v>305.54154052071863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17.948717948717949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0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0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4.4000000000000004</v>
      </c>
      <c r="N104" s="14">
        <f>IF('Données projet'!$A$36&gt;35,N103+M104-V103,IF(A104&lt;'Données projet'!$A$36,$K$205^A104,IF(A104='Données projet'!$A$36,'Données projet'!$B$36,N103+M104-V103)))</f>
        <v>265.39999999999981</v>
      </c>
      <c r="O104" s="14">
        <f>N104*VLOOKUP('Données projet'!$B$9,Paramètres!$A$1:$I$89,3,0)*VLOOKUP('Données projet'!$B$9,Paramètres!$A$1:$I$89,5,0)</f>
        <v>269.1155999999998</v>
      </c>
      <c r="P104" s="14">
        <f t="shared" si="87"/>
        <v>64.661541462287076</v>
      </c>
      <c r="Q104" s="22">
        <f t="shared" si="107"/>
        <v>581.3285213801496</v>
      </c>
      <c r="R104" s="62">
        <f t="shared" si="55"/>
        <v>859.00891392722406</v>
      </c>
      <c r="S104" s="62">
        <f ca="1">AVERAGE(OFFSET($R$3,0,0,'Données projet'!$E$9+1,1))-AVERAGE(OFFSET($H$3,0,0,'Données projet'!$E$9+1,1))</f>
        <v>516.30971934066179</v>
      </c>
      <c r="T104" s="62">
        <f t="shared" si="88"/>
        <v>290.84286505723571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4.4000000000000004</v>
      </c>
      <c r="AI104" s="14">
        <f>IF('Données projet'!$A$62&gt;35,AI103+AH104-AQ103,IF(A104&lt;'Données projet'!$A$62,$AF$205^A104,IF(A104='Données projet'!$A$62,'Données projet'!$B$62,AI103+AH104-AQ103)))</f>
        <v>265.39999999999981</v>
      </c>
      <c r="AJ104" s="14">
        <f>AI104*VLOOKUP('Données projet'!$B$10,Paramètres!$A$1:$I$89,3,0)*VLOOKUP('Données projet'!$B$10,Paramètres!$A$1:$I$89,5,0)</f>
        <v>285.67655999999977</v>
      </c>
      <c r="AK104" s="14">
        <f t="shared" si="89"/>
        <v>68.165224308258956</v>
      </c>
      <c r="AL104" s="22">
        <f t="shared" si="58"/>
        <v>616.27444100355058</v>
      </c>
      <c r="AM104" s="62">
        <f t="shared" si="59"/>
        <v>893.95483355062493</v>
      </c>
      <c r="AN104" s="62">
        <f ca="1">AVERAGE(OFFSET($AM$3,0,0,'Données projet'!$E$10+1,1))-AVERAGE(OFFSET($H$3,0,0,'Données projet'!$E$10+1,1))</f>
        <v>542.90832990875208</v>
      </c>
      <c r="AO104" s="62">
        <f t="shared" si="90"/>
        <v>304.94365539329362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4.4000000000000004</v>
      </c>
      <c r="BD104" s="13">
        <f>IF('Données projet'!$A$88&gt;35,BD103+BC104-BL103,IF(A104&lt;'Données projet'!$A$88,$BA$205^A104,IF(A104='Données projet'!$A$88,'Données projet'!$B$88,BD103+BC104-BL103)))</f>
        <v>265.39999999999981</v>
      </c>
      <c r="BE104" s="14">
        <f>BD104*VLOOKUP('Données projet'!$B$11,Paramètres!$A$1:$I$89,3,0)*VLOOKUP('Données projet'!$B$11,Paramètres!$A$1:$I$89,5,0)</f>
        <v>256.69487999999984</v>
      </c>
      <c r="BF104" s="14">
        <f t="shared" si="91"/>
        <v>62.017336223177502</v>
      </c>
      <c r="BG104" s="22">
        <f t="shared" si="61"/>
        <v>555.09044325536718</v>
      </c>
      <c r="BH104" s="62">
        <f t="shared" si="62"/>
        <v>832.77083580244152</v>
      </c>
      <c r="BI104" s="62">
        <f ca="1">AVERAGE(OFFSET($BH$3,0,0,'Données projet'!$E$11+1,1))-AVERAGE(OFFSET($H$3,0,0,'Données projet'!$E$11+1,1))</f>
        <v>496.33873798282525</v>
      </c>
      <c r="BJ104" s="62">
        <f t="shared" si="92"/>
        <v>280.25465074992246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1.7053025658242404E-13</v>
      </c>
      <c r="BZ104" s="14">
        <f>BY104*VLOOKUP('Données projet'!$B$12,Paramètres!$A$1:$I$89,3,0)*VLOOKUP('Données projet'!$B$12,Paramètres!$A$1:$I$89,5,0)</f>
        <v>1.4897523215040567E-13</v>
      </c>
      <c r="CA104" s="14">
        <f t="shared" si="93"/>
        <v>2.136562777003313E-12</v>
      </c>
      <c r="CB104" s="22">
        <f t="shared" si="64"/>
        <v>3.9806453659427267E-12</v>
      </c>
      <c r="CC104" s="62">
        <f t="shared" si="65"/>
        <v>277.68039254707838</v>
      </c>
      <c r="CD104" s="62">
        <f ca="1">AVERAGE(OFFSET($CC$3,0,0,'Données projet'!$E$12+1,1))-AVERAGE(OFFSET($H$3,0,0,'Données projet'!$E$12+1,1))</f>
        <v>298.28891728374822</v>
      </c>
      <c r="CE104" s="62">
        <f t="shared" si="94"/>
        <v>275.07405533331371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1.1368683772161603E-13</v>
      </c>
      <c r="CU104" s="18">
        <f>CT104*VLOOKUP('Données projet'!$B$13,Paramètres!$A$1:$I$89,3,0)*VLOOKUP('Données projet'!$B$13,Paramètres!$A$1:$I$89,5,0)</f>
        <v>6.7984728957526396E-14</v>
      </c>
      <c r="CV104" s="14">
        <f t="shared" si="95"/>
        <v>1.0682447123141398E-12</v>
      </c>
      <c r="CW104" s="22">
        <f t="shared" si="67"/>
        <v>1.978932943548152E-12</v>
      </c>
      <c r="CX104" s="62">
        <f t="shared" si="68"/>
        <v>277.68039254707639</v>
      </c>
      <c r="CY104" s="62">
        <f ca="1">AVERAGE(OFFSET($CX$3,0,0,'Données projet'!$E$13+1,1))-AVERAGE(OFFSET($H$3,0,0,'Données projet'!$E$13+1,1))</f>
        <v>320.46614113586043</v>
      </c>
      <c r="CZ104" s="62">
        <f t="shared" si="96"/>
        <v>250.7806929924491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0</v>
      </c>
      <c r="DG104" s="23">
        <f>EXP(-LN(2)/25)*DG103+(1-EXP(-LN(2)/25))/(LN(2)/25)*Calculateur!DB104*Calculateur!DD104*VLOOKUP('Données projet'!$B$13,Paramètres!$A$1:$I$89,3,0)*0.475*44/12</f>
        <v>0</v>
      </c>
      <c r="DH104" s="23">
        <f>EXP(-LN(2)/2)*DH103+(1-EXP(-LN(2)/2))/(LN(2)/2)*DB104*DE104*VLOOKUP('Données projet'!$B$13,Paramètres!$A$1:$I$89,3,0)*0.475*44/12</f>
        <v>1.95074235149252E-10</v>
      </c>
      <c r="DI104" s="24">
        <f t="shared" si="69"/>
        <v>1.95074235149252E-10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-1.1368683772161603E-13</v>
      </c>
      <c r="DP104" s="18">
        <f>DO104*VLOOKUP('Données projet'!$B$14,Paramètres!$A$1:$I$89,3,0)*VLOOKUP('Données projet'!$B$14,Paramètres!$A$1:$I$89,5,0)</f>
        <v>-5.3205440053716299E-14</v>
      </c>
      <c r="DQ104" s="14" t="e">
        <f t="shared" si="97"/>
        <v>#NUM!</v>
      </c>
      <c r="DR104" s="22" t="e">
        <f t="shared" si="70"/>
        <v>#NUM!</v>
      </c>
      <c r="DS104" s="62" t="e">
        <f t="shared" si="71"/>
        <v>#NUM!</v>
      </c>
      <c r="DT104" s="62">
        <f ca="1">AVERAGE(OFFSET($DS$3,0,0,'Données projet'!$E$14+1,1))-AVERAGE(OFFSET($H$3,0,0,'Données projet'!$E$14+1,1))</f>
        <v>429.87867712133851</v>
      </c>
      <c r="DU104" s="62">
        <f t="shared" si="98"/>
        <v>182.81277865988014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0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0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2.9487179487179502</v>
      </c>
      <c r="EJ104" s="13">
        <f>IF('Données projet'!$A$192&gt;35,EJ103+EI104-ER103,IF(A104&lt;'Données projet'!$A$192,$EG$205^A104,IF(A104='Données projet'!$A$192,'Données projet'!$B$192,EJ103+EI104-ER103)))</f>
        <v>241.41025641025652</v>
      </c>
      <c r="EK104" s="18">
        <f>EJ104*VLOOKUP('Données projet'!$B$15,Paramètres!$A$1:$I$89,3,0)*VLOOKUP('Données projet'!$B$15,Paramètres!$A$1:$I$89,5,0)</f>
        <v>161.93800000000007</v>
      </c>
      <c r="EL104" s="14">
        <f t="shared" si="99"/>
        <v>41.279329948855299</v>
      </c>
      <c r="EM104" s="22">
        <f t="shared" si="73"/>
        <v>353.93684966092309</v>
      </c>
      <c r="EN104" s="62">
        <f t="shared" si="74"/>
        <v>631.61724220799749</v>
      </c>
      <c r="EO104" s="62">
        <f ca="1">AVERAGE(OFFSET($EN$3,0,0,'Données projet'!$E$15+1,1))-AVERAGE(OFFSET($H$3,0,0,'Données projet'!$E$15+1,1))</f>
        <v>296.18088377871669</v>
      </c>
      <c r="EP104" s="62">
        <f t="shared" si="100"/>
        <v>252.23833925792056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0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0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2.9487179487179502</v>
      </c>
      <c r="FE104" s="13">
        <f>IF('Données projet'!$A$218&gt;35,FE103+FD104-FM103,IF(A104&lt;'Données projet'!$A$218,$FB$205^A104,IF(A104='Données projet'!$A$218,'Données projet'!$B$218,FE103+FD104-FM103)))</f>
        <v>241.41025641025652</v>
      </c>
      <c r="FF104" s="18">
        <f>FE104*VLOOKUP('Données projet'!$B$16,Paramètres!$A$1:$I$89,3,0)*VLOOKUP('Données projet'!$B$16,Paramètres!$A$1:$I$89,5,0)</f>
        <v>207.13000000000014</v>
      </c>
      <c r="FG104" s="14">
        <f t="shared" si="101"/>
        <v>51.307917085796113</v>
      </c>
      <c r="FH104" s="22">
        <f t="shared" si="76"/>
        <v>450.11270559109511</v>
      </c>
      <c r="FI104" s="62">
        <f t="shared" si="77"/>
        <v>727.79309813816951</v>
      </c>
      <c r="FJ104" s="62">
        <f ca="1">AVERAGE(OFFSET($FI$3,0,0,'Données projet'!$E$16+1,1))-AVERAGE(OFFSET($H$3,0,0,'Données projet'!$E$16+1,1))</f>
        <v>359.20464555327072</v>
      </c>
      <c r="FK104" s="62">
        <f t="shared" si="102"/>
        <v>305.54154052071863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0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0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4.4000000000000004</v>
      </c>
      <c r="N105" s="14">
        <f>IF('Données projet'!$A$36&gt;35,N104+M105-V104,IF(A105&lt;'Données projet'!$A$36,$K$205^A105,IF(A105='Données projet'!$A$36,'Données projet'!$B$36,N104+M105-V104)))</f>
        <v>269.79999999999978</v>
      </c>
      <c r="O105" s="14">
        <f>N105*VLOOKUP('Données projet'!$B$9,Paramètres!$A$1:$I$89,3,0)*VLOOKUP('Données projet'!$B$9,Paramètres!$A$1:$I$89,5,0)</f>
        <v>273.57719999999978</v>
      </c>
      <c r="P105" s="14">
        <f t="shared" si="87"/>
        <v>65.60785888991505</v>
      </c>
      <c r="Q105" s="22">
        <f t="shared" si="107"/>
        <v>590.74731089993509</v>
      </c>
      <c r="R105" s="62">
        <f t="shared" si="55"/>
        <v>868.69924697491797</v>
      </c>
      <c r="S105" s="62">
        <f ca="1">AVERAGE(OFFSET($R$3,0,0,'Données projet'!$E$9+1,1))-AVERAGE(OFFSET($H$3,0,0,'Données projet'!$E$9+1,1))</f>
        <v>516.30971934066179</v>
      </c>
      <c r="T105" s="62">
        <f t="shared" si="88"/>
        <v>290.84286505723571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4.4000000000000004</v>
      </c>
      <c r="AI105" s="14">
        <f>IF('Données projet'!$A$62&gt;35,AI104+AH105-AQ104,IF(A105&lt;'Données projet'!$A$62,$AF$205^A105,IF(A105='Données projet'!$A$62,'Données projet'!$B$62,AI104+AH105-AQ104)))</f>
        <v>269.79999999999978</v>
      </c>
      <c r="AJ105" s="14">
        <f>AI105*VLOOKUP('Données projet'!$B$10,Paramètres!$A$1:$I$89,3,0)*VLOOKUP('Données projet'!$B$10,Paramètres!$A$1:$I$89,5,0)</f>
        <v>290.41271999999975</v>
      </c>
      <c r="AK105" s="14">
        <f t="shared" si="89"/>
        <v>69.162817905044719</v>
      </c>
      <c r="AL105" s="22">
        <f t="shared" si="58"/>
        <v>626.26072851795254</v>
      </c>
      <c r="AM105" s="62">
        <f t="shared" si="59"/>
        <v>904.21266459293543</v>
      </c>
      <c r="AN105" s="62">
        <f ca="1">AVERAGE(OFFSET($AM$3,0,0,'Données projet'!$E$10+1,1))-AVERAGE(OFFSET($H$3,0,0,'Données projet'!$E$10+1,1))</f>
        <v>542.90832990875208</v>
      </c>
      <c r="AO105" s="62">
        <f t="shared" si="90"/>
        <v>304.94365539329362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4.4000000000000004</v>
      </c>
      <c r="BD105" s="13">
        <f>IF('Données projet'!$A$88&gt;35,BD104+BC105-BL104,IF(A105&lt;'Données projet'!$A$88,$BA$205^A105,IF(A105='Données projet'!$A$88,'Données projet'!$B$88,BD104+BC105-BL104)))</f>
        <v>269.79999999999978</v>
      </c>
      <c r="BE105" s="14">
        <f>BD105*VLOOKUP('Données projet'!$B$11,Paramètres!$A$1:$I$89,3,0)*VLOOKUP('Données projet'!$B$11,Paramètres!$A$1:$I$89,5,0)</f>
        <v>260.95055999999983</v>
      </c>
      <c r="BF105" s="14">
        <f t="shared" si="91"/>
        <v>62.924955880176938</v>
      </c>
      <c r="BG105" s="22">
        <f t="shared" si="61"/>
        <v>564.08319015797451</v>
      </c>
      <c r="BH105" s="62">
        <f t="shared" si="62"/>
        <v>842.03512623295751</v>
      </c>
      <c r="BI105" s="62">
        <f ca="1">AVERAGE(OFFSET($BH$3,0,0,'Données projet'!$E$11+1,1))-AVERAGE(OFFSET($H$3,0,0,'Données projet'!$E$11+1,1))</f>
        <v>496.33873798282525</v>
      </c>
      <c r="BJ105" s="62">
        <f t="shared" si="92"/>
        <v>280.25465074992246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1.7053025658242404E-13</v>
      </c>
      <c r="BZ105" s="14">
        <f>BY105*VLOOKUP('Données projet'!$B$12,Paramètres!$A$1:$I$89,3,0)*VLOOKUP('Données projet'!$B$12,Paramètres!$A$1:$I$89,5,0)</f>
        <v>1.4897523215040567E-13</v>
      </c>
      <c r="CA105" s="14">
        <f t="shared" si="93"/>
        <v>2.136562777003313E-12</v>
      </c>
      <c r="CB105" s="22">
        <f t="shared" si="64"/>
        <v>3.9806453659427267E-12</v>
      </c>
      <c r="CC105" s="62">
        <f t="shared" si="65"/>
        <v>277.95193607498692</v>
      </c>
      <c r="CD105" s="62">
        <f ca="1">AVERAGE(OFFSET($CC$3,0,0,'Données projet'!$E$12+1,1))-AVERAGE(OFFSET($H$3,0,0,'Données projet'!$E$12+1,1))</f>
        <v>298.28891728374822</v>
      </c>
      <c r="CE105" s="62">
        <f t="shared" si="94"/>
        <v>275.07405533331371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1.1368683772161603E-13</v>
      </c>
      <c r="CU105" s="18">
        <f>CT105*VLOOKUP('Données projet'!$B$13,Paramètres!$A$1:$I$89,3,0)*VLOOKUP('Données projet'!$B$13,Paramètres!$A$1:$I$89,5,0)</f>
        <v>6.7984728957526396E-14</v>
      </c>
      <c r="CV105" s="14">
        <f t="shared" si="95"/>
        <v>1.0682447123141398E-12</v>
      </c>
      <c r="CW105" s="22">
        <f t="shared" si="67"/>
        <v>1.978932943548152E-12</v>
      </c>
      <c r="CX105" s="62">
        <f t="shared" si="68"/>
        <v>277.95193607498493</v>
      </c>
      <c r="CY105" s="62">
        <f ca="1">AVERAGE(OFFSET($CX$3,0,0,'Données projet'!$E$13+1,1))-AVERAGE(OFFSET($H$3,0,0,'Données projet'!$E$13+1,1))</f>
        <v>320.46614113586043</v>
      </c>
      <c r="CZ105" s="62">
        <f t="shared" si="96"/>
        <v>250.7806929924491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0</v>
      </c>
      <c r="DG105" s="23">
        <f>EXP(-LN(2)/25)*DG104+(1-EXP(-LN(2)/25))/(LN(2)/25)*Calculateur!DB105*Calculateur!DD105*VLOOKUP('Données projet'!$B$13,Paramètres!$A$1:$I$89,3,0)*0.475*44/12</f>
        <v>0</v>
      </c>
      <c r="DH105" s="23">
        <f>EXP(-LN(2)/2)*DH104+(1-EXP(-LN(2)/2))/(LN(2)/2)*DB105*DE105*VLOOKUP('Données projet'!$B$13,Paramètres!$A$1:$I$89,3,0)*0.475*44/12</f>
        <v>1.3793831450881525E-10</v>
      </c>
      <c r="DI105" s="24">
        <f t="shared" si="69"/>
        <v>1.3793831450881525E-10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-1.1368683772161603E-13</v>
      </c>
      <c r="DP105" s="18">
        <f>DO105*VLOOKUP('Données projet'!$B$14,Paramètres!$A$1:$I$89,3,0)*VLOOKUP('Données projet'!$B$14,Paramètres!$A$1:$I$89,5,0)</f>
        <v>-5.3205440053716299E-14</v>
      </c>
      <c r="DQ105" s="14" t="e">
        <f t="shared" si="97"/>
        <v>#NUM!</v>
      </c>
      <c r="DR105" s="22" t="e">
        <f t="shared" si="70"/>
        <v>#NUM!</v>
      </c>
      <c r="DS105" s="62" t="e">
        <f t="shared" si="71"/>
        <v>#NUM!</v>
      </c>
      <c r="DT105" s="62">
        <f ca="1">AVERAGE(OFFSET($DS$3,0,0,'Données projet'!$E$14+1,1))-AVERAGE(OFFSET($H$3,0,0,'Données projet'!$E$14+1,1))</f>
        <v>429.87867712133851</v>
      </c>
      <c r="DU105" s="62">
        <f t="shared" si="98"/>
        <v>182.81277865988014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0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0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2.9487179487179502</v>
      </c>
      <c r="EJ105" s="13">
        <f>IF('Données projet'!$A$192&gt;35,EJ104+EI105-ER104,IF(A105&lt;'Données projet'!$A$192,$EG$205^A105,IF(A105='Données projet'!$A$192,'Données projet'!$B$192,EJ104+EI105-ER104)))</f>
        <v>244.35897435897448</v>
      </c>
      <c r="EK105" s="18">
        <f>EJ105*VLOOKUP('Données projet'!$B$15,Paramètres!$A$1:$I$89,3,0)*VLOOKUP('Données projet'!$B$15,Paramètres!$A$1:$I$89,5,0)</f>
        <v>163.91600000000008</v>
      </c>
      <c r="EL105" s="14">
        <f t="shared" si="99"/>
        <v>41.724533288653539</v>
      </c>
      <c r="EM105" s="22">
        <f t="shared" si="73"/>
        <v>358.15726214440502</v>
      </c>
      <c r="EN105" s="62">
        <f t="shared" si="74"/>
        <v>636.10919821938796</v>
      </c>
      <c r="EO105" s="62">
        <f ca="1">AVERAGE(OFFSET($EN$3,0,0,'Données projet'!$E$15+1,1))-AVERAGE(OFFSET($H$3,0,0,'Données projet'!$E$15+1,1))</f>
        <v>296.18088377871669</v>
      </c>
      <c r="EP105" s="62">
        <f t="shared" si="100"/>
        <v>252.23833925792056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0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0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2.9487179487179502</v>
      </c>
      <c r="FE105" s="13">
        <f>IF('Données projet'!$A$218&gt;35,FE104+FD105-FM104,IF(A105&lt;'Données projet'!$A$218,$FB$205^A105,IF(A105='Données projet'!$A$218,'Données projet'!$B$218,FE104+FD105-FM104)))</f>
        <v>244.35897435897448</v>
      </c>
      <c r="FF105" s="18">
        <f>FE105*VLOOKUP('Données projet'!$B$16,Paramètres!$A$1:$I$89,3,0)*VLOOKUP('Données projet'!$B$16,Paramètres!$A$1:$I$89,5,0)</f>
        <v>209.66000000000011</v>
      </c>
      <c r="FG105" s="14">
        <f t="shared" si="101"/>
        <v>51.861280138757188</v>
      </c>
      <c r="FH105" s="22">
        <f t="shared" si="76"/>
        <v>455.48289624166887</v>
      </c>
      <c r="FI105" s="62">
        <f t="shared" si="77"/>
        <v>733.43483231665186</v>
      </c>
      <c r="FJ105" s="62">
        <f ca="1">AVERAGE(OFFSET($FI$3,0,0,'Données projet'!$E$16+1,1))-AVERAGE(OFFSET($H$3,0,0,'Données projet'!$E$16+1,1))</f>
        <v>359.20464555327072</v>
      </c>
      <c r="FK105" s="62">
        <f t="shared" si="102"/>
        <v>305.54154052071863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0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0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4.4000000000000004</v>
      </c>
      <c r="N106" s="14">
        <f>IF('Données projet'!$A$36&gt;35,N105+M106-V105,IF(A106&lt;'Données projet'!$A$36,$K$205^A106,IF(A106='Données projet'!$A$36,'Données projet'!$B$36,N105+M106-V105)))</f>
        <v>274.19999999999976</v>
      </c>
      <c r="O106" s="14">
        <f>N106*VLOOKUP('Données projet'!$B$9,Paramètres!$A$1:$I$89,3,0)*VLOOKUP('Données projet'!$B$9,Paramètres!$A$1:$I$89,5,0)</f>
        <v>278.03879999999975</v>
      </c>
      <c r="P106" s="14">
        <f t="shared" si="87"/>
        <v>66.552381547717744</v>
      </c>
      <c r="Q106" s="22">
        <f t="shared" si="107"/>
        <v>600.16297452894128</v>
      </c>
      <c r="R106" s="62">
        <f t="shared" si="55"/>
        <v>878.38174345870402</v>
      </c>
      <c r="S106" s="62">
        <f ca="1">AVERAGE(OFFSET($R$3,0,0,'Données projet'!$E$9+1,1))-AVERAGE(OFFSET($H$3,0,0,'Données projet'!$E$9+1,1))</f>
        <v>516.30971934066179</v>
      </c>
      <c r="T106" s="62">
        <f t="shared" si="88"/>
        <v>290.84286505723571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4.4000000000000004</v>
      </c>
      <c r="AI106" s="14">
        <f>IF('Données projet'!$A$62&gt;35,AI105+AH106-AQ105,IF(A106&lt;'Données projet'!$A$62,$AF$205^A106,IF(A106='Données projet'!$A$62,'Données projet'!$B$62,AI105+AH106-AQ105)))</f>
        <v>274.19999999999976</v>
      </c>
      <c r="AJ106" s="14">
        <f>AI106*VLOOKUP('Données projet'!$B$10,Paramètres!$A$1:$I$89,3,0)*VLOOKUP('Données projet'!$B$10,Paramètres!$A$1:$I$89,5,0)</f>
        <v>295.14887999999974</v>
      </c>
      <c r="AK106" s="14">
        <f t="shared" si="89"/>
        <v>70.158519482479349</v>
      </c>
      <c r="AL106" s="22">
        <f t="shared" si="58"/>
        <v>636.24372076531768</v>
      </c>
      <c r="AM106" s="62">
        <f t="shared" si="59"/>
        <v>914.46248969508042</v>
      </c>
      <c r="AN106" s="62">
        <f ca="1">AVERAGE(OFFSET($AM$3,0,0,'Données projet'!$E$10+1,1))-AVERAGE(OFFSET($H$3,0,0,'Données projet'!$E$10+1,1))</f>
        <v>542.90832990875208</v>
      </c>
      <c r="AO106" s="62">
        <f t="shared" si="90"/>
        <v>304.94365539329362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4.4000000000000004</v>
      </c>
      <c r="BD106" s="13">
        <f>IF('Données projet'!$A$88&gt;35,BD105+BC106-BL105,IF(A106&lt;'Données projet'!$A$88,$BA$205^A106,IF(A106='Données projet'!$A$88,'Données projet'!$B$88,BD105+BC106-BL105)))</f>
        <v>274.19999999999976</v>
      </c>
      <c r="BE106" s="14">
        <f>BD106*VLOOKUP('Données projet'!$B$11,Paramètres!$A$1:$I$89,3,0)*VLOOKUP('Données projet'!$B$11,Paramètres!$A$1:$I$89,5,0)</f>
        <v>265.20623999999975</v>
      </c>
      <c r="BF106" s="14">
        <f t="shared" si="91"/>
        <v>63.830854160896386</v>
      </c>
      <c r="BG106" s="22">
        <f t="shared" si="61"/>
        <v>573.07293899689409</v>
      </c>
      <c r="BH106" s="62">
        <f t="shared" si="62"/>
        <v>851.29170792665673</v>
      </c>
      <c r="BI106" s="62">
        <f ca="1">AVERAGE(OFFSET($BH$3,0,0,'Données projet'!$E$11+1,1))-AVERAGE(OFFSET($H$3,0,0,'Données projet'!$E$11+1,1))</f>
        <v>496.33873798282525</v>
      </c>
      <c r="BJ106" s="62">
        <f t="shared" si="92"/>
        <v>280.25465074992246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1.7053025658242404E-13</v>
      </c>
      <c r="BZ106" s="14">
        <f>BY106*VLOOKUP('Données projet'!$B$12,Paramètres!$A$1:$I$89,3,0)*VLOOKUP('Données projet'!$B$12,Paramètres!$A$1:$I$89,5,0)</f>
        <v>1.4897523215040567E-13</v>
      </c>
      <c r="CA106" s="14">
        <f t="shared" si="93"/>
        <v>2.136562777003313E-12</v>
      </c>
      <c r="CB106" s="22">
        <f t="shared" si="64"/>
        <v>3.9806453659427267E-12</v>
      </c>
      <c r="CC106" s="62">
        <f t="shared" si="65"/>
        <v>278.21876892976667</v>
      </c>
      <c r="CD106" s="62">
        <f ca="1">AVERAGE(OFFSET($CC$3,0,0,'Données projet'!$E$12+1,1))-AVERAGE(OFFSET($H$3,0,0,'Données projet'!$E$12+1,1))</f>
        <v>298.28891728374822</v>
      </c>
      <c r="CE106" s="62">
        <f t="shared" si="94"/>
        <v>275.07405533331371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1.1368683772161603E-13</v>
      </c>
      <c r="CU106" s="18">
        <f>CT106*VLOOKUP('Données projet'!$B$13,Paramètres!$A$1:$I$89,3,0)*VLOOKUP('Données projet'!$B$13,Paramètres!$A$1:$I$89,5,0)</f>
        <v>6.7984728957526396E-14</v>
      </c>
      <c r="CV106" s="14">
        <f t="shared" si="95"/>
        <v>1.0682447123141398E-12</v>
      </c>
      <c r="CW106" s="22">
        <f t="shared" si="67"/>
        <v>1.978932943548152E-12</v>
      </c>
      <c r="CX106" s="62">
        <f t="shared" si="68"/>
        <v>278.21876892976468</v>
      </c>
      <c r="CY106" s="62">
        <f ca="1">AVERAGE(OFFSET($CX$3,0,0,'Données projet'!$E$13+1,1))-AVERAGE(OFFSET($H$3,0,0,'Données projet'!$E$13+1,1))</f>
        <v>320.46614113586043</v>
      </c>
      <c r="CZ106" s="62">
        <f t="shared" si="96"/>
        <v>250.7806929924491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0</v>
      </c>
      <c r="DG106" s="23">
        <f>EXP(-LN(2)/25)*DG105+(1-EXP(-LN(2)/25))/(LN(2)/25)*Calculateur!DB106*Calculateur!DD106*VLOOKUP('Données projet'!$B$13,Paramètres!$A$1:$I$89,3,0)*0.475*44/12</f>
        <v>0</v>
      </c>
      <c r="DH106" s="23">
        <f>EXP(-LN(2)/2)*DH105+(1-EXP(-LN(2)/2))/(LN(2)/2)*DB106*DE106*VLOOKUP('Données projet'!$B$13,Paramètres!$A$1:$I$89,3,0)*0.475*44/12</f>
        <v>9.7537117574625999E-11</v>
      </c>
      <c r="DI106" s="24">
        <f t="shared" si="69"/>
        <v>9.7537117574625999E-11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-1.1368683772161603E-13</v>
      </c>
      <c r="DP106" s="18">
        <f>DO106*VLOOKUP('Données projet'!$B$14,Paramètres!$A$1:$I$89,3,0)*VLOOKUP('Données projet'!$B$14,Paramètres!$A$1:$I$89,5,0)</f>
        <v>-5.3205440053716299E-14</v>
      </c>
      <c r="DQ106" s="14" t="e">
        <f t="shared" si="97"/>
        <v>#NUM!</v>
      </c>
      <c r="DR106" s="22" t="e">
        <f t="shared" si="70"/>
        <v>#NUM!</v>
      </c>
      <c r="DS106" s="62" t="e">
        <f t="shared" si="71"/>
        <v>#NUM!</v>
      </c>
      <c r="DT106" s="62">
        <f ca="1">AVERAGE(OFFSET($DS$3,0,0,'Données projet'!$E$14+1,1))-AVERAGE(OFFSET($H$3,0,0,'Données projet'!$E$14+1,1))</f>
        <v>429.87867712133851</v>
      </c>
      <c r="DU106" s="62">
        <f t="shared" si="98"/>
        <v>182.81277865988014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0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0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2.9487179487179502</v>
      </c>
      <c r="EJ106" s="13">
        <f>IF('Données projet'!$A$192&gt;35,EJ105+EI106-ER105,IF(A106&lt;'Données projet'!$A$192,$EG$205^A106,IF(A106='Données projet'!$A$192,'Données projet'!$B$192,EJ105+EI106-ER105)))</f>
        <v>247.30769230769243</v>
      </c>
      <c r="EK106" s="18">
        <f>EJ106*VLOOKUP('Données projet'!$B$15,Paramètres!$A$1:$I$89,3,0)*VLOOKUP('Données projet'!$B$15,Paramètres!$A$1:$I$89,5,0)</f>
        <v>165.89400000000009</v>
      </c>
      <c r="EL106" s="14">
        <f t="shared" si="99"/>
        <v>42.169111711210569</v>
      </c>
      <c r="EM106" s="22">
        <f t="shared" si="73"/>
        <v>362.37658623035855</v>
      </c>
      <c r="EN106" s="62">
        <f t="shared" si="74"/>
        <v>640.59535516012124</v>
      </c>
      <c r="EO106" s="62">
        <f ca="1">AVERAGE(OFFSET($EN$3,0,0,'Données projet'!$E$15+1,1))-AVERAGE(OFFSET($H$3,0,0,'Données projet'!$E$15+1,1))</f>
        <v>296.18088377871669</v>
      </c>
      <c r="EP106" s="62">
        <f t="shared" si="100"/>
        <v>252.23833925792056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0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0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2.9487179487179502</v>
      </c>
      <c r="FE106" s="13">
        <f>IF('Données projet'!$A$218&gt;35,FE105+FD106-FM105,IF(A106&lt;'Données projet'!$A$218,$FB$205^A106,IF(A106='Données projet'!$A$218,'Données projet'!$B$218,FE105+FD106-FM105)))</f>
        <v>247.30769230769243</v>
      </c>
      <c r="FF106" s="18">
        <f>FE106*VLOOKUP('Données projet'!$B$16,Paramètres!$A$1:$I$89,3,0)*VLOOKUP('Données projet'!$B$16,Paramètres!$A$1:$I$89,5,0)</f>
        <v>212.19000000000014</v>
      </c>
      <c r="FG106" s="14">
        <f t="shared" si="101"/>
        <v>52.41386645425581</v>
      </c>
      <c r="FH106" s="22">
        <f t="shared" si="76"/>
        <v>460.85173407449571</v>
      </c>
      <c r="FI106" s="62">
        <f t="shared" si="77"/>
        <v>739.0705030042584</v>
      </c>
      <c r="FJ106" s="62">
        <f ca="1">AVERAGE(OFFSET($FI$3,0,0,'Données projet'!$E$16+1,1))-AVERAGE(OFFSET($H$3,0,0,'Données projet'!$E$16+1,1))</f>
        <v>359.20464555327072</v>
      </c>
      <c r="FK106" s="62">
        <f t="shared" si="102"/>
        <v>305.54154052071863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0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0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4.4000000000000004</v>
      </c>
      <c r="N107" s="14">
        <f>IF('Données projet'!$A$36&gt;35,N106+M107-V106,IF(A107&lt;'Données projet'!$A$36,$K$205^A107,IF(A107='Données projet'!$A$36,'Données projet'!$B$36,N106+M107-V106)))</f>
        <v>278.59999999999974</v>
      </c>
      <c r="O107" s="14">
        <f>N107*VLOOKUP('Données projet'!$B$9,Paramètres!$A$1:$I$89,3,0)*VLOOKUP('Données projet'!$B$9,Paramètres!$A$1:$I$89,5,0)</f>
        <v>282.50039999999973</v>
      </c>
      <c r="P107" s="14">
        <f t="shared" si="87"/>
        <v>67.495141560894311</v>
      </c>
      <c r="Q107" s="22">
        <f t="shared" si="107"/>
        <v>609.57556821855712</v>
      </c>
      <c r="R107" s="62">
        <f t="shared" si="55"/>
        <v>888.05654104961809</v>
      </c>
      <c r="S107" s="62">
        <f ca="1">AVERAGE(OFFSET($R$3,0,0,'Données projet'!$E$9+1,1))-AVERAGE(OFFSET($H$3,0,0,'Données projet'!$E$9+1,1))</f>
        <v>516.30971934066179</v>
      </c>
      <c r="T107" s="62">
        <f t="shared" si="88"/>
        <v>290.84286505723571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4.4000000000000004</v>
      </c>
      <c r="AI107" s="14">
        <f>IF('Données projet'!$A$62&gt;35,AI106+AH107-AQ106,IF(A107&lt;'Données projet'!$A$62,$AF$205^A107,IF(A107='Données projet'!$A$62,'Données projet'!$B$62,AI106+AH107-AQ106)))</f>
        <v>278.59999999999974</v>
      </c>
      <c r="AJ107" s="14">
        <f>AI107*VLOOKUP('Données projet'!$B$10,Paramètres!$A$1:$I$89,3,0)*VLOOKUP('Données projet'!$B$10,Paramètres!$A$1:$I$89,5,0)</f>
        <v>299.88503999999972</v>
      </c>
      <c r="AK107" s="14">
        <f t="shared" si="89"/>
        <v>71.152362906464575</v>
      </c>
      <c r="AL107" s="22">
        <f t="shared" si="58"/>
        <v>646.22347672875867</v>
      </c>
      <c r="AM107" s="62">
        <f t="shared" si="59"/>
        <v>924.70444955981952</v>
      </c>
      <c r="AN107" s="62">
        <f ca="1">AVERAGE(OFFSET($AM$3,0,0,'Données projet'!$E$10+1,1))-AVERAGE(OFFSET($H$3,0,0,'Données projet'!$E$10+1,1))</f>
        <v>542.90832990875208</v>
      </c>
      <c r="AO107" s="62">
        <f t="shared" si="90"/>
        <v>304.94365539329362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4.4000000000000004</v>
      </c>
      <c r="BD107" s="13">
        <f>IF('Données projet'!$A$88&gt;35,BD106+BC107-BL106,IF(A107&lt;'Données projet'!$A$88,$BA$205^A107,IF(A107='Données projet'!$A$88,'Données projet'!$B$88,BD106+BC107-BL106)))</f>
        <v>278.59999999999974</v>
      </c>
      <c r="BE107" s="14">
        <f>BD107*VLOOKUP('Données projet'!$B$11,Paramètres!$A$1:$I$89,3,0)*VLOOKUP('Données projet'!$B$11,Paramètres!$A$1:$I$89,5,0)</f>
        <v>269.46191999999974</v>
      </c>
      <c r="BF107" s="14">
        <f t="shared" si="91"/>
        <v>64.735061876839055</v>
      </c>
      <c r="BG107" s="22">
        <f t="shared" si="61"/>
        <v>582.05974343549417</v>
      </c>
      <c r="BH107" s="62">
        <f t="shared" si="62"/>
        <v>860.54071626655514</v>
      </c>
      <c r="BI107" s="62">
        <f ca="1">AVERAGE(OFFSET($BH$3,0,0,'Données projet'!$E$11+1,1))-AVERAGE(OFFSET($H$3,0,0,'Données projet'!$E$11+1,1))</f>
        <v>496.33873798282525</v>
      </c>
      <c r="BJ107" s="62">
        <f t="shared" si="92"/>
        <v>280.25465074992246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1.7053025658242404E-13</v>
      </c>
      <c r="BZ107" s="14">
        <f>BY107*VLOOKUP('Données projet'!$B$12,Paramètres!$A$1:$I$89,3,0)*VLOOKUP('Données projet'!$B$12,Paramètres!$A$1:$I$89,5,0)</f>
        <v>1.4897523215040567E-13</v>
      </c>
      <c r="CA107" s="14">
        <f t="shared" si="93"/>
        <v>2.136562777003313E-12</v>
      </c>
      <c r="CB107" s="22">
        <f t="shared" si="64"/>
        <v>3.9806453659427267E-12</v>
      </c>
      <c r="CC107" s="62">
        <f t="shared" si="65"/>
        <v>278.48097283106489</v>
      </c>
      <c r="CD107" s="62">
        <f ca="1">AVERAGE(OFFSET($CC$3,0,0,'Données projet'!$E$12+1,1))-AVERAGE(OFFSET($H$3,0,0,'Données projet'!$E$12+1,1))</f>
        <v>298.28891728374822</v>
      </c>
      <c r="CE107" s="62">
        <f t="shared" si="94"/>
        <v>275.07405533331371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1.1368683772161603E-13</v>
      </c>
      <c r="CU107" s="18">
        <f>CT107*VLOOKUP('Données projet'!$B$13,Paramètres!$A$1:$I$89,3,0)*VLOOKUP('Données projet'!$B$13,Paramètres!$A$1:$I$89,5,0)</f>
        <v>6.7984728957526396E-14</v>
      </c>
      <c r="CV107" s="14">
        <f t="shared" si="95"/>
        <v>1.0682447123141398E-12</v>
      </c>
      <c r="CW107" s="22">
        <f t="shared" si="67"/>
        <v>1.978932943548152E-12</v>
      </c>
      <c r="CX107" s="62">
        <f t="shared" si="68"/>
        <v>278.4809728310629</v>
      </c>
      <c r="CY107" s="62">
        <f ca="1">AVERAGE(OFFSET($CX$3,0,0,'Données projet'!$E$13+1,1))-AVERAGE(OFFSET($H$3,0,0,'Données projet'!$E$13+1,1))</f>
        <v>320.46614113586043</v>
      </c>
      <c r="CZ107" s="62">
        <f t="shared" si="96"/>
        <v>250.7806929924491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0</v>
      </c>
      <c r="DG107" s="23">
        <f>EXP(-LN(2)/25)*DG106+(1-EXP(-LN(2)/25))/(LN(2)/25)*Calculateur!DB107*Calculateur!DD107*VLOOKUP('Données projet'!$B$13,Paramètres!$A$1:$I$89,3,0)*0.475*44/12</f>
        <v>0</v>
      </c>
      <c r="DH107" s="23">
        <f>EXP(-LN(2)/2)*DH106+(1-EXP(-LN(2)/2))/(LN(2)/2)*DB107*DE107*VLOOKUP('Données projet'!$B$13,Paramètres!$A$1:$I$89,3,0)*0.475*44/12</f>
        <v>6.8969157254407624E-11</v>
      </c>
      <c r="DI107" s="24">
        <f t="shared" si="69"/>
        <v>6.8969157254407624E-11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-1.1368683772161603E-13</v>
      </c>
      <c r="DP107" s="18">
        <f>DO107*VLOOKUP('Données projet'!$B$14,Paramètres!$A$1:$I$89,3,0)*VLOOKUP('Données projet'!$B$14,Paramètres!$A$1:$I$89,5,0)</f>
        <v>-5.3205440053716299E-14</v>
      </c>
      <c r="DQ107" s="14" t="e">
        <f t="shared" si="97"/>
        <v>#NUM!</v>
      </c>
      <c r="DR107" s="22" t="e">
        <f t="shared" si="70"/>
        <v>#NUM!</v>
      </c>
      <c r="DS107" s="62" t="e">
        <f t="shared" si="71"/>
        <v>#NUM!</v>
      </c>
      <c r="DT107" s="62">
        <f ca="1">AVERAGE(OFFSET($DS$3,0,0,'Données projet'!$E$14+1,1))-AVERAGE(OFFSET($H$3,0,0,'Données projet'!$E$14+1,1))</f>
        <v>429.87867712133851</v>
      </c>
      <c r="DU107" s="62">
        <f t="shared" si="98"/>
        <v>182.81277865988014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0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0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2.9487179487179502</v>
      </c>
      <c r="EJ107" s="13">
        <f>IF('Données projet'!$A$192&gt;35,EJ106+EI107-ER106,IF(A107&lt;'Données projet'!$A$192,$EG$205^A107,IF(A107='Données projet'!$A$192,'Données projet'!$B$192,EJ106+EI107-ER106)))</f>
        <v>250.25641025641039</v>
      </c>
      <c r="EK107" s="18">
        <f>EJ107*VLOOKUP('Données projet'!$B$15,Paramètres!$A$1:$I$89,3,0)*VLOOKUP('Données projet'!$B$15,Paramètres!$A$1:$I$89,5,0)</f>
        <v>167.8720000000001</v>
      </c>
      <c r="EL107" s="14">
        <f t="shared" si="99"/>
        <v>42.613073529517067</v>
      </c>
      <c r="EM107" s="22">
        <f t="shared" si="73"/>
        <v>366.59483639724243</v>
      </c>
      <c r="EN107" s="62">
        <f t="shared" si="74"/>
        <v>645.07580922830334</v>
      </c>
      <c r="EO107" s="62">
        <f ca="1">AVERAGE(OFFSET($EN$3,0,0,'Données projet'!$E$15+1,1))-AVERAGE(OFFSET($H$3,0,0,'Données projet'!$E$15+1,1))</f>
        <v>296.18088377871669</v>
      </c>
      <c r="EP107" s="62">
        <f t="shared" si="100"/>
        <v>252.23833925792056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0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0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2.9487179487179502</v>
      </c>
      <c r="FE107" s="13">
        <f>IF('Données projet'!$A$218&gt;35,FE106+FD107-FM106,IF(A107&lt;'Données projet'!$A$218,$FB$205^A107,IF(A107='Données projet'!$A$218,'Données projet'!$B$218,FE106+FD107-FM106)))</f>
        <v>250.25641025641039</v>
      </c>
      <c r="FF107" s="18">
        <f>FE107*VLOOKUP('Données projet'!$B$16,Paramètres!$A$1:$I$89,3,0)*VLOOKUP('Données projet'!$B$16,Paramètres!$A$1:$I$89,5,0)</f>
        <v>214.72000000000014</v>
      </c>
      <c r="FG107" s="14">
        <f t="shared" si="101"/>
        <v>52.965686364878238</v>
      </c>
      <c r="FH107" s="22">
        <f t="shared" si="76"/>
        <v>466.21923708549645</v>
      </c>
      <c r="FI107" s="62">
        <f t="shared" si="77"/>
        <v>744.70020991655736</v>
      </c>
      <c r="FJ107" s="62">
        <f ca="1">AVERAGE(OFFSET($FI$3,0,0,'Données projet'!$E$16+1,1))-AVERAGE(OFFSET($H$3,0,0,'Données projet'!$E$16+1,1))</f>
        <v>359.20464555327072</v>
      </c>
      <c r="FK107" s="62">
        <f t="shared" si="102"/>
        <v>305.54154052071863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0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0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4.4000000000000004</v>
      </c>
      <c r="N108" s="14">
        <f>IF('Données projet'!$A$36&gt;35,N107+M108-V107,IF(A108&lt;'Données projet'!$A$36,$K$205^A108,IF(A108='Données projet'!$A$36,'Données projet'!$B$36,N107+M108-V107)))</f>
        <v>282.99999999999972</v>
      </c>
      <c r="O108" s="14">
        <f>N108*VLOOKUP('Données projet'!$B$9,Paramètres!$A$1:$I$89,3,0)*VLOOKUP('Données projet'!$B$9,Paramètres!$A$1:$I$89,5,0)</f>
        <v>286.9619999999997</v>
      </c>
      <c r="P108" s="14">
        <f t="shared" si="87"/>
        <v>68.436169981717796</v>
      </c>
      <c r="Q108" s="22">
        <f t="shared" si="107"/>
        <v>618.98514605149137</v>
      </c>
      <c r="R108" s="62">
        <f t="shared" si="55"/>
        <v>897.72377413236313</v>
      </c>
      <c r="S108" s="62">
        <f ca="1">AVERAGE(OFFSET($R$3,0,0,'Données projet'!$E$9+1,1))-AVERAGE(OFFSET($H$3,0,0,'Données projet'!$E$9+1,1))</f>
        <v>516.30971934066179</v>
      </c>
      <c r="T108" s="62">
        <f t="shared" si="88"/>
        <v>290.84286505723571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4.4000000000000004</v>
      </c>
      <c r="AI108" s="14">
        <f>IF('Données projet'!$A$62&gt;35,AI107+AH108-AQ107,IF(A108&lt;'Données projet'!$A$62,$AF$205^A108,IF(A108='Données projet'!$A$62,'Données projet'!$B$62,AI107+AH108-AQ107)))</f>
        <v>282.99999999999972</v>
      </c>
      <c r="AJ108" s="14">
        <f>AI108*VLOOKUP('Données projet'!$B$10,Paramètres!$A$1:$I$89,3,0)*VLOOKUP('Données projet'!$B$10,Paramètres!$A$1:$I$89,5,0)</f>
        <v>304.62119999999965</v>
      </c>
      <c r="AK108" s="14">
        <f t="shared" si="89"/>
        <v>72.144380911839335</v>
      </c>
      <c r="AL108" s="22">
        <f t="shared" si="58"/>
        <v>656.20005342145294</v>
      </c>
      <c r="AM108" s="62">
        <f t="shared" si="59"/>
        <v>934.9386815023247</v>
      </c>
      <c r="AN108" s="62">
        <f ca="1">AVERAGE(OFFSET($AM$3,0,0,'Données projet'!$E$10+1,1))-AVERAGE(OFFSET($H$3,0,0,'Données projet'!$E$10+1,1))</f>
        <v>542.90832990875208</v>
      </c>
      <c r="AO108" s="62">
        <f t="shared" si="90"/>
        <v>304.94365539329362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4.4000000000000004</v>
      </c>
      <c r="BD108" s="13">
        <f>IF('Données projet'!$A$88&gt;35,BD107+BC108-BL107,IF(A108&lt;'Données projet'!$A$88,$BA$205^A108,IF(A108='Données projet'!$A$88,'Données projet'!$B$88,BD107+BC108-BL107)))</f>
        <v>282.99999999999972</v>
      </c>
      <c r="BE108" s="14">
        <f>BD108*VLOOKUP('Données projet'!$B$11,Paramètres!$A$1:$I$89,3,0)*VLOOKUP('Données projet'!$B$11,Paramètres!$A$1:$I$89,5,0)</f>
        <v>273.71759999999972</v>
      </c>
      <c r="BF108" s="14">
        <f t="shared" si="91"/>
        <v>65.637608810456612</v>
      </c>
      <c r="BG108" s="22">
        <f t="shared" si="61"/>
        <v>591.04365534487806</v>
      </c>
      <c r="BH108" s="62">
        <f t="shared" si="62"/>
        <v>869.78228342574982</v>
      </c>
      <c r="BI108" s="62">
        <f ca="1">AVERAGE(OFFSET($BH$3,0,0,'Données projet'!$E$11+1,1))-AVERAGE(OFFSET($H$3,0,0,'Données projet'!$E$11+1,1))</f>
        <v>496.33873798282525</v>
      </c>
      <c r="BJ108" s="62">
        <f t="shared" si="92"/>
        <v>280.25465074992246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1.7053025658242404E-13</v>
      </c>
      <c r="BZ108" s="14">
        <f>BY108*VLOOKUP('Données projet'!$B$12,Paramètres!$A$1:$I$89,3,0)*VLOOKUP('Données projet'!$B$12,Paramètres!$A$1:$I$89,5,0)</f>
        <v>1.4897523215040567E-13</v>
      </c>
      <c r="CA108" s="14">
        <f t="shared" si="93"/>
        <v>2.136562777003313E-12</v>
      </c>
      <c r="CB108" s="22">
        <f t="shared" si="64"/>
        <v>3.9806453659427267E-12</v>
      </c>
      <c r="CC108" s="62">
        <f t="shared" si="65"/>
        <v>278.73862808087574</v>
      </c>
      <c r="CD108" s="62">
        <f ca="1">AVERAGE(OFFSET($CC$3,0,0,'Données projet'!$E$12+1,1))-AVERAGE(OFFSET($H$3,0,0,'Données projet'!$E$12+1,1))</f>
        <v>298.28891728374822</v>
      </c>
      <c r="CE108" s="62">
        <f t="shared" si="94"/>
        <v>275.07405533331371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1.1368683772161603E-13</v>
      </c>
      <c r="CU108" s="18">
        <f>CT108*VLOOKUP('Données projet'!$B$13,Paramètres!$A$1:$I$89,3,0)*VLOOKUP('Données projet'!$B$13,Paramètres!$A$1:$I$89,5,0)</f>
        <v>6.7984728957526396E-14</v>
      </c>
      <c r="CV108" s="14">
        <f t="shared" si="95"/>
        <v>1.0682447123141398E-12</v>
      </c>
      <c r="CW108" s="22">
        <f t="shared" si="67"/>
        <v>1.978932943548152E-12</v>
      </c>
      <c r="CX108" s="62">
        <f t="shared" si="68"/>
        <v>278.73862808087375</v>
      </c>
      <c r="CY108" s="62">
        <f ca="1">AVERAGE(OFFSET($CX$3,0,0,'Données projet'!$E$13+1,1))-AVERAGE(OFFSET($H$3,0,0,'Données projet'!$E$13+1,1))</f>
        <v>320.46614113586043</v>
      </c>
      <c r="CZ108" s="62">
        <f t="shared" si="96"/>
        <v>250.7806929924491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0</v>
      </c>
      <c r="DG108" s="23">
        <f>EXP(-LN(2)/25)*DG107+(1-EXP(-LN(2)/25))/(LN(2)/25)*Calculateur!DB108*Calculateur!DD108*VLOOKUP('Données projet'!$B$13,Paramètres!$A$1:$I$89,3,0)*0.475*44/12</f>
        <v>0</v>
      </c>
      <c r="DH108" s="23">
        <f>EXP(-LN(2)/2)*DH107+(1-EXP(-LN(2)/2))/(LN(2)/2)*DB108*DE108*VLOOKUP('Données projet'!$B$13,Paramètres!$A$1:$I$89,3,0)*0.475*44/12</f>
        <v>4.8768558787312999E-11</v>
      </c>
      <c r="DI108" s="24">
        <f t="shared" si="69"/>
        <v>4.8768558787312999E-11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-1.1368683772161603E-13</v>
      </c>
      <c r="DP108" s="18">
        <f>DO108*VLOOKUP('Données projet'!$B$14,Paramètres!$A$1:$I$89,3,0)*VLOOKUP('Données projet'!$B$14,Paramètres!$A$1:$I$89,5,0)</f>
        <v>-5.3205440053716299E-14</v>
      </c>
      <c r="DQ108" s="14" t="e">
        <f t="shared" si="97"/>
        <v>#NUM!</v>
      </c>
      <c r="DR108" s="22" t="e">
        <f t="shared" si="70"/>
        <v>#NUM!</v>
      </c>
      <c r="DS108" s="62" t="e">
        <f t="shared" si="71"/>
        <v>#NUM!</v>
      </c>
      <c r="DT108" s="62">
        <f ca="1">AVERAGE(OFFSET($DS$3,0,0,'Données projet'!$E$14+1,1))-AVERAGE(OFFSET($H$3,0,0,'Données projet'!$E$14+1,1))</f>
        <v>429.87867712133851</v>
      </c>
      <c r="DU108" s="62">
        <f t="shared" si="98"/>
        <v>182.81277865988014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0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0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>
        <f>VLOOKUP(A108,'Données projet'!$A$191:$I$211,2,0)</f>
        <v>253.2051282051282</v>
      </c>
      <c r="EH108" s="13">
        <f>VLOOKUP(A108,'Données projet'!$A$191:$I$211,9,0)</f>
        <v>2.9487179487179502</v>
      </c>
      <c r="EI108" s="13">
        <f t="array" ref="EI108">INDEX(EH:EH,MIN(IF(ISNUMBER(EH108:EH304),ROW(EH108:EH304),"")))</f>
        <v>2.9487179487179502</v>
      </c>
      <c r="EJ108" s="13">
        <f>IF('Données projet'!$A$192&gt;35,EJ107+EI108-ER107,IF(A108&lt;'Données projet'!$A$192,$EG$205^A108,IF(A108='Données projet'!$A$192,'Données projet'!$B$192,EJ107+EI108-ER107)))</f>
        <v>253.20512820512835</v>
      </c>
      <c r="EK108" s="18">
        <f>EJ108*VLOOKUP('Données projet'!$B$15,Paramètres!$A$1:$I$89,3,0)*VLOOKUP('Données projet'!$B$15,Paramètres!$A$1:$I$89,5,0)</f>
        <v>169.85000000000008</v>
      </c>
      <c r="EL108" s="14">
        <f t="shared" si="99"/>
        <v>43.056426849389901</v>
      </c>
      <c r="EM108" s="22">
        <f t="shared" si="73"/>
        <v>370.81202676268754</v>
      </c>
      <c r="EN108" s="62">
        <f t="shared" si="74"/>
        <v>649.5506548435593</v>
      </c>
      <c r="EO108" s="62">
        <f ca="1">AVERAGE(OFFSET($EN$3,0,0,'Données projet'!$E$15+1,1))-AVERAGE(OFFSET($H$3,0,0,'Données projet'!$E$15+1,1))</f>
        <v>296.18088377871669</v>
      </c>
      <c r="EP108" s="62">
        <f t="shared" si="100"/>
        <v>252.23833925792056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0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0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>
        <f>VLOOKUP(A108,'Données projet'!$A$217:$I$237,2,0)</f>
        <v>253.2051282051282</v>
      </c>
      <c r="FC108" s="13">
        <f>VLOOKUP(A108,'Données projet'!$A$217:$I$237,9,0)</f>
        <v>2.9487179487179502</v>
      </c>
      <c r="FD108" s="13">
        <f t="array" ref="FD108">INDEX(FC:FC,MIN(IF(ISNUMBER(FC108:FC304),ROW(FC108:FC304),"")))</f>
        <v>2.9487179487179502</v>
      </c>
      <c r="FE108" s="13">
        <f>IF('Données projet'!$A$218&gt;35,FE107+FD108-FM107,IF(A108&lt;'Données projet'!$A$218,$FB$205^A108,IF(A108='Données projet'!$A$218,'Données projet'!$B$218,FE107+FD108-FM107)))</f>
        <v>253.20512820512835</v>
      </c>
      <c r="FF108" s="18">
        <f>FE108*VLOOKUP('Données projet'!$B$16,Paramètres!$A$1:$I$89,3,0)*VLOOKUP('Données projet'!$B$16,Paramètres!$A$1:$I$89,5,0)</f>
        <v>217.25000000000017</v>
      </c>
      <c r="FG108" s="14">
        <f t="shared" si="101"/>
        <v>53.516749945705051</v>
      </c>
      <c r="FH108" s="22">
        <f t="shared" si="76"/>
        <v>471.58542282210323</v>
      </c>
      <c r="FI108" s="62">
        <f t="shared" si="77"/>
        <v>750.32405090297493</v>
      </c>
      <c r="FJ108" s="62">
        <f ca="1">AVERAGE(OFFSET($FI$3,0,0,'Données projet'!$E$16+1,1))-AVERAGE(OFFSET($H$3,0,0,'Données projet'!$E$16+1,1))</f>
        <v>359.20464555327072</v>
      </c>
      <c r="FK108" s="62">
        <f t="shared" si="102"/>
        <v>305.54154052071863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0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0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4.4000000000000004</v>
      </c>
      <c r="N109" s="14">
        <f>IF('Données projet'!$A$36&gt;35,N108+M109-V108,IF(A109&lt;'Données projet'!$A$36,$K$205^A109,IF(A109='Données projet'!$A$36,'Données projet'!$B$36,N108+M109-V108)))</f>
        <v>287.39999999999969</v>
      </c>
      <c r="O109" s="14">
        <f>N109*VLOOKUP('Données projet'!$B$9,Paramètres!$A$1:$I$89,3,0)*VLOOKUP('Données projet'!$B$9,Paramètres!$A$1:$I$89,5,0)</f>
        <v>291.42359999999968</v>
      </c>
      <c r="P109" s="14">
        <f t="shared" si="87"/>
        <v>69.375496841482104</v>
      </c>
      <c r="Q109" s="22">
        <f t="shared" si="107"/>
        <v>628.39176033224737</v>
      </c>
      <c r="R109" s="62">
        <f t="shared" si="55"/>
        <v>907.38357392037642</v>
      </c>
      <c r="S109" s="62">
        <f ca="1">AVERAGE(OFFSET($R$3,0,0,'Données projet'!$E$9+1,1))-AVERAGE(OFFSET($H$3,0,0,'Données projet'!$E$9+1,1))</f>
        <v>516.30971934066179</v>
      </c>
      <c r="T109" s="62">
        <f t="shared" si="88"/>
        <v>290.84286505723571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4.4000000000000004</v>
      </c>
      <c r="AI109" s="14">
        <f>IF('Données projet'!$A$62&gt;35,AI108+AH109-AQ108,IF(A109&lt;'Données projet'!$A$62,$AF$205^A109,IF(A109='Données projet'!$A$62,'Données projet'!$B$62,AI108+AH109-AQ108)))</f>
        <v>287.39999999999969</v>
      </c>
      <c r="AJ109" s="14">
        <f>AI109*VLOOKUP('Données projet'!$B$10,Paramètres!$A$1:$I$89,3,0)*VLOOKUP('Données projet'!$B$10,Paramètres!$A$1:$I$89,5,0)</f>
        <v>309.35735999999969</v>
      </c>
      <c r="AK109" s="14">
        <f t="shared" si="89"/>
        <v>73.134605157142161</v>
      </c>
      <c r="AL109" s="22">
        <f t="shared" si="58"/>
        <v>666.17350598202211</v>
      </c>
      <c r="AM109" s="62">
        <f t="shared" si="59"/>
        <v>945.16531957015127</v>
      </c>
      <c r="AN109" s="62">
        <f ca="1">AVERAGE(OFFSET($AM$3,0,0,'Données projet'!$E$10+1,1))-AVERAGE(OFFSET($H$3,0,0,'Données projet'!$E$10+1,1))</f>
        <v>542.90832990875208</v>
      </c>
      <c r="AO109" s="62">
        <f t="shared" si="90"/>
        <v>304.94365539329362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4.4000000000000004</v>
      </c>
      <c r="BD109" s="13">
        <f>IF('Données projet'!$A$88&gt;35,BD108+BC109-BL108,IF(A109&lt;'Données projet'!$A$88,$BA$205^A109,IF(A109='Données projet'!$A$88,'Données projet'!$B$88,BD108+BC109-BL108)))</f>
        <v>287.39999999999969</v>
      </c>
      <c r="BE109" s="14">
        <f>BD109*VLOOKUP('Données projet'!$B$11,Paramètres!$A$1:$I$89,3,0)*VLOOKUP('Données projet'!$B$11,Paramètres!$A$1:$I$89,5,0)</f>
        <v>277.9732799999997</v>
      </c>
      <c r="BF109" s="14">
        <f t="shared" si="91"/>
        <v>66.538523764973135</v>
      </c>
      <c r="BG109" s="22">
        <f t="shared" si="61"/>
        <v>600.0247248906611</v>
      </c>
      <c r="BH109" s="62">
        <f t="shared" si="62"/>
        <v>879.01653847879015</v>
      </c>
      <c r="BI109" s="62">
        <f ca="1">AVERAGE(OFFSET($BH$3,0,0,'Données projet'!$E$11+1,1))-AVERAGE(OFFSET($H$3,0,0,'Données projet'!$E$11+1,1))</f>
        <v>496.33873798282525</v>
      </c>
      <c r="BJ109" s="62">
        <f t="shared" si="92"/>
        <v>280.25465074992246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1.7053025658242404E-13</v>
      </c>
      <c r="BZ109" s="14">
        <f>BY109*VLOOKUP('Données projet'!$B$12,Paramètres!$A$1:$I$89,3,0)*VLOOKUP('Données projet'!$B$12,Paramètres!$A$1:$I$89,5,0)</f>
        <v>1.4897523215040567E-13</v>
      </c>
      <c r="CA109" s="14">
        <f t="shared" si="93"/>
        <v>2.136562777003313E-12</v>
      </c>
      <c r="CB109" s="22">
        <f t="shared" si="64"/>
        <v>3.9806453659427267E-12</v>
      </c>
      <c r="CC109" s="62">
        <f t="shared" si="65"/>
        <v>278.99181358813308</v>
      </c>
      <c r="CD109" s="62">
        <f ca="1">AVERAGE(OFFSET($CC$3,0,0,'Données projet'!$E$12+1,1))-AVERAGE(OFFSET($H$3,0,0,'Données projet'!$E$12+1,1))</f>
        <v>298.28891728374822</v>
      </c>
      <c r="CE109" s="62">
        <f t="shared" si="94"/>
        <v>275.07405533331371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1.1368683772161603E-13</v>
      </c>
      <c r="CU109" s="18">
        <f>CT109*VLOOKUP('Données projet'!$B$13,Paramètres!$A$1:$I$89,3,0)*VLOOKUP('Données projet'!$B$13,Paramètres!$A$1:$I$89,5,0)</f>
        <v>6.7984728957526396E-14</v>
      </c>
      <c r="CV109" s="14">
        <f t="shared" si="95"/>
        <v>1.0682447123141398E-12</v>
      </c>
      <c r="CW109" s="22">
        <f t="shared" si="67"/>
        <v>1.978932943548152E-12</v>
      </c>
      <c r="CX109" s="62">
        <f t="shared" si="68"/>
        <v>278.99181358813109</v>
      </c>
      <c r="CY109" s="62">
        <f ca="1">AVERAGE(OFFSET($CX$3,0,0,'Données projet'!$E$13+1,1))-AVERAGE(OFFSET($H$3,0,0,'Données projet'!$E$13+1,1))</f>
        <v>320.46614113586043</v>
      </c>
      <c r="CZ109" s="62">
        <f t="shared" si="96"/>
        <v>250.7806929924491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0</v>
      </c>
      <c r="DG109" s="23">
        <f>EXP(-LN(2)/25)*DG108+(1-EXP(-LN(2)/25))/(LN(2)/25)*Calculateur!DB109*Calculateur!DD109*VLOOKUP('Données projet'!$B$13,Paramètres!$A$1:$I$89,3,0)*0.475*44/12</f>
        <v>0</v>
      </c>
      <c r="DH109" s="23">
        <f>EXP(-LN(2)/2)*DH108+(1-EXP(-LN(2)/2))/(LN(2)/2)*DB109*DE109*VLOOKUP('Données projet'!$B$13,Paramètres!$A$1:$I$89,3,0)*0.475*44/12</f>
        <v>3.4484578627203812E-11</v>
      </c>
      <c r="DI109" s="24">
        <f t="shared" si="69"/>
        <v>3.4484578627203812E-11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-1.1368683772161603E-13</v>
      </c>
      <c r="DP109" s="18">
        <f>DO109*VLOOKUP('Données projet'!$B$14,Paramètres!$A$1:$I$89,3,0)*VLOOKUP('Données projet'!$B$14,Paramètres!$A$1:$I$89,5,0)</f>
        <v>-5.3205440053716299E-14</v>
      </c>
      <c r="DQ109" s="14" t="e">
        <f t="shared" si="97"/>
        <v>#NUM!</v>
      </c>
      <c r="DR109" s="22" t="e">
        <f t="shared" si="70"/>
        <v>#NUM!</v>
      </c>
      <c r="DS109" s="62" t="e">
        <f t="shared" si="71"/>
        <v>#NUM!</v>
      </c>
      <c r="DT109" s="62">
        <f ca="1">AVERAGE(OFFSET($DS$3,0,0,'Données projet'!$E$14+1,1))-AVERAGE(OFFSET($H$3,0,0,'Données projet'!$E$14+1,1))</f>
        <v>429.87867712133851</v>
      </c>
      <c r="DU109" s="62">
        <f t="shared" si="98"/>
        <v>182.81277865988014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0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0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2.8205128205128234</v>
      </c>
      <c r="EJ109" s="13">
        <f>IF('Données projet'!$A$192&gt;35,EJ108+EI109-ER108,IF(A109&lt;'Données projet'!$A$192,$EG$205^A109,IF(A109='Données projet'!$A$192,'Données projet'!$B$192,EJ108+EI109-ER108)))</f>
        <v>256.02564102564116</v>
      </c>
      <c r="EK109" s="18">
        <f>EJ109*VLOOKUP('Données projet'!$B$15,Paramètres!$A$1:$I$89,3,0)*VLOOKUP('Données projet'!$B$15,Paramètres!$A$1:$I$89,5,0)</f>
        <v>171.7420000000001</v>
      </c>
      <c r="EL109" s="14">
        <f t="shared" si="99"/>
        <v>43.479941841807872</v>
      </c>
      <c r="EM109" s="22">
        <f t="shared" si="73"/>
        <v>374.84488204114882</v>
      </c>
      <c r="EN109" s="62">
        <f t="shared" si="74"/>
        <v>653.83669562927798</v>
      </c>
      <c r="EO109" s="62">
        <f ca="1">AVERAGE(OFFSET($EN$3,0,0,'Données projet'!$E$15+1,1))-AVERAGE(OFFSET($H$3,0,0,'Données projet'!$E$15+1,1))</f>
        <v>296.18088377871669</v>
      </c>
      <c r="EP109" s="62">
        <f t="shared" si="100"/>
        <v>252.23833925792056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0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0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2.8205128205128234</v>
      </c>
      <c r="FE109" s="13">
        <f>IF('Données projet'!$A$218&gt;35,FE108+FD109-FM108,IF(A109&lt;'Données projet'!$A$218,$FB$205^A109,IF(A109='Données projet'!$A$218,'Données projet'!$B$218,FE108+FD109-FM108)))</f>
        <v>256.02564102564116</v>
      </c>
      <c r="FF109" s="18">
        <f>FE109*VLOOKUP('Données projet'!$B$16,Paramètres!$A$1:$I$89,3,0)*VLOOKUP('Données projet'!$B$16,Paramètres!$A$1:$I$89,5,0)</f>
        <v>219.67000000000016</v>
      </c>
      <c r="FG109" s="14">
        <f t="shared" si="101"/>
        <v>54.043155586070185</v>
      </c>
      <c r="FH109" s="22">
        <f t="shared" si="76"/>
        <v>476.71707931240582</v>
      </c>
      <c r="FI109" s="62">
        <f t="shared" si="77"/>
        <v>755.70889290053492</v>
      </c>
      <c r="FJ109" s="62">
        <f ca="1">AVERAGE(OFFSET($FI$3,0,0,'Données projet'!$E$16+1,1))-AVERAGE(OFFSET($H$3,0,0,'Données projet'!$E$16+1,1))</f>
        <v>359.20464555327072</v>
      </c>
      <c r="FK109" s="62">
        <f t="shared" si="102"/>
        <v>305.54154052071863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0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0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4.4000000000000004</v>
      </c>
      <c r="N110" s="14">
        <f>IF('Données projet'!$A$36&gt;35,N109+M110-V109,IF(A110&lt;'Données projet'!$A$36,$K$205^A110,IF(A110='Données projet'!$A$36,'Données projet'!$B$36,N109+M110-V109)))</f>
        <v>291.79999999999967</v>
      </c>
      <c r="O110" s="14">
        <f>N110*VLOOKUP('Données projet'!$B$9,Paramètres!$A$1:$I$89,3,0)*VLOOKUP('Données projet'!$B$9,Paramètres!$A$1:$I$89,5,0)</f>
        <v>295.88519999999966</v>
      </c>
      <c r="P110" s="14">
        <f t="shared" si="87"/>
        <v>70.313151199178748</v>
      </c>
      <c r="Q110" s="22">
        <f t="shared" si="107"/>
        <v>637.79546167190244</v>
      </c>
      <c r="R110" s="62">
        <f t="shared" si="55"/>
        <v>917.03606856477609</v>
      </c>
      <c r="S110" s="62">
        <f ca="1">AVERAGE(OFFSET($R$3,0,0,'Données projet'!$E$9+1,1))-AVERAGE(OFFSET($H$3,0,0,'Données projet'!$E$9+1,1))</f>
        <v>516.30971934066179</v>
      </c>
      <c r="T110" s="62">
        <f t="shared" si="88"/>
        <v>290.84286505723571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4.4000000000000004</v>
      </c>
      <c r="AI110" s="14">
        <f>IF('Données projet'!$A$62&gt;35,AI109+AH110-AQ109,IF(A110&lt;'Données projet'!$A$62,$AF$205^A110,IF(A110='Données projet'!$A$62,'Données projet'!$B$62,AI109+AH110-AQ109)))</f>
        <v>291.79999999999967</v>
      </c>
      <c r="AJ110" s="14">
        <f>AI110*VLOOKUP('Données projet'!$B$10,Paramètres!$A$1:$I$89,3,0)*VLOOKUP('Données projet'!$B$10,Paramètres!$A$1:$I$89,5,0)</f>
        <v>314.09351999999961</v>
      </c>
      <c r="AK110" s="14">
        <f t="shared" si="89"/>
        <v>74.123066275924458</v>
      </c>
      <c r="AL110" s="22">
        <f t="shared" si="58"/>
        <v>676.14388776390103</v>
      </c>
      <c r="AM110" s="62">
        <f t="shared" si="59"/>
        <v>955.38449465677468</v>
      </c>
      <c r="AN110" s="62">
        <f ca="1">AVERAGE(OFFSET($AM$3,0,0,'Données projet'!$E$10+1,1))-AVERAGE(OFFSET($H$3,0,0,'Données projet'!$E$10+1,1))</f>
        <v>542.90832990875208</v>
      </c>
      <c r="AO110" s="62">
        <f t="shared" si="90"/>
        <v>304.94365539329362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4.4000000000000004</v>
      </c>
      <c r="BD110" s="13">
        <f>IF('Données projet'!$A$88&gt;35,BD109+BC110-BL109,IF(A110&lt;'Données projet'!$A$88,$BA$205^A110,IF(A110='Données projet'!$A$88,'Données projet'!$B$88,BD109+BC110-BL109)))</f>
        <v>291.79999999999967</v>
      </c>
      <c r="BE110" s="14">
        <f>BD110*VLOOKUP('Données projet'!$B$11,Paramètres!$A$1:$I$89,3,0)*VLOOKUP('Données projet'!$B$11,Paramètres!$A$1:$I$89,5,0)</f>
        <v>282.22895999999969</v>
      </c>
      <c r="BF110" s="14">
        <f t="shared" si="91"/>
        <v>67.437834611070301</v>
      </c>
      <c r="BG110" s="22">
        <f t="shared" si="61"/>
        <v>609.00300061428027</v>
      </c>
      <c r="BH110" s="62">
        <f t="shared" si="62"/>
        <v>888.24360750715391</v>
      </c>
      <c r="BI110" s="62">
        <f ca="1">AVERAGE(OFFSET($BH$3,0,0,'Données projet'!$E$11+1,1))-AVERAGE(OFFSET($H$3,0,0,'Données projet'!$E$11+1,1))</f>
        <v>496.33873798282525</v>
      </c>
      <c r="BJ110" s="62">
        <f t="shared" si="92"/>
        <v>280.25465074992246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1.7053025658242404E-13</v>
      </c>
      <c r="BZ110" s="14">
        <f>BY110*VLOOKUP('Données projet'!$B$12,Paramètres!$A$1:$I$89,3,0)*VLOOKUP('Données projet'!$B$12,Paramètres!$A$1:$I$89,5,0)</f>
        <v>1.4897523215040567E-13</v>
      </c>
      <c r="CA110" s="14">
        <f t="shared" si="93"/>
        <v>2.136562777003313E-12</v>
      </c>
      <c r="CB110" s="22">
        <f t="shared" si="64"/>
        <v>3.9806453659427267E-12</v>
      </c>
      <c r="CC110" s="62">
        <f t="shared" si="65"/>
        <v>279.24060689287762</v>
      </c>
      <c r="CD110" s="62">
        <f ca="1">AVERAGE(OFFSET($CC$3,0,0,'Données projet'!$E$12+1,1))-AVERAGE(OFFSET($H$3,0,0,'Données projet'!$E$12+1,1))</f>
        <v>298.28891728374822</v>
      </c>
      <c r="CE110" s="62">
        <f t="shared" si="94"/>
        <v>275.07405533331371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1.1368683772161603E-13</v>
      </c>
      <c r="CU110" s="18">
        <f>CT110*VLOOKUP('Données projet'!$B$13,Paramètres!$A$1:$I$89,3,0)*VLOOKUP('Données projet'!$B$13,Paramètres!$A$1:$I$89,5,0)</f>
        <v>6.7984728957526396E-14</v>
      </c>
      <c r="CV110" s="14">
        <f t="shared" si="95"/>
        <v>1.0682447123141398E-12</v>
      </c>
      <c r="CW110" s="22">
        <f t="shared" si="67"/>
        <v>1.978932943548152E-12</v>
      </c>
      <c r="CX110" s="62">
        <f t="shared" si="68"/>
        <v>279.24060689287563</v>
      </c>
      <c r="CY110" s="62">
        <f ca="1">AVERAGE(OFFSET($CX$3,0,0,'Données projet'!$E$13+1,1))-AVERAGE(OFFSET($H$3,0,0,'Données projet'!$E$13+1,1))</f>
        <v>320.46614113586043</v>
      </c>
      <c r="CZ110" s="62">
        <f t="shared" si="96"/>
        <v>250.7806929924491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0</v>
      </c>
      <c r="DG110" s="23">
        <f>EXP(-LN(2)/25)*DG109+(1-EXP(-LN(2)/25))/(LN(2)/25)*Calculateur!DB110*Calculateur!DD110*VLOOKUP('Données projet'!$B$13,Paramètres!$A$1:$I$89,3,0)*0.475*44/12</f>
        <v>0</v>
      </c>
      <c r="DH110" s="23">
        <f>EXP(-LN(2)/2)*DH109+(1-EXP(-LN(2)/2))/(LN(2)/2)*DB110*DE110*VLOOKUP('Données projet'!$B$13,Paramètres!$A$1:$I$89,3,0)*0.475*44/12</f>
        <v>2.43842793936565E-11</v>
      </c>
      <c r="DI110" s="24">
        <f t="shared" si="69"/>
        <v>2.43842793936565E-11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-1.1368683772161603E-13</v>
      </c>
      <c r="DP110" s="18">
        <f>DO110*VLOOKUP('Données projet'!$B$14,Paramètres!$A$1:$I$89,3,0)*VLOOKUP('Données projet'!$B$14,Paramètres!$A$1:$I$89,5,0)</f>
        <v>-5.3205440053716299E-14</v>
      </c>
      <c r="DQ110" s="14" t="e">
        <f t="shared" si="97"/>
        <v>#NUM!</v>
      </c>
      <c r="DR110" s="22" t="e">
        <f t="shared" si="70"/>
        <v>#NUM!</v>
      </c>
      <c r="DS110" s="62" t="e">
        <f t="shared" si="71"/>
        <v>#NUM!</v>
      </c>
      <c r="DT110" s="62">
        <f ca="1">AVERAGE(OFFSET($DS$3,0,0,'Données projet'!$E$14+1,1))-AVERAGE(OFFSET($H$3,0,0,'Données projet'!$E$14+1,1))</f>
        <v>429.87867712133851</v>
      </c>
      <c r="DU110" s="62">
        <f t="shared" si="98"/>
        <v>182.81277865988014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0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0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2.8205128205128234</v>
      </c>
      <c r="EJ110" s="13">
        <f>IF('Données projet'!$A$192&gt;35,EJ109+EI110-ER109,IF(A110&lt;'Données projet'!$A$192,$EG$205^A110,IF(A110='Données projet'!$A$192,'Données projet'!$B$192,EJ109+EI110-ER109)))</f>
        <v>258.84615384615398</v>
      </c>
      <c r="EK110" s="18">
        <f>EJ110*VLOOKUP('Données projet'!$B$15,Paramètres!$A$1:$I$89,3,0)*VLOOKUP('Données projet'!$B$15,Paramètres!$A$1:$I$89,5,0)</f>
        <v>173.6340000000001</v>
      </c>
      <c r="EL110" s="14">
        <f t="shared" si="99"/>
        <v>43.902914087449936</v>
      </c>
      <c r="EM110" s="22">
        <f t="shared" si="73"/>
        <v>378.87679203564215</v>
      </c>
      <c r="EN110" s="62">
        <f t="shared" si="74"/>
        <v>658.11739892851574</v>
      </c>
      <c r="EO110" s="62">
        <f ca="1">AVERAGE(OFFSET($EN$3,0,0,'Données projet'!$E$15+1,1))-AVERAGE(OFFSET($H$3,0,0,'Données projet'!$E$15+1,1))</f>
        <v>296.18088377871669</v>
      </c>
      <c r="EP110" s="62">
        <f t="shared" si="100"/>
        <v>252.23833925792056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0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0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2.8205128205128234</v>
      </c>
      <c r="FE110" s="13">
        <f>IF('Données projet'!$A$218&gt;35,FE109+FD110-FM109,IF(A110&lt;'Données projet'!$A$218,$FB$205^A110,IF(A110='Données projet'!$A$218,'Données projet'!$B$218,FE109+FD110-FM109)))</f>
        <v>258.84615384615398</v>
      </c>
      <c r="FF110" s="18">
        <f>FE110*VLOOKUP('Données projet'!$B$16,Paramètres!$A$1:$I$89,3,0)*VLOOKUP('Données projet'!$B$16,Paramètres!$A$1:$I$89,5,0)</f>
        <v>222.09000000000015</v>
      </c>
      <c r="FG110" s="14">
        <f t="shared" si="101"/>
        <v>54.568886622302763</v>
      </c>
      <c r="FH110" s="22">
        <f t="shared" si="76"/>
        <v>481.84756086717749</v>
      </c>
      <c r="FI110" s="62">
        <f t="shared" si="77"/>
        <v>761.08816776005119</v>
      </c>
      <c r="FJ110" s="62">
        <f ca="1">AVERAGE(OFFSET($FI$3,0,0,'Données projet'!$E$16+1,1))-AVERAGE(OFFSET($H$3,0,0,'Données projet'!$E$16+1,1))</f>
        <v>359.20464555327072</v>
      </c>
      <c r="FK110" s="62">
        <f t="shared" si="102"/>
        <v>305.54154052071863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0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0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4.4000000000000004</v>
      </c>
      <c r="N111" s="14">
        <f>IF('Données projet'!$A$36&gt;35,N110+M111-V110,IF(A111&lt;'Données projet'!$A$36,$K$205^A111,IF(A111='Données projet'!$A$36,'Données projet'!$B$36,N110+M111-V110)))</f>
        <v>296.19999999999965</v>
      </c>
      <c r="O111" s="14">
        <f>N111*VLOOKUP('Données projet'!$B$9,Paramètres!$A$1:$I$89,3,0)*VLOOKUP('Données projet'!$B$9,Paramètres!$A$1:$I$89,5,0)</f>
        <v>300.34679999999963</v>
      </c>
      <c r="P111" s="14">
        <f t="shared" si="87"/>
        <v>71.249161187153291</v>
      </c>
      <c r="Q111" s="22">
        <f t="shared" si="107"/>
        <v>647.19629906762464</v>
      </c>
      <c r="R111" s="62">
        <f t="shared" si="55"/>
        <v>926.68138325762402</v>
      </c>
      <c r="S111" s="62">
        <f ca="1">AVERAGE(OFFSET($R$3,0,0,'Données projet'!$E$9+1,1))-AVERAGE(OFFSET($H$3,0,0,'Données projet'!$E$9+1,1))</f>
        <v>516.30971934066179</v>
      </c>
      <c r="T111" s="62">
        <f t="shared" si="88"/>
        <v>290.84286505723571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4.4000000000000004</v>
      </c>
      <c r="AI111" s="14">
        <f>IF('Données projet'!$A$62&gt;35,AI110+AH111-AQ110,IF(A111&lt;'Données projet'!$A$62,$AF$205^A111,IF(A111='Données projet'!$A$62,'Données projet'!$B$62,AI110+AH111-AQ110)))</f>
        <v>296.19999999999965</v>
      </c>
      <c r="AJ111" s="14">
        <f>AI111*VLOOKUP('Données projet'!$B$10,Paramètres!$A$1:$I$89,3,0)*VLOOKUP('Données projet'!$B$10,Paramètres!$A$1:$I$89,5,0)</f>
        <v>318.8296799999996</v>
      </c>
      <c r="AK111" s="14">
        <f t="shared" si="89"/>
        <v>75.109793924882112</v>
      </c>
      <c r="AL111" s="22">
        <f t="shared" si="58"/>
        <v>686.11125041916887</v>
      </c>
      <c r="AM111" s="62">
        <f t="shared" si="59"/>
        <v>965.59633460916825</v>
      </c>
      <c r="AN111" s="62">
        <f ca="1">AVERAGE(OFFSET($AM$3,0,0,'Données projet'!$E$10+1,1))-AVERAGE(OFFSET($H$3,0,0,'Données projet'!$E$10+1,1))</f>
        <v>542.90832990875208</v>
      </c>
      <c r="AO111" s="62">
        <f t="shared" si="90"/>
        <v>304.94365539329362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4.4000000000000004</v>
      </c>
      <c r="BD111" s="13">
        <f>IF('Données projet'!$A$88&gt;35,BD110+BC111-BL110,IF(A111&lt;'Données projet'!$A$88,$BA$205^A111,IF(A111='Données projet'!$A$88,'Données projet'!$B$88,BD110+BC111-BL110)))</f>
        <v>296.19999999999965</v>
      </c>
      <c r="BE111" s="14">
        <f>BD111*VLOOKUP('Données projet'!$B$11,Paramètres!$A$1:$I$89,3,0)*VLOOKUP('Données projet'!$B$11,Paramètres!$A$1:$I$89,5,0)</f>
        <v>286.48463999999967</v>
      </c>
      <c r="BF111" s="14">
        <f t="shared" si="91"/>
        <v>68.335568330677432</v>
      </c>
      <c r="BG111" s="22">
        <f t="shared" si="61"/>
        <v>617.97852950926267</v>
      </c>
      <c r="BH111" s="62">
        <f t="shared" si="62"/>
        <v>897.46361369926194</v>
      </c>
      <c r="BI111" s="62">
        <f ca="1">AVERAGE(OFFSET($BH$3,0,0,'Données projet'!$E$11+1,1))-AVERAGE(OFFSET($H$3,0,0,'Données projet'!$E$11+1,1))</f>
        <v>496.33873798282525</v>
      </c>
      <c r="BJ111" s="62">
        <f t="shared" si="92"/>
        <v>280.25465074992246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1.7053025658242404E-13</v>
      </c>
      <c r="BZ111" s="14">
        <f>BY111*VLOOKUP('Données projet'!$B$12,Paramètres!$A$1:$I$89,3,0)*VLOOKUP('Données projet'!$B$12,Paramètres!$A$1:$I$89,5,0)</f>
        <v>1.4897523215040567E-13</v>
      </c>
      <c r="CA111" s="14">
        <f t="shared" si="93"/>
        <v>2.136562777003313E-12</v>
      </c>
      <c r="CB111" s="22">
        <f t="shared" si="64"/>
        <v>3.9806453659427267E-12</v>
      </c>
      <c r="CC111" s="62">
        <f t="shared" si="65"/>
        <v>279.48508419000331</v>
      </c>
      <c r="CD111" s="62">
        <f ca="1">AVERAGE(OFFSET($CC$3,0,0,'Données projet'!$E$12+1,1))-AVERAGE(OFFSET($H$3,0,0,'Données projet'!$E$12+1,1))</f>
        <v>298.28891728374822</v>
      </c>
      <c r="CE111" s="62">
        <f t="shared" si="94"/>
        <v>275.07405533331371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1.1368683772161603E-13</v>
      </c>
      <c r="CU111" s="18">
        <f>CT111*VLOOKUP('Données projet'!$B$13,Paramètres!$A$1:$I$89,3,0)*VLOOKUP('Données projet'!$B$13,Paramètres!$A$1:$I$89,5,0)</f>
        <v>6.7984728957526396E-14</v>
      </c>
      <c r="CV111" s="14">
        <f t="shared" si="95"/>
        <v>1.0682447123141398E-12</v>
      </c>
      <c r="CW111" s="22">
        <f t="shared" si="67"/>
        <v>1.978932943548152E-12</v>
      </c>
      <c r="CX111" s="62">
        <f t="shared" si="68"/>
        <v>279.48508419000132</v>
      </c>
      <c r="CY111" s="62">
        <f ca="1">AVERAGE(OFFSET($CX$3,0,0,'Données projet'!$E$13+1,1))-AVERAGE(OFFSET($H$3,0,0,'Données projet'!$E$13+1,1))</f>
        <v>320.46614113586043</v>
      </c>
      <c r="CZ111" s="62">
        <f t="shared" si="96"/>
        <v>250.7806929924491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0</v>
      </c>
      <c r="DG111" s="23">
        <f>EXP(-LN(2)/25)*DG110+(1-EXP(-LN(2)/25))/(LN(2)/25)*Calculateur!DB111*Calculateur!DD111*VLOOKUP('Données projet'!$B$13,Paramètres!$A$1:$I$89,3,0)*0.475*44/12</f>
        <v>0</v>
      </c>
      <c r="DH111" s="23">
        <f>EXP(-LN(2)/2)*DH110+(1-EXP(-LN(2)/2))/(LN(2)/2)*DB111*DE111*VLOOKUP('Données projet'!$B$13,Paramètres!$A$1:$I$89,3,0)*0.475*44/12</f>
        <v>1.7242289313601906E-11</v>
      </c>
      <c r="DI111" s="24">
        <f t="shared" si="69"/>
        <v>1.7242289313601906E-11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-1.1368683772161603E-13</v>
      </c>
      <c r="DP111" s="18">
        <f>DO111*VLOOKUP('Données projet'!$B$14,Paramètres!$A$1:$I$89,3,0)*VLOOKUP('Données projet'!$B$14,Paramètres!$A$1:$I$89,5,0)</f>
        <v>-5.3205440053716299E-14</v>
      </c>
      <c r="DQ111" s="14" t="e">
        <f t="shared" si="97"/>
        <v>#NUM!</v>
      </c>
      <c r="DR111" s="22" t="e">
        <f t="shared" si="70"/>
        <v>#NUM!</v>
      </c>
      <c r="DS111" s="62" t="e">
        <f t="shared" si="71"/>
        <v>#NUM!</v>
      </c>
      <c r="DT111" s="62">
        <f ca="1">AVERAGE(OFFSET($DS$3,0,0,'Données projet'!$E$14+1,1))-AVERAGE(OFFSET($H$3,0,0,'Données projet'!$E$14+1,1))</f>
        <v>429.87867712133851</v>
      </c>
      <c r="DU111" s="62">
        <f t="shared" si="98"/>
        <v>182.81277865988014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0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0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2.8205128205128234</v>
      </c>
      <c r="EJ111" s="13">
        <f>IF('Données projet'!$A$192&gt;35,EJ110+EI111-ER110,IF(A111&lt;'Données projet'!$A$192,$EG$205^A111,IF(A111='Données projet'!$A$192,'Données projet'!$B$192,EJ110+EI111-ER110)))</f>
        <v>261.6666666666668</v>
      </c>
      <c r="EK111" s="18">
        <f>EJ111*VLOOKUP('Données projet'!$B$15,Paramètres!$A$1:$I$89,3,0)*VLOOKUP('Données projet'!$B$15,Paramètres!$A$1:$I$89,5,0)</f>
        <v>175.5260000000001</v>
      </c>
      <c r="EL111" s="14">
        <f t="shared" si="99"/>
        <v>44.325350184817744</v>
      </c>
      <c r="EM111" s="22">
        <f t="shared" si="73"/>
        <v>382.90776823855776</v>
      </c>
      <c r="EN111" s="62">
        <f t="shared" si="74"/>
        <v>662.39285242855703</v>
      </c>
      <c r="EO111" s="62">
        <f ca="1">AVERAGE(OFFSET($EN$3,0,0,'Données projet'!$E$15+1,1))-AVERAGE(OFFSET($H$3,0,0,'Données projet'!$E$15+1,1))</f>
        <v>296.18088377871669</v>
      </c>
      <c r="EP111" s="62">
        <f t="shared" si="100"/>
        <v>252.23833925792056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0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0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2.8205128205128234</v>
      </c>
      <c r="FE111" s="13">
        <f>IF('Données projet'!$A$218&gt;35,FE110+FD111-FM110,IF(A111&lt;'Données projet'!$A$218,$FB$205^A111,IF(A111='Données projet'!$A$218,'Données projet'!$B$218,FE110+FD111-FM110)))</f>
        <v>261.6666666666668</v>
      </c>
      <c r="FF111" s="18">
        <f>FE111*VLOOKUP('Données projet'!$B$16,Paramètres!$A$1:$I$89,3,0)*VLOOKUP('Données projet'!$B$16,Paramètres!$A$1:$I$89,5,0)</f>
        <v>224.51000000000013</v>
      </c>
      <c r="FG111" s="14">
        <f t="shared" si="101"/>
        <v>55.093951255974112</v>
      </c>
      <c r="FH111" s="22">
        <f t="shared" si="76"/>
        <v>486.97688177082182</v>
      </c>
      <c r="FI111" s="62">
        <f t="shared" si="77"/>
        <v>766.46196596082109</v>
      </c>
      <c r="FJ111" s="62">
        <f ca="1">AVERAGE(OFFSET($FI$3,0,0,'Données projet'!$E$16+1,1))-AVERAGE(OFFSET($H$3,0,0,'Données projet'!$E$16+1,1))</f>
        <v>359.20464555327072</v>
      </c>
      <c r="FK111" s="62">
        <f t="shared" si="102"/>
        <v>305.54154052071863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0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0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4.4000000000000004</v>
      </c>
      <c r="N112" s="14">
        <f>IF('Données projet'!$A$36&gt;35,N111+M112-V111,IF(A112&lt;'Données projet'!$A$36,$K$205^A112,IF(A112='Données projet'!$A$36,'Données projet'!$B$36,N111+M112-V111)))</f>
        <v>300.59999999999962</v>
      </c>
      <c r="O112" s="14">
        <f>N112*VLOOKUP('Données projet'!$B$9,Paramètres!$A$1:$I$89,3,0)*VLOOKUP('Données projet'!$B$9,Paramètres!$A$1:$I$89,5,0)</f>
        <v>304.80839999999961</v>
      </c>
      <c r="P112" s="14">
        <f t="shared" si="87"/>
        <v>72.183554053972728</v>
      </c>
      <c r="Q112" s="22">
        <f t="shared" si="107"/>
        <v>656.59431997733509</v>
      </c>
      <c r="R112" s="62">
        <f t="shared" si="55"/>
        <v>936.31964032992437</v>
      </c>
      <c r="S112" s="62">
        <f ca="1">AVERAGE(OFFSET($R$3,0,0,'Données projet'!$E$9+1,1))-AVERAGE(OFFSET($H$3,0,0,'Données projet'!$E$9+1,1))</f>
        <v>516.30971934066179</v>
      </c>
      <c r="T112" s="62">
        <f t="shared" si="88"/>
        <v>290.84286505723571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4.4000000000000004</v>
      </c>
      <c r="AI112" s="14">
        <f>IF('Données projet'!$A$62&gt;35,AI111+AH112-AQ111,IF(A112&lt;'Données projet'!$A$62,$AF$205^A112,IF(A112='Données projet'!$A$62,'Données projet'!$B$62,AI111+AH112-AQ111)))</f>
        <v>300.59999999999962</v>
      </c>
      <c r="AJ112" s="14">
        <f>AI112*VLOOKUP('Données projet'!$B$10,Paramètres!$A$1:$I$89,3,0)*VLOOKUP('Données projet'!$B$10,Paramètres!$A$1:$I$89,5,0)</f>
        <v>323.56583999999958</v>
      </c>
      <c r="AK112" s="14">
        <f t="shared" si="89"/>
        <v>76.094816829044248</v>
      </c>
      <c r="AL112" s="22">
        <f t="shared" si="58"/>
        <v>696.07564397725127</v>
      </c>
      <c r="AM112" s="62">
        <f t="shared" si="59"/>
        <v>975.80096432984055</v>
      </c>
      <c r="AN112" s="62">
        <f ca="1">AVERAGE(OFFSET($AM$3,0,0,'Données projet'!$E$10+1,1))-AVERAGE(OFFSET($H$3,0,0,'Données projet'!$E$10+1,1))</f>
        <v>542.90832990875208</v>
      </c>
      <c r="AO112" s="62">
        <f t="shared" si="90"/>
        <v>304.94365539329362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4.4000000000000004</v>
      </c>
      <c r="BD112" s="13">
        <f>IF('Données projet'!$A$88&gt;35,BD111+BC112-BL111,IF(A112&lt;'Données projet'!$A$88,$BA$205^A112,IF(A112='Données projet'!$A$88,'Données projet'!$B$88,BD111+BC112-BL111)))</f>
        <v>300.59999999999962</v>
      </c>
      <c r="BE112" s="14">
        <f>BD112*VLOOKUP('Données projet'!$B$11,Paramètres!$A$1:$I$89,3,0)*VLOOKUP('Données projet'!$B$11,Paramètres!$A$1:$I$89,5,0)</f>
        <v>290.74031999999966</v>
      </c>
      <c r="BF112" s="14">
        <f t="shared" si="91"/>
        <v>69.231751058085507</v>
      </c>
      <c r="BG112" s="22">
        <f t="shared" si="61"/>
        <v>626.95135709283159</v>
      </c>
      <c r="BH112" s="62">
        <f t="shared" si="62"/>
        <v>906.67667744542086</v>
      </c>
      <c r="BI112" s="62">
        <f ca="1">AVERAGE(OFFSET($BH$3,0,0,'Données projet'!$E$11+1,1))-AVERAGE(OFFSET($H$3,0,0,'Données projet'!$E$11+1,1))</f>
        <v>496.33873798282525</v>
      </c>
      <c r="BJ112" s="62">
        <f t="shared" si="92"/>
        <v>280.25465074992246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1.7053025658242404E-13</v>
      </c>
      <c r="BZ112" s="14">
        <f>BY112*VLOOKUP('Données projet'!$B$12,Paramètres!$A$1:$I$89,3,0)*VLOOKUP('Données projet'!$B$12,Paramètres!$A$1:$I$89,5,0)</f>
        <v>1.4897523215040567E-13</v>
      </c>
      <c r="CA112" s="14">
        <f t="shared" si="93"/>
        <v>2.136562777003313E-12</v>
      </c>
      <c r="CB112" s="22">
        <f t="shared" si="64"/>
        <v>3.9806453659427267E-12</v>
      </c>
      <c r="CC112" s="62">
        <f t="shared" si="65"/>
        <v>279.72532035259326</v>
      </c>
      <c r="CD112" s="62">
        <f ca="1">AVERAGE(OFFSET($CC$3,0,0,'Données projet'!$E$12+1,1))-AVERAGE(OFFSET($H$3,0,0,'Données projet'!$E$12+1,1))</f>
        <v>298.28891728374822</v>
      </c>
      <c r="CE112" s="62">
        <f t="shared" si="94"/>
        <v>275.07405533331371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1.1368683772161603E-13</v>
      </c>
      <c r="CU112" s="18">
        <f>CT112*VLOOKUP('Données projet'!$B$13,Paramètres!$A$1:$I$89,3,0)*VLOOKUP('Données projet'!$B$13,Paramètres!$A$1:$I$89,5,0)</f>
        <v>6.7984728957526396E-14</v>
      </c>
      <c r="CV112" s="14">
        <f t="shared" si="95"/>
        <v>1.0682447123141398E-12</v>
      </c>
      <c r="CW112" s="22">
        <f t="shared" si="67"/>
        <v>1.978932943548152E-12</v>
      </c>
      <c r="CX112" s="62">
        <f t="shared" si="68"/>
        <v>279.72532035259127</v>
      </c>
      <c r="CY112" s="62">
        <f ca="1">AVERAGE(OFFSET($CX$3,0,0,'Données projet'!$E$13+1,1))-AVERAGE(OFFSET($H$3,0,0,'Données projet'!$E$13+1,1))</f>
        <v>320.46614113586043</v>
      </c>
      <c r="CZ112" s="62">
        <f t="shared" si="96"/>
        <v>250.7806929924491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0</v>
      </c>
      <c r="DG112" s="23">
        <f>EXP(-LN(2)/25)*DG111+(1-EXP(-LN(2)/25))/(LN(2)/25)*Calculateur!DB112*Calculateur!DD112*VLOOKUP('Données projet'!$B$13,Paramètres!$A$1:$I$89,3,0)*0.475*44/12</f>
        <v>0</v>
      </c>
      <c r="DH112" s="23">
        <f>EXP(-LN(2)/2)*DH111+(1-EXP(-LN(2)/2))/(LN(2)/2)*DB112*DE112*VLOOKUP('Données projet'!$B$13,Paramètres!$A$1:$I$89,3,0)*0.475*44/12</f>
        <v>1.219213969682825E-11</v>
      </c>
      <c r="DI112" s="24">
        <f t="shared" si="69"/>
        <v>1.219213969682825E-11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-1.1368683772161603E-13</v>
      </c>
      <c r="DP112" s="18">
        <f>DO112*VLOOKUP('Données projet'!$B$14,Paramètres!$A$1:$I$89,3,0)*VLOOKUP('Données projet'!$B$14,Paramètres!$A$1:$I$89,5,0)</f>
        <v>-5.3205440053716299E-14</v>
      </c>
      <c r="DQ112" s="14" t="e">
        <f t="shared" si="97"/>
        <v>#NUM!</v>
      </c>
      <c r="DR112" s="22" t="e">
        <f t="shared" si="70"/>
        <v>#NUM!</v>
      </c>
      <c r="DS112" s="62" t="e">
        <f t="shared" si="71"/>
        <v>#NUM!</v>
      </c>
      <c r="DT112" s="62">
        <f ca="1">AVERAGE(OFFSET($DS$3,0,0,'Données projet'!$E$14+1,1))-AVERAGE(OFFSET($H$3,0,0,'Données projet'!$E$14+1,1))</f>
        <v>429.87867712133851</v>
      </c>
      <c r="DU112" s="62">
        <f t="shared" si="98"/>
        <v>182.81277865988014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0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0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2.8205128205128234</v>
      </c>
      <c r="EJ112" s="13">
        <f>IF('Données projet'!$A$192&gt;35,EJ111+EI112-ER111,IF(A112&lt;'Données projet'!$A$192,$EG$205^A112,IF(A112='Données projet'!$A$192,'Données projet'!$B$192,EJ111+EI112-ER111)))</f>
        <v>264.48717948717962</v>
      </c>
      <c r="EK112" s="18">
        <f>EJ112*VLOOKUP('Données projet'!$B$15,Paramètres!$A$1:$I$89,3,0)*VLOOKUP('Données projet'!$B$15,Paramètres!$A$1:$I$89,5,0)</f>
        <v>177.41800000000009</v>
      </c>
      <c r="EL112" s="14">
        <f t="shared" si="99"/>
        <v>44.747256581968685</v>
      </c>
      <c r="EM112" s="22">
        <f t="shared" si="73"/>
        <v>386.93782188026233</v>
      </c>
      <c r="EN112" s="62">
        <f t="shared" si="74"/>
        <v>666.66314223285167</v>
      </c>
      <c r="EO112" s="62">
        <f ca="1">AVERAGE(OFFSET($EN$3,0,0,'Données projet'!$E$15+1,1))-AVERAGE(OFFSET($H$3,0,0,'Données projet'!$E$15+1,1))</f>
        <v>296.18088377871669</v>
      </c>
      <c r="EP112" s="62">
        <f t="shared" si="100"/>
        <v>252.23833925792056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0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0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2.8205128205128234</v>
      </c>
      <c r="FE112" s="13">
        <f>IF('Données projet'!$A$218&gt;35,FE111+FD112-FM111,IF(A112&lt;'Données projet'!$A$218,$FB$205^A112,IF(A112='Données projet'!$A$218,'Données projet'!$B$218,FE111+FD112-FM111)))</f>
        <v>264.48717948717962</v>
      </c>
      <c r="FF112" s="18">
        <f>FE112*VLOOKUP('Données projet'!$B$16,Paramètres!$A$1:$I$89,3,0)*VLOOKUP('Données projet'!$B$16,Paramètres!$A$1:$I$89,5,0)</f>
        <v>226.93000000000015</v>
      </c>
      <c r="FG112" s="14">
        <f t="shared" si="101"/>
        <v>55.618357501661876</v>
      </c>
      <c r="FH112" s="22">
        <f t="shared" si="76"/>
        <v>492.10505598206146</v>
      </c>
      <c r="FI112" s="62">
        <f t="shared" si="77"/>
        <v>771.83037633465074</v>
      </c>
      <c r="FJ112" s="62">
        <f ca="1">AVERAGE(OFFSET($FI$3,0,0,'Données projet'!$E$16+1,1))-AVERAGE(OFFSET($H$3,0,0,'Données projet'!$E$16+1,1))</f>
        <v>359.20464555327072</v>
      </c>
      <c r="FK112" s="62">
        <f t="shared" si="102"/>
        <v>305.54154052071863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0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0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305</v>
      </c>
      <c r="L113" s="13">
        <f>VLOOKUP(A113,'Données projet'!$A$35:$I$55,9,0)</f>
        <v>4.4000000000000004</v>
      </c>
      <c r="M113" s="13">
        <f t="array" ref="M113">INDEX(L:L,MIN(IF(ISNUMBER(L113:L309),ROW(L113:L309),"")))</f>
        <v>4.4000000000000004</v>
      </c>
      <c r="N113" s="14">
        <f>IF('Données projet'!$A$36&gt;35,N112+M113-V112,IF(A113&lt;'Données projet'!$A$36,$K$205^A113,IF(A113='Données projet'!$A$36,'Données projet'!$B$36,N112+M113-V112)))</f>
        <v>304.9999999999996</v>
      </c>
      <c r="O113" s="14">
        <f>N113*VLOOKUP('Données projet'!$B$9,Paramètres!$A$1:$I$89,3,0)*VLOOKUP('Données projet'!$B$9,Paramètres!$A$1:$I$89,5,0)</f>
        <v>309.26999999999958</v>
      </c>
      <c r="P113" s="14">
        <f t="shared" si="87"/>
        <v>73.116356204710968</v>
      </c>
      <c r="Q113" s="22">
        <f t="shared" si="107"/>
        <v>665.98957038987078</v>
      </c>
      <c r="R113" s="62">
        <f t="shared" si="55"/>
        <v>945.95095934471669</v>
      </c>
      <c r="S113" s="62">
        <f ca="1">AVERAGE(OFFSET($R$3,0,0,'Données projet'!$E$9+1,1))-AVERAGE(OFFSET($H$3,0,0,'Données projet'!$E$9+1,1))</f>
        <v>516.30971934066179</v>
      </c>
      <c r="T113" s="62">
        <f t="shared" si="88"/>
        <v>290.84286505723571</v>
      </c>
      <c r="U113" s="16">
        <f>IF(ISNA(VLOOKUP(A113,'Données projet'!$A$35:$I$55,3,0)),0,VLOOKUP(A113,'Données projet'!$A$35:$I$55,3,0))</f>
        <v>9</v>
      </c>
      <c r="V113" s="16">
        <f>IF(ISNA(VLOOKUP(A113,'Données projet'!$A$35:$I$55,4,0)),0,VLOOKUP(A113,'Données projet'!$A$35:$I$55,4,0))</f>
        <v>39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305</v>
      </c>
      <c r="AG113" s="13">
        <f>VLOOKUP(A113,'Données projet'!$A$61:$I$81,9,0)</f>
        <v>4.4000000000000004</v>
      </c>
      <c r="AH113" s="13">
        <f t="array" ref="AH113">INDEX(AG:AG,MIN(IF(ISNUMBER(AG113:AG309),ROW(AG113:AG309),"")))</f>
        <v>4.4000000000000004</v>
      </c>
      <c r="AI113" s="14">
        <f>IF('Données projet'!$A$62&gt;35,AI112+AH113-AQ112,IF(A113&lt;'Données projet'!$A$62,$AF$205^A113,IF(A113='Données projet'!$A$62,'Données projet'!$B$62,AI112+AH113-AQ112)))</f>
        <v>304.9999999999996</v>
      </c>
      <c r="AJ113" s="14">
        <f>AI113*VLOOKUP('Données projet'!$B$10,Paramètres!$A$1:$I$89,3,0)*VLOOKUP('Données projet'!$B$10,Paramètres!$A$1:$I$89,5,0)</f>
        <v>328.30199999999957</v>
      </c>
      <c r="AK113" s="14">
        <f t="shared" si="89"/>
        <v>77.078162824242781</v>
      </c>
      <c r="AL113" s="22">
        <f t="shared" si="58"/>
        <v>706.03711691888873</v>
      </c>
      <c r="AM113" s="62">
        <f t="shared" si="59"/>
        <v>985.99850587373453</v>
      </c>
      <c r="AN113" s="62">
        <f ca="1">AVERAGE(OFFSET($AM$3,0,0,'Données projet'!$E$10+1,1))-AVERAGE(OFFSET($H$3,0,0,'Données projet'!$E$10+1,1))</f>
        <v>542.90832990875208</v>
      </c>
      <c r="AO113" s="62">
        <f t="shared" si="90"/>
        <v>304.94365539329362</v>
      </c>
      <c r="AP113" s="16">
        <f>IF(ISNA(VLOOKUP(A113,'Données projet'!$A$61:$I$81,3,0)),0,VLOOKUP(A113,'Données projet'!$A$61:$I$81,3,0))</f>
        <v>9</v>
      </c>
      <c r="AQ113" s="16">
        <f>IF(ISNA(VLOOKUP(A113,'Données projet'!$A$61:$I$81,4,0)),0,VLOOKUP(A113,'Données projet'!$A$61:$I$81,4,0))</f>
        <v>39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305</v>
      </c>
      <c r="BB113" s="13">
        <f>VLOOKUP(A113,'Données projet'!$A$87:$I$107,9,0)</f>
        <v>4.4000000000000004</v>
      </c>
      <c r="BC113" s="13">
        <f t="array" ref="BC113">INDEX(BB:BB,MIN(IF(ISNUMBER(BB113:BB309),ROW(BB113:BB309),"")))</f>
        <v>4.4000000000000004</v>
      </c>
      <c r="BD113" s="13">
        <f>IF('Données projet'!$A$88&gt;35,BD112+BC113-BL112,IF(A113&lt;'Données projet'!$A$88,$BA$205^A113,IF(A113='Données projet'!$A$88,'Données projet'!$B$88,BD112+BC113-BL112)))</f>
        <v>304.9999999999996</v>
      </c>
      <c r="BE113" s="14">
        <f>BD113*VLOOKUP('Données projet'!$B$11,Paramètres!$A$1:$I$89,3,0)*VLOOKUP('Données projet'!$B$11,Paramètres!$A$1:$I$89,5,0)</f>
        <v>294.99599999999958</v>
      </c>
      <c r="BF113" s="14">
        <f t="shared" si="91"/>
        <v>70.126408118585317</v>
      </c>
      <c r="BG113" s="22">
        <f t="shared" si="61"/>
        <v>635.92152747320199</v>
      </c>
      <c r="BH113" s="62">
        <f t="shared" si="62"/>
        <v>915.88291642804779</v>
      </c>
      <c r="BI113" s="62">
        <f ca="1">AVERAGE(OFFSET($BH$3,0,0,'Données projet'!$E$11+1,1))-AVERAGE(OFFSET($H$3,0,0,'Données projet'!$E$11+1,1))</f>
        <v>496.33873798282525</v>
      </c>
      <c r="BJ113" s="62">
        <f t="shared" si="92"/>
        <v>280.25465074992246</v>
      </c>
      <c r="BK113" s="16">
        <f>IF(ISNA(VLOOKUP(A113,'Données projet'!$A$87:$I$107,3,0)),0,VLOOKUP(A113,'Données projet'!$A$87:$I$107,3,0))</f>
        <v>9</v>
      </c>
      <c r="BL113" s="16">
        <f>IF(ISNA(VLOOKUP(A113,'Données projet'!$A$87:$I$107,4,0)),0,VLOOKUP(A113,'Données projet'!$A$87:$I$107,4,0))</f>
        <v>39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1.7053025658242404E-13</v>
      </c>
      <c r="BZ113" s="14">
        <f>BY113*VLOOKUP('Données projet'!$B$12,Paramètres!$A$1:$I$89,3,0)*VLOOKUP('Données projet'!$B$12,Paramètres!$A$1:$I$89,5,0)</f>
        <v>1.4897523215040567E-13</v>
      </c>
      <c r="CA113" s="14">
        <f t="shared" si="93"/>
        <v>2.136562777003313E-12</v>
      </c>
      <c r="CB113" s="22">
        <f t="shared" si="64"/>
        <v>3.9806453659427267E-12</v>
      </c>
      <c r="CC113" s="62">
        <f t="shared" si="65"/>
        <v>279.96138895484984</v>
      </c>
      <c r="CD113" s="62">
        <f ca="1">AVERAGE(OFFSET($CC$3,0,0,'Données projet'!$E$12+1,1))-AVERAGE(OFFSET($H$3,0,0,'Données projet'!$E$12+1,1))</f>
        <v>298.28891728374822</v>
      </c>
      <c r="CE113" s="62">
        <f t="shared" si="94"/>
        <v>275.07405533331371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1.1368683772161603E-13</v>
      </c>
      <c r="CU113" s="18">
        <f>CT113*VLOOKUP('Données projet'!$B$13,Paramètres!$A$1:$I$89,3,0)*VLOOKUP('Données projet'!$B$13,Paramètres!$A$1:$I$89,5,0)</f>
        <v>6.7984728957526396E-14</v>
      </c>
      <c r="CV113" s="14">
        <f t="shared" si="95"/>
        <v>1.0682447123141398E-12</v>
      </c>
      <c r="CW113" s="22">
        <f t="shared" si="67"/>
        <v>1.978932943548152E-12</v>
      </c>
      <c r="CX113" s="62">
        <f t="shared" si="68"/>
        <v>279.96138895484785</v>
      </c>
      <c r="CY113" s="62">
        <f ca="1">AVERAGE(OFFSET($CX$3,0,0,'Données projet'!$E$13+1,1))-AVERAGE(OFFSET($H$3,0,0,'Données projet'!$E$13+1,1))</f>
        <v>320.46614113586043</v>
      </c>
      <c r="CZ113" s="62">
        <f t="shared" si="96"/>
        <v>250.7806929924491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0</v>
      </c>
      <c r="DG113" s="23">
        <f>EXP(-LN(2)/25)*DG112+(1-EXP(-LN(2)/25))/(LN(2)/25)*Calculateur!DB113*Calculateur!DD113*VLOOKUP('Données projet'!$B$13,Paramètres!$A$1:$I$89,3,0)*0.475*44/12</f>
        <v>0</v>
      </c>
      <c r="DH113" s="23">
        <f>EXP(-LN(2)/2)*DH112+(1-EXP(-LN(2)/2))/(LN(2)/2)*DB113*DE113*VLOOKUP('Données projet'!$B$13,Paramètres!$A$1:$I$89,3,0)*0.475*44/12</f>
        <v>8.621144656800953E-12</v>
      </c>
      <c r="DI113" s="24">
        <f t="shared" si="69"/>
        <v>8.621144656800953E-12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-1.1368683772161603E-13</v>
      </c>
      <c r="DP113" s="18">
        <f>DO113*VLOOKUP('Données projet'!$B$14,Paramètres!$A$1:$I$89,3,0)*VLOOKUP('Données projet'!$B$14,Paramètres!$A$1:$I$89,5,0)</f>
        <v>-5.3205440053716299E-14</v>
      </c>
      <c r="DQ113" s="14" t="e">
        <f t="shared" si="97"/>
        <v>#NUM!</v>
      </c>
      <c r="DR113" s="22" t="e">
        <f t="shared" si="70"/>
        <v>#NUM!</v>
      </c>
      <c r="DS113" s="62" t="e">
        <f t="shared" si="71"/>
        <v>#NUM!</v>
      </c>
      <c r="DT113" s="62">
        <f ca="1">AVERAGE(OFFSET($DS$3,0,0,'Données projet'!$E$14+1,1))-AVERAGE(OFFSET($H$3,0,0,'Données projet'!$E$14+1,1))</f>
        <v>429.87867712133851</v>
      </c>
      <c r="DU113" s="62">
        <f t="shared" si="98"/>
        <v>182.81277865988014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0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0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>
        <f>VLOOKUP(A113,'Données projet'!$A$191:$I$211,2,0)</f>
        <v>267.30769230769232</v>
      </c>
      <c r="EH113" s="13">
        <f>VLOOKUP(A113,'Données projet'!$A$191:$I$211,9,0)</f>
        <v>2.8205128205128234</v>
      </c>
      <c r="EI113" s="13">
        <f t="array" ref="EI113">INDEX(EH:EH,MIN(IF(ISNUMBER(EH113:EH309),ROW(EH113:EH309),"")))</f>
        <v>2.8205128205128234</v>
      </c>
      <c r="EJ113" s="13">
        <f>IF('Données projet'!$A$192&gt;35,EJ112+EI113-ER112,IF(A113&lt;'Données projet'!$A$192,$EG$205^A113,IF(A113='Données projet'!$A$192,'Données projet'!$B$192,EJ112+EI113-ER112)))</f>
        <v>267.30769230769243</v>
      </c>
      <c r="EK113" s="18">
        <f>EJ113*VLOOKUP('Données projet'!$B$15,Paramètres!$A$1:$I$89,3,0)*VLOOKUP('Données projet'!$B$15,Paramètres!$A$1:$I$89,5,0)</f>
        <v>179.31000000000009</v>
      </c>
      <c r="EL113" s="14">
        <f t="shared" si="99"/>
        <v>45.168639581513062</v>
      </c>
      <c r="EM113" s="22">
        <f t="shared" si="73"/>
        <v>390.96696393780206</v>
      </c>
      <c r="EN113" s="62">
        <f t="shared" si="74"/>
        <v>670.92835289264792</v>
      </c>
      <c r="EO113" s="62">
        <f ca="1">AVERAGE(OFFSET($EN$3,0,0,'Données projet'!$E$15+1,1))-AVERAGE(OFFSET($H$3,0,0,'Données projet'!$E$15+1,1))</f>
        <v>296.18088377871669</v>
      </c>
      <c r="EP113" s="62">
        <f t="shared" si="100"/>
        <v>252.23833925792056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267.30769230769232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0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0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>
        <f>VLOOKUP(A113,'Données projet'!$A$217:$I$237,2,0)</f>
        <v>267.30769230769232</v>
      </c>
      <c r="FC113" s="13">
        <f>VLOOKUP(A113,'Données projet'!$A$217:$I$237,9,0)</f>
        <v>2.8205128205128234</v>
      </c>
      <c r="FD113" s="13">
        <f t="array" ref="FD113">INDEX(FC:FC,MIN(IF(ISNUMBER(FC113:FC309),ROW(FC113:FC309),"")))</f>
        <v>2.8205128205128234</v>
      </c>
      <c r="FE113" s="13">
        <f>IF('Données projet'!$A$218&gt;35,FE112+FD113-FM112,IF(A113&lt;'Données projet'!$A$218,$FB$205^A113,IF(A113='Données projet'!$A$218,'Données projet'!$B$218,FE112+FD113-FM112)))</f>
        <v>267.30769230769243</v>
      </c>
      <c r="FF113" s="18">
        <f>FE113*VLOOKUP('Données projet'!$B$16,Paramètres!$A$1:$I$89,3,0)*VLOOKUP('Données projet'!$B$16,Paramètres!$A$1:$I$89,5,0)</f>
        <v>229.35000000000014</v>
      </c>
      <c r="FG113" s="14">
        <f t="shared" si="101"/>
        <v>56.142113193161137</v>
      </c>
      <c r="FH113" s="22">
        <f t="shared" si="76"/>
        <v>497.23209714475593</v>
      </c>
      <c r="FI113" s="62">
        <f t="shared" si="77"/>
        <v>777.19348609960184</v>
      </c>
      <c r="FJ113" s="62">
        <f ca="1">AVERAGE(OFFSET($FI$3,0,0,'Données projet'!$E$16+1,1))-AVERAGE(OFFSET($H$3,0,0,'Données projet'!$E$16+1,1))</f>
        <v>359.20464555327072</v>
      </c>
      <c r="FK113" s="62">
        <f t="shared" si="102"/>
        <v>305.54154052071863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267.30769230769232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0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0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3.7</v>
      </c>
      <c r="N114" s="14">
        <f>IF('Données projet'!$A$36&gt;35,N113+M114-V113,IF(A114&lt;'Données projet'!$A$36,$K$205^A114,IF(A114='Données projet'!$A$36,'Données projet'!$B$36,N113+M114-V113)))</f>
        <v>269.69999999999959</v>
      </c>
      <c r="O114" s="14">
        <f>N114*VLOOKUP('Données projet'!$B$9,Paramètres!$A$1:$I$89,3,0)*VLOOKUP('Données projet'!$B$9,Paramètres!$A$1:$I$89,5,0)</f>
        <v>273.47579999999959</v>
      </c>
      <c r="P114" s="14">
        <f t="shared" si="87"/>
        <v>65.586371730977532</v>
      </c>
      <c r="Q114" s="22">
        <f t="shared" si="107"/>
        <v>590.53328243145177</v>
      </c>
      <c r="R114" s="62">
        <f t="shared" si="55"/>
        <v>870.72664472607539</v>
      </c>
      <c r="S114" s="62">
        <f ca="1">AVERAGE(OFFSET($R$3,0,0,'Données projet'!$E$9+1,1))-AVERAGE(OFFSET($H$3,0,0,'Données projet'!$E$9+1,1))</f>
        <v>516.30971934066179</v>
      </c>
      <c r="T114" s="62">
        <f t="shared" si="88"/>
        <v>290.84286505723571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3.7</v>
      </c>
      <c r="AI114" s="14">
        <f>IF('Données projet'!$A$62&gt;35,AI113+AH114-AQ113,IF(A114&lt;'Données projet'!$A$62,$AF$205^A114,IF(A114='Données projet'!$A$62,'Données projet'!$B$62,AI113+AH114-AQ113)))</f>
        <v>269.69999999999959</v>
      </c>
      <c r="AJ114" s="14">
        <f>AI114*VLOOKUP('Données projet'!$B$10,Paramètres!$A$1:$I$89,3,0)*VLOOKUP('Données projet'!$B$10,Paramètres!$A$1:$I$89,5,0)</f>
        <v>290.30507999999958</v>
      </c>
      <c r="AK114" s="14">
        <f t="shared" si="89"/>
        <v>69.140166465323375</v>
      </c>
      <c r="AL114" s="22">
        <f t="shared" si="58"/>
        <v>626.03380426043748</v>
      </c>
      <c r="AM114" s="62">
        <f t="shared" si="59"/>
        <v>906.2271665550611</v>
      </c>
      <c r="AN114" s="62">
        <f ca="1">AVERAGE(OFFSET($AM$3,0,0,'Données projet'!$E$10+1,1))-AVERAGE(OFFSET($H$3,0,0,'Données projet'!$E$10+1,1))</f>
        <v>542.90832990875208</v>
      </c>
      <c r="AO114" s="62">
        <f t="shared" si="90"/>
        <v>304.94365539329362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3.7</v>
      </c>
      <c r="BD114" s="13">
        <f>IF('Données projet'!$A$88&gt;35,BD113+BC114-BL113,IF(A114&lt;'Données projet'!$A$88,$BA$205^A114,IF(A114='Données projet'!$A$88,'Données projet'!$B$88,BD113+BC114-BL113)))</f>
        <v>269.69999999999959</v>
      </c>
      <c r="BE114" s="14">
        <f>BD114*VLOOKUP('Données projet'!$B$11,Paramètres!$A$1:$I$89,3,0)*VLOOKUP('Données projet'!$B$11,Paramètres!$A$1:$I$89,5,0)</f>
        <v>260.85383999999959</v>
      </c>
      <c r="BF114" s="14">
        <f t="shared" si="91"/>
        <v>62.904347395903649</v>
      </c>
      <c r="BG114" s="22">
        <f t="shared" si="61"/>
        <v>563.87884304786473</v>
      </c>
      <c r="BH114" s="62">
        <f t="shared" si="62"/>
        <v>844.07220534248836</v>
      </c>
      <c r="BI114" s="62">
        <f ca="1">AVERAGE(OFFSET($BH$3,0,0,'Données projet'!$E$11+1,1))-AVERAGE(OFFSET($H$3,0,0,'Données projet'!$E$11+1,1))</f>
        <v>496.33873798282525</v>
      </c>
      <c r="BJ114" s="62">
        <f t="shared" si="92"/>
        <v>280.25465074992246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1.7053025658242404E-13</v>
      </c>
      <c r="BZ114" s="14">
        <f>BY114*VLOOKUP('Données projet'!$B$12,Paramètres!$A$1:$I$89,3,0)*VLOOKUP('Données projet'!$B$12,Paramètres!$A$1:$I$89,5,0)</f>
        <v>1.4897523215040567E-13</v>
      </c>
      <c r="CA114" s="14">
        <f t="shared" si="93"/>
        <v>2.136562777003313E-12</v>
      </c>
      <c r="CB114" s="22">
        <f t="shared" si="64"/>
        <v>3.9806453659427267E-12</v>
      </c>
      <c r="CC114" s="62">
        <f t="shared" si="65"/>
        <v>280.19336229462755</v>
      </c>
      <c r="CD114" s="62">
        <f ca="1">AVERAGE(OFFSET($CC$3,0,0,'Données projet'!$E$12+1,1))-AVERAGE(OFFSET($H$3,0,0,'Données projet'!$E$12+1,1))</f>
        <v>298.28891728374822</v>
      </c>
      <c r="CE114" s="62">
        <f t="shared" si="94"/>
        <v>275.07405533331371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1.1368683772161603E-13</v>
      </c>
      <c r="CU114" s="18">
        <f>CT114*VLOOKUP('Données projet'!$B$13,Paramètres!$A$1:$I$89,3,0)*VLOOKUP('Données projet'!$B$13,Paramètres!$A$1:$I$89,5,0)</f>
        <v>6.7984728957526396E-14</v>
      </c>
      <c r="CV114" s="14">
        <f t="shared" si="95"/>
        <v>1.0682447123141398E-12</v>
      </c>
      <c r="CW114" s="22">
        <f t="shared" si="67"/>
        <v>1.978932943548152E-12</v>
      </c>
      <c r="CX114" s="62">
        <f t="shared" si="68"/>
        <v>280.19336229462556</v>
      </c>
      <c r="CY114" s="62">
        <f ca="1">AVERAGE(OFFSET($CX$3,0,0,'Données projet'!$E$13+1,1))-AVERAGE(OFFSET($H$3,0,0,'Données projet'!$E$13+1,1))</f>
        <v>320.46614113586043</v>
      </c>
      <c r="CZ114" s="62">
        <f t="shared" si="96"/>
        <v>250.7806929924491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0</v>
      </c>
      <c r="DG114" s="23">
        <f>EXP(-LN(2)/25)*DG113+(1-EXP(-LN(2)/25))/(LN(2)/25)*Calculateur!DB114*Calculateur!DD114*VLOOKUP('Données projet'!$B$13,Paramètres!$A$1:$I$89,3,0)*0.475*44/12</f>
        <v>0</v>
      </c>
      <c r="DH114" s="23">
        <f>EXP(-LN(2)/2)*DH113+(1-EXP(-LN(2)/2))/(LN(2)/2)*DB114*DE114*VLOOKUP('Données projet'!$B$13,Paramètres!$A$1:$I$89,3,0)*0.475*44/12</f>
        <v>6.0960698484141249E-12</v>
      </c>
      <c r="DI114" s="24">
        <f t="shared" si="69"/>
        <v>6.0960698484141249E-12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-1.1368683772161603E-13</v>
      </c>
      <c r="DP114" s="18">
        <f>DO114*VLOOKUP('Données projet'!$B$14,Paramètres!$A$1:$I$89,3,0)*VLOOKUP('Données projet'!$B$14,Paramètres!$A$1:$I$89,5,0)</f>
        <v>-5.3205440053716299E-14</v>
      </c>
      <c r="DQ114" s="14" t="e">
        <f t="shared" si="97"/>
        <v>#NUM!</v>
      </c>
      <c r="DR114" s="22" t="e">
        <f t="shared" si="70"/>
        <v>#NUM!</v>
      </c>
      <c r="DS114" s="62" t="e">
        <f t="shared" si="71"/>
        <v>#NUM!</v>
      </c>
      <c r="DT114" s="62">
        <f ca="1">AVERAGE(OFFSET($DS$3,0,0,'Données projet'!$E$14+1,1))-AVERAGE(OFFSET($H$3,0,0,'Données projet'!$E$14+1,1))</f>
        <v>429.87867712133851</v>
      </c>
      <c r="DU114" s="62">
        <f t="shared" si="98"/>
        <v>182.81277865988014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0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0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1.1368683772161603E-13</v>
      </c>
      <c r="EK114" s="18">
        <f>EJ114*VLOOKUP('Données projet'!$B$15,Paramètres!$A$1:$I$89,3,0)*VLOOKUP('Données projet'!$B$15,Paramètres!$A$1:$I$89,5,0)</f>
        <v>7.626113074366004E-14</v>
      </c>
      <c r="EL114" s="14">
        <f t="shared" si="99"/>
        <v>1.1823749172251317E-12</v>
      </c>
      <c r="EM114" s="22">
        <f t="shared" si="73"/>
        <v>2.1921244502123119E-12</v>
      </c>
      <c r="EN114" s="62">
        <f t="shared" si="74"/>
        <v>280.19336229462579</v>
      </c>
      <c r="EO114" s="62">
        <f ca="1">AVERAGE(OFFSET($EN$3,0,0,'Données projet'!$E$15+1,1))-AVERAGE(OFFSET($H$3,0,0,'Données projet'!$E$15+1,1))</f>
        <v>296.18088377871669</v>
      </c>
      <c r="EP114" s="62">
        <f t="shared" si="100"/>
        <v>252.23833925792056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0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0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1.1368683772161603E-13</v>
      </c>
      <c r="FF114" s="18">
        <f>FE114*VLOOKUP('Données projet'!$B$16,Paramètres!$A$1:$I$89,3,0)*VLOOKUP('Données projet'!$B$16,Paramètres!$A$1:$I$89,5,0)</f>
        <v>9.7543306765146564E-14</v>
      </c>
      <c r="FG114" s="14">
        <f t="shared" si="101"/>
        <v>1.4696264278629426E-12</v>
      </c>
      <c r="FH114" s="22">
        <f t="shared" si="76"/>
        <v>2.7294872878105889E-12</v>
      </c>
      <c r="FI114" s="62">
        <f t="shared" si="77"/>
        <v>280.1933622946263</v>
      </c>
      <c r="FJ114" s="62">
        <f ca="1">AVERAGE(OFFSET($FI$3,0,0,'Données projet'!$E$16+1,1))-AVERAGE(OFFSET($H$3,0,0,'Données projet'!$E$16+1,1))</f>
        <v>359.20464555327072</v>
      </c>
      <c r="FK114" s="62">
        <f t="shared" si="102"/>
        <v>305.54154052071863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0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0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3.7</v>
      </c>
      <c r="N115" s="14">
        <f>IF('Données projet'!$A$36&gt;35,N114+M115-V114,IF(A115&lt;'Données projet'!$A$36,$K$205^A115,IF(A115='Données projet'!$A$36,'Données projet'!$B$36,N114+M115-V114)))</f>
        <v>273.39999999999958</v>
      </c>
      <c r="O115" s="14">
        <f>N115*VLOOKUP('Données projet'!$B$9,Paramètres!$A$1:$I$89,3,0)*VLOOKUP('Données projet'!$B$9,Paramètres!$A$1:$I$89,5,0)</f>
        <v>277.2275999999996</v>
      </c>
      <c r="P115" s="14">
        <f t="shared" si="87"/>
        <v>66.380782187895392</v>
      </c>
      <c r="Q115" s="22">
        <f t="shared" si="107"/>
        <v>598.45126564391705</v>
      </c>
      <c r="R115" s="62">
        <f t="shared" si="55"/>
        <v>878.87257705948787</v>
      </c>
      <c r="S115" s="62">
        <f ca="1">AVERAGE(OFFSET($R$3,0,0,'Données projet'!$E$9+1,1))-AVERAGE(OFFSET($H$3,0,0,'Données projet'!$E$9+1,1))</f>
        <v>516.30971934066179</v>
      </c>
      <c r="T115" s="62">
        <f t="shared" si="88"/>
        <v>290.84286505723571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3.7</v>
      </c>
      <c r="AI115" s="14">
        <f>IF('Données projet'!$A$62&gt;35,AI114+AH115-AQ114,IF(A115&lt;'Données projet'!$A$62,$AF$205^A115,IF(A115='Données projet'!$A$62,'Données projet'!$B$62,AI114+AH115-AQ114)))</f>
        <v>273.39999999999958</v>
      </c>
      <c r="AJ115" s="14">
        <f>AI115*VLOOKUP('Données projet'!$B$10,Paramètres!$A$1:$I$89,3,0)*VLOOKUP('Données projet'!$B$10,Paramètres!$A$1:$I$89,5,0)</f>
        <v>294.28775999999954</v>
      </c>
      <c r="AK115" s="14">
        <f t="shared" si="89"/>
        <v>69.977622018717668</v>
      </c>
      <c r="AL115" s="22">
        <f t="shared" si="58"/>
        <v>634.42887368259915</v>
      </c>
      <c r="AM115" s="62">
        <f t="shared" si="59"/>
        <v>914.85018509816996</v>
      </c>
      <c r="AN115" s="62">
        <f ca="1">AVERAGE(OFFSET($AM$3,0,0,'Données projet'!$E$10+1,1))-AVERAGE(OFFSET($H$3,0,0,'Données projet'!$E$10+1,1))</f>
        <v>542.90832990875208</v>
      </c>
      <c r="AO115" s="62">
        <f t="shared" si="90"/>
        <v>304.94365539329362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3.7</v>
      </c>
      <c r="BD115" s="13">
        <f>IF('Données projet'!$A$88&gt;35,BD114+BC115-BL114,IF(A115&lt;'Données projet'!$A$88,$BA$205^A115,IF(A115='Données projet'!$A$88,'Données projet'!$B$88,BD114+BC115-BL114)))</f>
        <v>273.39999999999958</v>
      </c>
      <c r="BE115" s="14">
        <f>BD115*VLOOKUP('Données projet'!$B$11,Paramètres!$A$1:$I$89,3,0)*VLOOKUP('Données projet'!$B$11,Paramètres!$A$1:$I$89,5,0)</f>
        <v>264.4324799999996</v>
      </c>
      <c r="BF115" s="14">
        <f t="shared" si="91"/>
        <v>63.666272015882292</v>
      </c>
      <c r="BG115" s="22">
        <f t="shared" si="61"/>
        <v>571.43865976099426</v>
      </c>
      <c r="BH115" s="62">
        <f t="shared" si="62"/>
        <v>851.85997117656507</v>
      </c>
      <c r="BI115" s="62">
        <f ca="1">AVERAGE(OFFSET($BH$3,0,0,'Données projet'!$E$11+1,1))-AVERAGE(OFFSET($H$3,0,0,'Données projet'!$E$11+1,1))</f>
        <v>496.33873798282525</v>
      </c>
      <c r="BJ115" s="62">
        <f t="shared" si="92"/>
        <v>280.25465074992246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1.7053025658242404E-13</v>
      </c>
      <c r="BZ115" s="14">
        <f>BY115*VLOOKUP('Données projet'!$B$12,Paramètres!$A$1:$I$89,3,0)*VLOOKUP('Données projet'!$B$12,Paramètres!$A$1:$I$89,5,0)</f>
        <v>1.4897523215040567E-13</v>
      </c>
      <c r="CA115" s="14">
        <f t="shared" si="93"/>
        <v>2.136562777003313E-12</v>
      </c>
      <c r="CB115" s="22">
        <f t="shared" si="64"/>
        <v>3.9806453659427267E-12</v>
      </c>
      <c r="CC115" s="62">
        <f t="shared" si="65"/>
        <v>280.42131141557485</v>
      </c>
      <c r="CD115" s="62">
        <f ca="1">AVERAGE(OFFSET($CC$3,0,0,'Données projet'!$E$12+1,1))-AVERAGE(OFFSET($H$3,0,0,'Données projet'!$E$12+1,1))</f>
        <v>298.28891728374822</v>
      </c>
      <c r="CE115" s="62">
        <f t="shared" si="94"/>
        <v>275.07405533331371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1.1368683772161603E-13</v>
      </c>
      <c r="CU115" s="18">
        <f>CT115*VLOOKUP('Données projet'!$B$13,Paramètres!$A$1:$I$89,3,0)*VLOOKUP('Données projet'!$B$13,Paramètres!$A$1:$I$89,5,0)</f>
        <v>6.7984728957526396E-14</v>
      </c>
      <c r="CV115" s="14">
        <f t="shared" si="95"/>
        <v>1.0682447123141398E-12</v>
      </c>
      <c r="CW115" s="22">
        <f t="shared" si="67"/>
        <v>1.978932943548152E-12</v>
      </c>
      <c r="CX115" s="62">
        <f t="shared" si="68"/>
        <v>280.42131141557286</v>
      </c>
      <c r="CY115" s="62">
        <f ca="1">AVERAGE(OFFSET($CX$3,0,0,'Données projet'!$E$13+1,1))-AVERAGE(OFFSET($H$3,0,0,'Données projet'!$E$13+1,1))</f>
        <v>320.46614113586043</v>
      </c>
      <c r="CZ115" s="62">
        <f t="shared" si="96"/>
        <v>250.7806929924491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0</v>
      </c>
      <c r="DG115" s="23">
        <f>EXP(-LN(2)/25)*DG114+(1-EXP(-LN(2)/25))/(LN(2)/25)*Calculateur!DB115*Calculateur!DD115*VLOOKUP('Données projet'!$B$13,Paramètres!$A$1:$I$89,3,0)*0.475*44/12</f>
        <v>0</v>
      </c>
      <c r="DH115" s="23">
        <f>EXP(-LN(2)/2)*DH114+(1-EXP(-LN(2)/2))/(LN(2)/2)*DB115*DE115*VLOOKUP('Données projet'!$B$13,Paramètres!$A$1:$I$89,3,0)*0.475*44/12</f>
        <v>4.3105723284004765E-12</v>
      </c>
      <c r="DI115" s="24">
        <f t="shared" si="69"/>
        <v>4.3105723284004765E-12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-1.1368683772161603E-13</v>
      </c>
      <c r="DP115" s="18">
        <f>DO115*VLOOKUP('Données projet'!$B$14,Paramètres!$A$1:$I$89,3,0)*VLOOKUP('Données projet'!$B$14,Paramètres!$A$1:$I$89,5,0)</f>
        <v>-5.3205440053716299E-14</v>
      </c>
      <c r="DQ115" s="14" t="e">
        <f t="shared" si="97"/>
        <v>#NUM!</v>
      </c>
      <c r="DR115" s="22" t="e">
        <f t="shared" si="70"/>
        <v>#NUM!</v>
      </c>
      <c r="DS115" s="62" t="e">
        <f t="shared" si="71"/>
        <v>#NUM!</v>
      </c>
      <c r="DT115" s="62">
        <f ca="1">AVERAGE(OFFSET($DS$3,0,0,'Données projet'!$E$14+1,1))-AVERAGE(OFFSET($H$3,0,0,'Données projet'!$E$14+1,1))</f>
        <v>429.87867712133851</v>
      </c>
      <c r="DU115" s="62">
        <f t="shared" si="98"/>
        <v>182.81277865988014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0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0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1.1368683772161603E-13</v>
      </c>
      <c r="EK115" s="18">
        <f>EJ115*VLOOKUP('Données projet'!$B$15,Paramètres!$A$1:$I$89,3,0)*VLOOKUP('Données projet'!$B$15,Paramètres!$A$1:$I$89,5,0)</f>
        <v>7.626113074366004E-14</v>
      </c>
      <c r="EL115" s="14">
        <f t="shared" si="99"/>
        <v>1.1823749172251317E-12</v>
      </c>
      <c r="EM115" s="22">
        <f t="shared" si="73"/>
        <v>2.1921244502123119E-12</v>
      </c>
      <c r="EN115" s="62">
        <f t="shared" si="74"/>
        <v>280.42131141557309</v>
      </c>
      <c r="EO115" s="62">
        <f ca="1">AVERAGE(OFFSET($EN$3,0,0,'Données projet'!$E$15+1,1))-AVERAGE(OFFSET($H$3,0,0,'Données projet'!$E$15+1,1))</f>
        <v>296.18088377871669</v>
      </c>
      <c r="EP115" s="62">
        <f t="shared" si="100"/>
        <v>252.23833925792056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0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0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1.1368683772161603E-13</v>
      </c>
      <c r="FF115" s="18">
        <f>FE115*VLOOKUP('Données projet'!$B$16,Paramètres!$A$1:$I$89,3,0)*VLOOKUP('Données projet'!$B$16,Paramètres!$A$1:$I$89,5,0)</f>
        <v>9.7543306765146564E-14</v>
      </c>
      <c r="FG115" s="14">
        <f t="shared" si="101"/>
        <v>1.4696264278629426E-12</v>
      </c>
      <c r="FH115" s="22">
        <f t="shared" si="76"/>
        <v>2.7294872878105889E-12</v>
      </c>
      <c r="FI115" s="62">
        <f t="shared" si="77"/>
        <v>280.4213114155736</v>
      </c>
      <c r="FJ115" s="62">
        <f ca="1">AVERAGE(OFFSET($FI$3,0,0,'Données projet'!$E$16+1,1))-AVERAGE(OFFSET($H$3,0,0,'Données projet'!$E$16+1,1))</f>
        <v>359.20464555327072</v>
      </c>
      <c r="FK115" s="62">
        <f t="shared" si="102"/>
        <v>305.54154052071863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0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0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3.7</v>
      </c>
      <c r="N116" s="14">
        <f>IF('Données projet'!$A$36&gt;35,N115+M116-V115,IF(A116&lt;'Données projet'!$A$36,$K$205^A116,IF(A116='Données projet'!$A$36,'Données projet'!$B$36,N115+M116-V115)))</f>
        <v>277.09999999999957</v>
      </c>
      <c r="O116" s="14">
        <f>N116*VLOOKUP('Données projet'!$B$9,Paramètres!$A$1:$I$89,3,0)*VLOOKUP('Données projet'!$B$9,Paramètres!$A$1:$I$89,5,0)</f>
        <v>280.9793999999996</v>
      </c>
      <c r="P116" s="14">
        <f t="shared" si="87"/>
        <v>67.173942175199358</v>
      </c>
      <c r="Q116" s="22">
        <f t="shared" si="107"/>
        <v>606.36707095513827</v>
      </c>
      <c r="R116" s="62">
        <f t="shared" si="55"/>
        <v>887.01237708402596</v>
      </c>
      <c r="S116" s="62">
        <f ca="1">AVERAGE(OFFSET($R$3,0,0,'Données projet'!$E$9+1,1))-AVERAGE(OFFSET($H$3,0,0,'Données projet'!$E$9+1,1))</f>
        <v>516.30971934066179</v>
      </c>
      <c r="T116" s="62">
        <f t="shared" si="88"/>
        <v>290.84286505723571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3.7</v>
      </c>
      <c r="AI116" s="14">
        <f>IF('Données projet'!$A$62&gt;35,AI115+AH116-AQ115,IF(A116&lt;'Données projet'!$A$62,$AF$205^A116,IF(A116='Données projet'!$A$62,'Données projet'!$B$62,AI115+AH116-AQ115)))</f>
        <v>277.09999999999957</v>
      </c>
      <c r="AJ116" s="14">
        <f>AI116*VLOOKUP('Données projet'!$B$10,Paramètres!$A$1:$I$89,3,0)*VLOOKUP('Données projet'!$B$10,Paramètres!$A$1:$I$89,5,0)</f>
        <v>298.27043999999955</v>
      </c>
      <c r="AK116" s="14">
        <f t="shared" si="89"/>
        <v>70.813759345855914</v>
      </c>
      <c r="AL116" s="22">
        <f t="shared" si="58"/>
        <v>642.82164719403158</v>
      </c>
      <c r="AM116" s="62">
        <f t="shared" si="59"/>
        <v>923.46695332291915</v>
      </c>
      <c r="AN116" s="62">
        <f ca="1">AVERAGE(OFFSET($AM$3,0,0,'Données projet'!$E$10+1,1))-AVERAGE(OFFSET($H$3,0,0,'Données projet'!$E$10+1,1))</f>
        <v>542.90832990875208</v>
      </c>
      <c r="AO116" s="62">
        <f t="shared" si="90"/>
        <v>304.94365539329362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3.7</v>
      </c>
      <c r="BD116" s="13">
        <f>IF('Données projet'!$A$88&gt;35,BD115+BC116-BL115,IF(A116&lt;'Données projet'!$A$88,$BA$205^A116,IF(A116='Données projet'!$A$88,'Données projet'!$B$88,BD115+BC116-BL115)))</f>
        <v>277.09999999999957</v>
      </c>
      <c r="BE116" s="14">
        <f>BD116*VLOOKUP('Données projet'!$B$11,Paramètres!$A$1:$I$89,3,0)*VLOOKUP('Données projet'!$B$11,Paramètres!$A$1:$I$89,5,0)</f>
        <v>268.01111999999961</v>
      </c>
      <c r="BF116" s="14">
        <f t="shared" si="91"/>
        <v>64.426997301716796</v>
      </c>
      <c r="BG116" s="22">
        <f t="shared" si="61"/>
        <v>578.99638763382268</v>
      </c>
      <c r="BH116" s="62">
        <f t="shared" si="62"/>
        <v>859.64169376271025</v>
      </c>
      <c r="BI116" s="62">
        <f ca="1">AVERAGE(OFFSET($BH$3,0,0,'Données projet'!$E$11+1,1))-AVERAGE(OFFSET($H$3,0,0,'Données projet'!$E$11+1,1))</f>
        <v>496.33873798282525</v>
      </c>
      <c r="BJ116" s="62">
        <f t="shared" si="92"/>
        <v>280.25465074992246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1.7053025658242404E-13</v>
      </c>
      <c r="BZ116" s="14">
        <f>BY116*VLOOKUP('Données projet'!$B$12,Paramètres!$A$1:$I$89,3,0)*VLOOKUP('Données projet'!$B$12,Paramètres!$A$1:$I$89,5,0)</f>
        <v>1.4897523215040567E-13</v>
      </c>
      <c r="CA116" s="14">
        <f t="shared" si="93"/>
        <v>2.136562777003313E-12</v>
      </c>
      <c r="CB116" s="22">
        <f t="shared" si="64"/>
        <v>3.9806453659427267E-12</v>
      </c>
      <c r="CC116" s="62">
        <f t="shared" si="65"/>
        <v>280.6453061288916</v>
      </c>
      <c r="CD116" s="62">
        <f ca="1">AVERAGE(OFFSET($CC$3,0,0,'Données projet'!$E$12+1,1))-AVERAGE(OFFSET($H$3,0,0,'Données projet'!$E$12+1,1))</f>
        <v>298.28891728374822</v>
      </c>
      <c r="CE116" s="62">
        <f t="shared" si="94"/>
        <v>275.07405533331371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1.1368683772161603E-13</v>
      </c>
      <c r="CU116" s="18">
        <f>CT116*VLOOKUP('Données projet'!$B$13,Paramètres!$A$1:$I$89,3,0)*VLOOKUP('Données projet'!$B$13,Paramètres!$A$1:$I$89,5,0)</f>
        <v>6.7984728957526396E-14</v>
      </c>
      <c r="CV116" s="14">
        <f t="shared" si="95"/>
        <v>1.0682447123141398E-12</v>
      </c>
      <c r="CW116" s="22">
        <f t="shared" si="67"/>
        <v>1.978932943548152E-12</v>
      </c>
      <c r="CX116" s="62">
        <f t="shared" si="68"/>
        <v>280.64530612888962</v>
      </c>
      <c r="CY116" s="62">
        <f ca="1">AVERAGE(OFFSET($CX$3,0,0,'Données projet'!$E$13+1,1))-AVERAGE(OFFSET($H$3,0,0,'Données projet'!$E$13+1,1))</f>
        <v>320.46614113586043</v>
      </c>
      <c r="CZ116" s="62">
        <f t="shared" si="96"/>
        <v>250.7806929924491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0</v>
      </c>
      <c r="DG116" s="23">
        <f>EXP(-LN(2)/25)*DG115+(1-EXP(-LN(2)/25))/(LN(2)/25)*Calculateur!DB116*Calculateur!DD116*VLOOKUP('Données projet'!$B$13,Paramètres!$A$1:$I$89,3,0)*0.475*44/12</f>
        <v>0</v>
      </c>
      <c r="DH116" s="23">
        <f>EXP(-LN(2)/2)*DH115+(1-EXP(-LN(2)/2))/(LN(2)/2)*DB116*DE116*VLOOKUP('Données projet'!$B$13,Paramètres!$A$1:$I$89,3,0)*0.475*44/12</f>
        <v>3.0480349242070625E-12</v>
      </c>
      <c r="DI116" s="24">
        <f t="shared" si="69"/>
        <v>3.0480349242070625E-12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-1.1368683772161603E-13</v>
      </c>
      <c r="DP116" s="18">
        <f>DO116*VLOOKUP('Données projet'!$B$14,Paramètres!$A$1:$I$89,3,0)*VLOOKUP('Données projet'!$B$14,Paramètres!$A$1:$I$89,5,0)</f>
        <v>-5.3205440053716299E-14</v>
      </c>
      <c r="DQ116" s="14" t="e">
        <f t="shared" si="97"/>
        <v>#NUM!</v>
      </c>
      <c r="DR116" s="22" t="e">
        <f t="shared" si="70"/>
        <v>#NUM!</v>
      </c>
      <c r="DS116" s="62" t="e">
        <f t="shared" si="71"/>
        <v>#NUM!</v>
      </c>
      <c r="DT116" s="62">
        <f ca="1">AVERAGE(OFFSET($DS$3,0,0,'Données projet'!$E$14+1,1))-AVERAGE(OFFSET($H$3,0,0,'Données projet'!$E$14+1,1))</f>
        <v>429.87867712133851</v>
      </c>
      <c r="DU116" s="62">
        <f t="shared" si="98"/>
        <v>182.81277865988014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0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0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1.1368683772161603E-13</v>
      </c>
      <c r="EK116" s="18">
        <f>EJ116*VLOOKUP('Données projet'!$B$15,Paramètres!$A$1:$I$89,3,0)*VLOOKUP('Données projet'!$B$15,Paramètres!$A$1:$I$89,5,0)</f>
        <v>7.626113074366004E-14</v>
      </c>
      <c r="EL116" s="14">
        <f t="shared" si="99"/>
        <v>1.1823749172251317E-12</v>
      </c>
      <c r="EM116" s="22">
        <f t="shared" si="73"/>
        <v>2.1921244502123119E-12</v>
      </c>
      <c r="EN116" s="62">
        <f t="shared" si="74"/>
        <v>280.64530612888984</v>
      </c>
      <c r="EO116" s="62">
        <f ca="1">AVERAGE(OFFSET($EN$3,0,0,'Données projet'!$E$15+1,1))-AVERAGE(OFFSET($H$3,0,0,'Données projet'!$E$15+1,1))</f>
        <v>296.18088377871669</v>
      </c>
      <c r="EP116" s="62">
        <f t="shared" si="100"/>
        <v>252.23833925792056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0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0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1.1368683772161603E-13</v>
      </c>
      <c r="FF116" s="18">
        <f>FE116*VLOOKUP('Données projet'!$B$16,Paramètres!$A$1:$I$89,3,0)*VLOOKUP('Données projet'!$B$16,Paramètres!$A$1:$I$89,5,0)</f>
        <v>9.7543306765146564E-14</v>
      </c>
      <c r="FG116" s="14">
        <f t="shared" si="101"/>
        <v>1.4696264278629426E-12</v>
      </c>
      <c r="FH116" s="22">
        <f t="shared" si="76"/>
        <v>2.7294872878105889E-12</v>
      </c>
      <c r="FI116" s="62">
        <f t="shared" si="77"/>
        <v>280.64530612889035</v>
      </c>
      <c r="FJ116" s="62">
        <f ca="1">AVERAGE(OFFSET($FI$3,0,0,'Données projet'!$E$16+1,1))-AVERAGE(OFFSET($H$3,0,0,'Données projet'!$E$16+1,1))</f>
        <v>359.20464555327072</v>
      </c>
      <c r="FK116" s="62">
        <f t="shared" si="102"/>
        <v>305.54154052071863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0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0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3.7</v>
      </c>
      <c r="N117" s="14">
        <f>IF('Données projet'!$A$36&gt;35,N116+M117-V116,IF(A117&lt;'Données projet'!$A$36,$K$205^A117,IF(A117='Données projet'!$A$36,'Données projet'!$B$36,N116+M117-V116)))</f>
        <v>280.79999999999956</v>
      </c>
      <c r="O117" s="14">
        <f>N117*VLOOKUP('Données projet'!$B$9,Paramètres!$A$1:$I$89,3,0)*VLOOKUP('Données projet'!$B$9,Paramètres!$A$1:$I$89,5,0)</f>
        <v>284.7311999999996</v>
      </c>
      <c r="P117" s="14">
        <f t="shared" si="87"/>
        <v>67.965870320050882</v>
      </c>
      <c r="Q117" s="22">
        <f t="shared" si="107"/>
        <v>614.28073080742126</v>
      </c>
      <c r="R117" s="62">
        <f t="shared" si="55"/>
        <v>895.14614584212677</v>
      </c>
      <c r="S117" s="62">
        <f ca="1">AVERAGE(OFFSET($R$3,0,0,'Données projet'!$E$9+1,1))-AVERAGE(OFFSET($H$3,0,0,'Données projet'!$E$9+1,1))</f>
        <v>516.30971934066179</v>
      </c>
      <c r="T117" s="62">
        <f t="shared" si="88"/>
        <v>290.84286505723571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3.7</v>
      </c>
      <c r="AI117" s="14">
        <f>IF('Données projet'!$A$62&gt;35,AI116+AH117-AQ116,IF(A117&lt;'Données projet'!$A$62,$AF$205^A117,IF(A117='Données projet'!$A$62,'Données projet'!$B$62,AI116+AH117-AQ116)))</f>
        <v>280.79999999999956</v>
      </c>
      <c r="AJ117" s="14">
        <f>AI117*VLOOKUP('Données projet'!$B$10,Paramètres!$A$1:$I$89,3,0)*VLOOKUP('Données projet'!$B$10,Paramètres!$A$1:$I$89,5,0)</f>
        <v>302.25311999999951</v>
      </c>
      <c r="AK117" s="14">
        <f t="shared" si="89"/>
        <v>71.648598083211283</v>
      </c>
      <c r="AL117" s="22">
        <f t="shared" si="58"/>
        <v>651.21215899492529</v>
      </c>
      <c r="AM117" s="62">
        <f t="shared" si="59"/>
        <v>932.0775740296308</v>
      </c>
      <c r="AN117" s="62">
        <f ca="1">AVERAGE(OFFSET($AM$3,0,0,'Données projet'!$E$10+1,1))-AVERAGE(OFFSET($H$3,0,0,'Données projet'!$E$10+1,1))</f>
        <v>542.90832990875208</v>
      </c>
      <c r="AO117" s="62">
        <f t="shared" si="90"/>
        <v>304.94365539329362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3.7</v>
      </c>
      <c r="BD117" s="13">
        <f>IF('Données projet'!$A$88&gt;35,BD116+BC117-BL116,IF(A117&lt;'Données projet'!$A$88,$BA$205^A117,IF(A117='Données projet'!$A$88,'Données projet'!$B$88,BD116+BC117-BL116)))</f>
        <v>280.79999999999956</v>
      </c>
      <c r="BE117" s="14">
        <f>BD117*VLOOKUP('Données projet'!$B$11,Paramètres!$A$1:$I$89,3,0)*VLOOKUP('Données projet'!$B$11,Paramètres!$A$1:$I$89,5,0)</f>
        <v>271.58975999999956</v>
      </c>
      <c r="BF117" s="14">
        <f t="shared" si="91"/>
        <v>65.186541118848012</v>
      </c>
      <c r="BG117" s="22">
        <f t="shared" si="61"/>
        <v>586.55205778199286</v>
      </c>
      <c r="BH117" s="62">
        <f t="shared" si="62"/>
        <v>867.41747281669836</v>
      </c>
      <c r="BI117" s="62">
        <f ca="1">AVERAGE(OFFSET($BH$3,0,0,'Données projet'!$E$11+1,1))-AVERAGE(OFFSET($H$3,0,0,'Données projet'!$E$11+1,1))</f>
        <v>496.33873798282525</v>
      </c>
      <c r="BJ117" s="62">
        <f t="shared" si="92"/>
        <v>280.25465074992246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1.7053025658242404E-13</v>
      </c>
      <c r="BZ117" s="14">
        <f>BY117*VLOOKUP('Données projet'!$B$12,Paramètres!$A$1:$I$89,3,0)*VLOOKUP('Données projet'!$B$12,Paramètres!$A$1:$I$89,5,0)</f>
        <v>1.4897523215040567E-13</v>
      </c>
      <c r="CA117" s="14">
        <f t="shared" si="93"/>
        <v>2.136562777003313E-12</v>
      </c>
      <c r="CB117" s="22">
        <f t="shared" si="64"/>
        <v>3.9806453659427267E-12</v>
      </c>
      <c r="CC117" s="62">
        <f t="shared" si="65"/>
        <v>280.86541503470943</v>
      </c>
      <c r="CD117" s="62">
        <f ca="1">AVERAGE(OFFSET($CC$3,0,0,'Données projet'!$E$12+1,1))-AVERAGE(OFFSET($H$3,0,0,'Données projet'!$E$12+1,1))</f>
        <v>298.28891728374822</v>
      </c>
      <c r="CE117" s="62">
        <f t="shared" si="94"/>
        <v>275.07405533331371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1.1368683772161603E-13</v>
      </c>
      <c r="CU117" s="18">
        <f>CT117*VLOOKUP('Données projet'!$B$13,Paramètres!$A$1:$I$89,3,0)*VLOOKUP('Données projet'!$B$13,Paramètres!$A$1:$I$89,5,0)</f>
        <v>6.7984728957526396E-14</v>
      </c>
      <c r="CV117" s="14">
        <f t="shared" si="95"/>
        <v>1.0682447123141398E-12</v>
      </c>
      <c r="CW117" s="22">
        <f t="shared" si="67"/>
        <v>1.978932943548152E-12</v>
      </c>
      <c r="CX117" s="62">
        <f t="shared" si="68"/>
        <v>280.86541503470744</v>
      </c>
      <c r="CY117" s="62">
        <f ca="1">AVERAGE(OFFSET($CX$3,0,0,'Données projet'!$E$13+1,1))-AVERAGE(OFFSET($H$3,0,0,'Données projet'!$E$13+1,1))</f>
        <v>320.46614113586043</v>
      </c>
      <c r="CZ117" s="62">
        <f t="shared" si="96"/>
        <v>250.7806929924491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0</v>
      </c>
      <c r="DG117" s="23">
        <f>EXP(-LN(2)/25)*DG116+(1-EXP(-LN(2)/25))/(LN(2)/25)*Calculateur!DB117*Calculateur!DD117*VLOOKUP('Données projet'!$B$13,Paramètres!$A$1:$I$89,3,0)*0.475*44/12</f>
        <v>0</v>
      </c>
      <c r="DH117" s="23">
        <f>EXP(-LN(2)/2)*DH116+(1-EXP(-LN(2)/2))/(LN(2)/2)*DB117*DE117*VLOOKUP('Données projet'!$B$13,Paramètres!$A$1:$I$89,3,0)*0.475*44/12</f>
        <v>2.1552861642002382E-12</v>
      </c>
      <c r="DI117" s="24">
        <f t="shared" si="69"/>
        <v>2.1552861642002382E-12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-1.1368683772161603E-13</v>
      </c>
      <c r="DP117" s="18">
        <f>DO117*VLOOKUP('Données projet'!$B$14,Paramètres!$A$1:$I$89,3,0)*VLOOKUP('Données projet'!$B$14,Paramètres!$A$1:$I$89,5,0)</f>
        <v>-5.3205440053716299E-14</v>
      </c>
      <c r="DQ117" s="14" t="e">
        <f t="shared" si="97"/>
        <v>#NUM!</v>
      </c>
      <c r="DR117" s="22" t="e">
        <f t="shared" si="70"/>
        <v>#NUM!</v>
      </c>
      <c r="DS117" s="62" t="e">
        <f t="shared" si="71"/>
        <v>#NUM!</v>
      </c>
      <c r="DT117" s="62">
        <f ca="1">AVERAGE(OFFSET($DS$3,0,0,'Données projet'!$E$14+1,1))-AVERAGE(OFFSET($H$3,0,0,'Données projet'!$E$14+1,1))</f>
        <v>429.87867712133851</v>
      </c>
      <c r="DU117" s="62">
        <f t="shared" si="98"/>
        <v>182.81277865988014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0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0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1.1368683772161603E-13</v>
      </c>
      <c r="EK117" s="18">
        <f>EJ117*VLOOKUP('Données projet'!$B$15,Paramètres!$A$1:$I$89,3,0)*VLOOKUP('Données projet'!$B$15,Paramètres!$A$1:$I$89,5,0)</f>
        <v>7.626113074366004E-14</v>
      </c>
      <c r="EL117" s="14">
        <f t="shared" si="99"/>
        <v>1.1823749172251317E-12</v>
      </c>
      <c r="EM117" s="22">
        <f t="shared" si="73"/>
        <v>2.1921244502123119E-12</v>
      </c>
      <c r="EN117" s="62">
        <f t="shared" si="74"/>
        <v>280.86541503470767</v>
      </c>
      <c r="EO117" s="62">
        <f ca="1">AVERAGE(OFFSET($EN$3,0,0,'Données projet'!$E$15+1,1))-AVERAGE(OFFSET($H$3,0,0,'Données projet'!$E$15+1,1))</f>
        <v>296.18088377871669</v>
      </c>
      <c r="EP117" s="62">
        <f t="shared" si="100"/>
        <v>252.23833925792056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0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0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1.1368683772161603E-13</v>
      </c>
      <c r="FF117" s="18">
        <f>FE117*VLOOKUP('Données projet'!$B$16,Paramètres!$A$1:$I$89,3,0)*VLOOKUP('Données projet'!$B$16,Paramètres!$A$1:$I$89,5,0)</f>
        <v>9.7543306765146564E-14</v>
      </c>
      <c r="FG117" s="14">
        <f t="shared" si="101"/>
        <v>1.4696264278629426E-12</v>
      </c>
      <c r="FH117" s="22">
        <f t="shared" si="76"/>
        <v>2.7294872878105889E-12</v>
      </c>
      <c r="FI117" s="62">
        <f t="shared" si="77"/>
        <v>280.86541503470818</v>
      </c>
      <c r="FJ117" s="62">
        <f ca="1">AVERAGE(OFFSET($FI$3,0,0,'Données projet'!$E$16+1,1))-AVERAGE(OFFSET($H$3,0,0,'Données projet'!$E$16+1,1))</f>
        <v>359.20464555327072</v>
      </c>
      <c r="FK117" s="62">
        <f t="shared" si="102"/>
        <v>305.54154052071863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0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0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3.7</v>
      </c>
      <c r="N118" s="14">
        <f>IF('Données projet'!$A$36&gt;35,N117+M118-V117,IF(A118&lt;'Données projet'!$A$36,$K$205^A118,IF(A118='Données projet'!$A$36,'Données projet'!$B$36,N117+M118-V117)))</f>
        <v>284.49999999999955</v>
      </c>
      <c r="O118" s="14">
        <f>N118*VLOOKUP('Données projet'!$B$9,Paramètres!$A$1:$I$89,3,0)*VLOOKUP('Données projet'!$B$9,Paramètres!$A$1:$I$89,5,0)</f>
        <v>288.48299999999955</v>
      </c>
      <c r="P118" s="14">
        <f t="shared" si="87"/>
        <v>68.756584730508635</v>
      </c>
      <c r="Q118" s="22">
        <f t="shared" si="107"/>
        <v>622.19227673896842</v>
      </c>
      <c r="R118" s="62">
        <f t="shared" si="55"/>
        <v>903.27398228206562</v>
      </c>
      <c r="S118" s="62">
        <f ca="1">AVERAGE(OFFSET($R$3,0,0,'Données projet'!$E$9+1,1))-AVERAGE(OFFSET($H$3,0,0,'Données projet'!$E$9+1,1))</f>
        <v>516.30971934066179</v>
      </c>
      <c r="T118" s="62">
        <f t="shared" si="88"/>
        <v>290.84286505723571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3.7</v>
      </c>
      <c r="AI118" s="14">
        <f>IF('Données projet'!$A$62&gt;35,AI117+AH118-AQ117,IF(A118&lt;'Données projet'!$A$62,$AF$205^A118,IF(A118='Données projet'!$A$62,'Données projet'!$B$62,AI117+AH118-AQ117)))</f>
        <v>284.49999999999955</v>
      </c>
      <c r="AJ118" s="14">
        <f>AI118*VLOOKUP('Données projet'!$B$10,Paramètres!$A$1:$I$89,3,0)*VLOOKUP('Données projet'!$B$10,Paramètres!$A$1:$I$89,5,0)</f>
        <v>306.23579999999947</v>
      </c>
      <c r="AK118" s="14">
        <f t="shared" si="89"/>
        <v>72.482157320026886</v>
      </c>
      <c r="AL118" s="22">
        <f t="shared" si="58"/>
        <v>659.6004423323792</v>
      </c>
      <c r="AM118" s="62">
        <f t="shared" si="59"/>
        <v>940.6821478754764</v>
      </c>
      <c r="AN118" s="62">
        <f ca="1">AVERAGE(OFFSET($AM$3,0,0,'Données projet'!$E$10+1,1))-AVERAGE(OFFSET($H$3,0,0,'Données projet'!$E$10+1,1))</f>
        <v>542.90832990875208</v>
      </c>
      <c r="AO118" s="62">
        <f t="shared" si="90"/>
        <v>304.94365539329362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3.7</v>
      </c>
      <c r="BD118" s="13">
        <f>IF('Données projet'!$A$88&gt;35,BD117+BC118-BL117,IF(A118&lt;'Données projet'!$A$88,$BA$205^A118,IF(A118='Données projet'!$A$88,'Données projet'!$B$88,BD117+BC118-BL117)))</f>
        <v>284.49999999999955</v>
      </c>
      <c r="BE118" s="14">
        <f>BD118*VLOOKUP('Données projet'!$B$11,Paramètres!$A$1:$I$89,3,0)*VLOOKUP('Données projet'!$B$11,Paramètres!$A$1:$I$89,5,0)</f>
        <v>275.16839999999956</v>
      </c>
      <c r="BF118" s="14">
        <f t="shared" si="91"/>
        <v>65.944920834841554</v>
      </c>
      <c r="BG118" s="22">
        <f t="shared" si="61"/>
        <v>594.10570045401494</v>
      </c>
      <c r="BH118" s="62">
        <f t="shared" si="62"/>
        <v>875.18740599711214</v>
      </c>
      <c r="BI118" s="62">
        <f ca="1">AVERAGE(OFFSET($BH$3,0,0,'Données projet'!$E$11+1,1))-AVERAGE(OFFSET($H$3,0,0,'Données projet'!$E$11+1,1))</f>
        <v>496.33873798282525</v>
      </c>
      <c r="BJ118" s="62">
        <f t="shared" si="92"/>
        <v>280.25465074992246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1.7053025658242404E-13</v>
      </c>
      <c r="BZ118" s="14">
        <f>BY118*VLOOKUP('Données projet'!$B$12,Paramètres!$A$1:$I$89,3,0)*VLOOKUP('Données projet'!$B$12,Paramètres!$A$1:$I$89,5,0)</f>
        <v>1.4897523215040567E-13</v>
      </c>
      <c r="CA118" s="14">
        <f t="shared" si="93"/>
        <v>2.136562777003313E-12</v>
      </c>
      <c r="CB118" s="22">
        <f t="shared" si="64"/>
        <v>3.9806453659427267E-12</v>
      </c>
      <c r="CC118" s="62">
        <f t="shared" si="65"/>
        <v>281.08170554310124</v>
      </c>
      <c r="CD118" s="62">
        <f ca="1">AVERAGE(OFFSET($CC$3,0,0,'Données projet'!$E$12+1,1))-AVERAGE(OFFSET($H$3,0,0,'Données projet'!$E$12+1,1))</f>
        <v>298.28891728374822</v>
      </c>
      <c r="CE118" s="62">
        <f t="shared" si="94"/>
        <v>275.07405533331371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1.1368683772161603E-13</v>
      </c>
      <c r="CU118" s="18">
        <f>CT118*VLOOKUP('Données projet'!$B$13,Paramètres!$A$1:$I$89,3,0)*VLOOKUP('Données projet'!$B$13,Paramètres!$A$1:$I$89,5,0)</f>
        <v>6.7984728957526396E-14</v>
      </c>
      <c r="CV118" s="14">
        <f t="shared" si="95"/>
        <v>1.0682447123141398E-12</v>
      </c>
      <c r="CW118" s="22">
        <f t="shared" si="67"/>
        <v>1.978932943548152E-12</v>
      </c>
      <c r="CX118" s="62">
        <f t="shared" si="68"/>
        <v>281.08170554309925</v>
      </c>
      <c r="CY118" s="62">
        <f ca="1">AVERAGE(OFFSET($CX$3,0,0,'Données projet'!$E$13+1,1))-AVERAGE(OFFSET($H$3,0,0,'Données projet'!$E$13+1,1))</f>
        <v>320.46614113586043</v>
      </c>
      <c r="CZ118" s="62">
        <f t="shared" si="96"/>
        <v>250.7806929924491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0</v>
      </c>
      <c r="DG118" s="23">
        <f>EXP(-LN(2)/25)*DG117+(1-EXP(-LN(2)/25))/(LN(2)/25)*Calculateur!DB118*Calculateur!DD118*VLOOKUP('Données projet'!$B$13,Paramètres!$A$1:$I$89,3,0)*0.475*44/12</f>
        <v>0</v>
      </c>
      <c r="DH118" s="23">
        <f>EXP(-LN(2)/2)*DH117+(1-EXP(-LN(2)/2))/(LN(2)/2)*DB118*DE118*VLOOKUP('Données projet'!$B$13,Paramètres!$A$1:$I$89,3,0)*0.475*44/12</f>
        <v>1.5240174621035312E-12</v>
      </c>
      <c r="DI118" s="24">
        <f t="shared" si="69"/>
        <v>1.5240174621035312E-12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-1.1368683772161603E-13</v>
      </c>
      <c r="DP118" s="18">
        <f>DO118*VLOOKUP('Données projet'!$B$14,Paramètres!$A$1:$I$89,3,0)*VLOOKUP('Données projet'!$B$14,Paramètres!$A$1:$I$89,5,0)</f>
        <v>-5.3205440053716299E-14</v>
      </c>
      <c r="DQ118" s="14" t="e">
        <f t="shared" si="97"/>
        <v>#NUM!</v>
      </c>
      <c r="DR118" s="22" t="e">
        <f t="shared" si="70"/>
        <v>#NUM!</v>
      </c>
      <c r="DS118" s="62" t="e">
        <f t="shared" si="71"/>
        <v>#NUM!</v>
      </c>
      <c r="DT118" s="62">
        <f ca="1">AVERAGE(OFFSET($DS$3,0,0,'Données projet'!$E$14+1,1))-AVERAGE(OFFSET($H$3,0,0,'Données projet'!$E$14+1,1))</f>
        <v>429.87867712133851</v>
      </c>
      <c r="DU118" s="62">
        <f t="shared" si="98"/>
        <v>182.81277865988014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0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0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1.1368683772161603E-13</v>
      </c>
      <c r="EK118" s="18">
        <f>EJ118*VLOOKUP('Données projet'!$B$15,Paramètres!$A$1:$I$89,3,0)*VLOOKUP('Données projet'!$B$15,Paramètres!$A$1:$I$89,5,0)</f>
        <v>7.626113074366004E-14</v>
      </c>
      <c r="EL118" s="14">
        <f t="shared" si="99"/>
        <v>1.1823749172251317E-12</v>
      </c>
      <c r="EM118" s="22">
        <f t="shared" si="73"/>
        <v>2.1921244502123119E-12</v>
      </c>
      <c r="EN118" s="62">
        <f t="shared" si="74"/>
        <v>281.08170554309947</v>
      </c>
      <c r="EO118" s="62">
        <f ca="1">AVERAGE(OFFSET($EN$3,0,0,'Données projet'!$E$15+1,1))-AVERAGE(OFFSET($H$3,0,0,'Données projet'!$E$15+1,1))</f>
        <v>296.18088377871669</v>
      </c>
      <c r="EP118" s="62">
        <f t="shared" si="100"/>
        <v>252.23833925792056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0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0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1.1368683772161603E-13</v>
      </c>
      <c r="FF118" s="18">
        <f>FE118*VLOOKUP('Données projet'!$B$16,Paramètres!$A$1:$I$89,3,0)*VLOOKUP('Données projet'!$B$16,Paramètres!$A$1:$I$89,5,0)</f>
        <v>9.7543306765146564E-14</v>
      </c>
      <c r="FG118" s="14">
        <f t="shared" si="101"/>
        <v>1.4696264278629426E-12</v>
      </c>
      <c r="FH118" s="22">
        <f t="shared" si="76"/>
        <v>2.7294872878105889E-12</v>
      </c>
      <c r="FI118" s="62">
        <f t="shared" si="77"/>
        <v>281.08170554309999</v>
      </c>
      <c r="FJ118" s="62">
        <f ca="1">AVERAGE(OFFSET($FI$3,0,0,'Données projet'!$E$16+1,1))-AVERAGE(OFFSET($H$3,0,0,'Données projet'!$E$16+1,1))</f>
        <v>359.20464555327072</v>
      </c>
      <c r="FK118" s="62">
        <f t="shared" si="102"/>
        <v>305.54154052071863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0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0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3.7</v>
      </c>
      <c r="N119" s="14">
        <f>IF('Données projet'!$A$36&gt;35,N118+M119-V118,IF(A119&lt;'Données projet'!$A$36,$K$205^A119,IF(A119='Données projet'!$A$36,'Données projet'!$B$36,N118+M119-V118)))</f>
        <v>288.19999999999953</v>
      </c>
      <c r="O119" s="14">
        <f>N119*VLOOKUP('Données projet'!$B$9,Paramètres!$A$1:$I$89,3,0)*VLOOKUP('Données projet'!$B$9,Paramètres!$A$1:$I$89,5,0)</f>
        <v>292.23479999999955</v>
      </c>
      <c r="P119" s="14">
        <f t="shared" si="87"/>
        <v>69.546103016553644</v>
      </c>
      <c r="Q119" s="22">
        <f t="shared" si="107"/>
        <v>630.10173942049676</v>
      </c>
      <c r="R119" s="62">
        <f t="shared" si="55"/>
        <v>911.39598331521825</v>
      </c>
      <c r="S119" s="62">
        <f ca="1">AVERAGE(OFFSET($R$3,0,0,'Données projet'!$E$9+1,1))-AVERAGE(OFFSET($H$3,0,0,'Données projet'!$E$9+1,1))</f>
        <v>516.30971934066179</v>
      </c>
      <c r="T119" s="62">
        <f t="shared" si="88"/>
        <v>290.84286505723571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3.7</v>
      </c>
      <c r="AI119" s="14">
        <f>IF('Données projet'!$A$62&gt;35,AI118+AH119-AQ118,IF(A119&lt;'Données projet'!$A$62,$AF$205^A119,IF(A119='Données projet'!$A$62,'Données projet'!$B$62,AI118+AH119-AQ118)))</f>
        <v>288.19999999999953</v>
      </c>
      <c r="AJ119" s="14">
        <f>AI119*VLOOKUP('Données projet'!$B$10,Paramètres!$A$1:$I$89,3,0)*VLOOKUP('Données projet'!$B$10,Paramètres!$A$1:$I$89,5,0)</f>
        <v>310.21847999999949</v>
      </c>
      <c r="AK119" s="14">
        <f t="shared" si="89"/>
        <v>73.314455620479848</v>
      </c>
      <c r="AL119" s="22">
        <f t="shared" si="58"/>
        <v>667.98652953900148</v>
      </c>
      <c r="AM119" s="62">
        <f t="shared" si="59"/>
        <v>949.28077343372297</v>
      </c>
      <c r="AN119" s="62">
        <f ca="1">AVERAGE(OFFSET($AM$3,0,0,'Données projet'!$E$10+1,1))-AVERAGE(OFFSET($H$3,0,0,'Données projet'!$E$10+1,1))</f>
        <v>542.90832990875208</v>
      </c>
      <c r="AO119" s="62">
        <f t="shared" si="90"/>
        <v>304.94365539329362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3.7</v>
      </c>
      <c r="BD119" s="13">
        <f>IF('Données projet'!$A$88&gt;35,BD118+BC119-BL118,IF(A119&lt;'Données projet'!$A$88,$BA$205^A119,IF(A119='Données projet'!$A$88,'Données projet'!$B$88,BD118+BC119-BL118)))</f>
        <v>288.19999999999953</v>
      </c>
      <c r="BE119" s="14">
        <f>BD119*VLOOKUP('Données projet'!$B$11,Paramètres!$A$1:$I$89,3,0)*VLOOKUP('Données projet'!$B$11,Paramètres!$A$1:$I$89,5,0)</f>
        <v>278.74703999999957</v>
      </c>
      <c r="BF119" s="14">
        <f t="shared" si="91"/>
        <v>66.702153339553135</v>
      </c>
      <c r="BG119" s="22">
        <f t="shared" si="61"/>
        <v>601.65734506638762</v>
      </c>
      <c r="BH119" s="62">
        <f t="shared" si="62"/>
        <v>882.95158896110911</v>
      </c>
      <c r="BI119" s="62">
        <f ca="1">AVERAGE(OFFSET($BH$3,0,0,'Données projet'!$E$11+1,1))-AVERAGE(OFFSET($H$3,0,0,'Données projet'!$E$11+1,1))</f>
        <v>496.33873798282525</v>
      </c>
      <c r="BJ119" s="62">
        <f t="shared" si="92"/>
        <v>280.25465074992246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1.7053025658242404E-13</v>
      </c>
      <c r="BZ119" s="14">
        <f>BY119*VLOOKUP('Données projet'!$B$12,Paramètres!$A$1:$I$89,3,0)*VLOOKUP('Données projet'!$B$12,Paramètres!$A$1:$I$89,5,0)</f>
        <v>1.4897523215040567E-13</v>
      </c>
      <c r="CA119" s="14">
        <f t="shared" si="93"/>
        <v>2.136562777003313E-12</v>
      </c>
      <c r="CB119" s="22">
        <f t="shared" si="64"/>
        <v>3.9806453659427267E-12</v>
      </c>
      <c r="CC119" s="62">
        <f t="shared" si="65"/>
        <v>281.29424389472547</v>
      </c>
      <c r="CD119" s="62">
        <f ca="1">AVERAGE(OFFSET($CC$3,0,0,'Données projet'!$E$12+1,1))-AVERAGE(OFFSET($H$3,0,0,'Données projet'!$E$12+1,1))</f>
        <v>298.28891728374822</v>
      </c>
      <c r="CE119" s="62">
        <f t="shared" si="94"/>
        <v>275.07405533331371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1.1368683772161603E-13</v>
      </c>
      <c r="CU119" s="18">
        <f>CT119*VLOOKUP('Données projet'!$B$13,Paramètres!$A$1:$I$89,3,0)*VLOOKUP('Données projet'!$B$13,Paramètres!$A$1:$I$89,5,0)</f>
        <v>6.7984728957526396E-14</v>
      </c>
      <c r="CV119" s="14">
        <f t="shared" si="95"/>
        <v>1.0682447123141398E-12</v>
      </c>
      <c r="CW119" s="22">
        <f t="shared" si="67"/>
        <v>1.978932943548152E-12</v>
      </c>
      <c r="CX119" s="62">
        <f t="shared" si="68"/>
        <v>281.29424389472348</v>
      </c>
      <c r="CY119" s="62">
        <f ca="1">AVERAGE(OFFSET($CX$3,0,0,'Données projet'!$E$13+1,1))-AVERAGE(OFFSET($H$3,0,0,'Données projet'!$E$13+1,1))</f>
        <v>320.46614113586043</v>
      </c>
      <c r="CZ119" s="62">
        <f t="shared" si="96"/>
        <v>250.7806929924491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0</v>
      </c>
      <c r="DG119" s="23">
        <f>EXP(-LN(2)/25)*DG118+(1-EXP(-LN(2)/25))/(LN(2)/25)*Calculateur!DB119*Calculateur!DD119*VLOOKUP('Données projet'!$B$13,Paramètres!$A$1:$I$89,3,0)*0.475*44/12</f>
        <v>0</v>
      </c>
      <c r="DH119" s="23">
        <f>EXP(-LN(2)/2)*DH118+(1-EXP(-LN(2)/2))/(LN(2)/2)*DB119*DE119*VLOOKUP('Données projet'!$B$13,Paramètres!$A$1:$I$89,3,0)*0.475*44/12</f>
        <v>1.0776430821001191E-12</v>
      </c>
      <c r="DI119" s="24">
        <f t="shared" si="69"/>
        <v>1.0776430821001191E-12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-1.1368683772161603E-13</v>
      </c>
      <c r="DP119" s="18">
        <f>DO119*VLOOKUP('Données projet'!$B$14,Paramètres!$A$1:$I$89,3,0)*VLOOKUP('Données projet'!$B$14,Paramètres!$A$1:$I$89,5,0)</f>
        <v>-5.3205440053716299E-14</v>
      </c>
      <c r="DQ119" s="14" t="e">
        <f t="shared" si="97"/>
        <v>#NUM!</v>
      </c>
      <c r="DR119" s="22" t="e">
        <f t="shared" si="70"/>
        <v>#NUM!</v>
      </c>
      <c r="DS119" s="62" t="e">
        <f t="shared" si="71"/>
        <v>#NUM!</v>
      </c>
      <c r="DT119" s="62">
        <f ca="1">AVERAGE(OFFSET($DS$3,0,0,'Données projet'!$E$14+1,1))-AVERAGE(OFFSET($H$3,0,0,'Données projet'!$E$14+1,1))</f>
        <v>429.87867712133851</v>
      </c>
      <c r="DU119" s="62">
        <f t="shared" si="98"/>
        <v>182.81277865988014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0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0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1.1368683772161603E-13</v>
      </c>
      <c r="EK119" s="18">
        <f>EJ119*VLOOKUP('Données projet'!$B$15,Paramètres!$A$1:$I$89,3,0)*VLOOKUP('Données projet'!$B$15,Paramètres!$A$1:$I$89,5,0)</f>
        <v>7.626113074366004E-14</v>
      </c>
      <c r="EL119" s="14">
        <f t="shared" si="99"/>
        <v>1.1823749172251317E-12</v>
      </c>
      <c r="EM119" s="22">
        <f t="shared" si="73"/>
        <v>2.1921244502123119E-12</v>
      </c>
      <c r="EN119" s="62">
        <f t="shared" si="74"/>
        <v>281.29424389472371</v>
      </c>
      <c r="EO119" s="62">
        <f ca="1">AVERAGE(OFFSET($EN$3,0,0,'Données projet'!$E$15+1,1))-AVERAGE(OFFSET($H$3,0,0,'Données projet'!$E$15+1,1))</f>
        <v>296.18088377871669</v>
      </c>
      <c r="EP119" s="62">
        <f t="shared" si="100"/>
        <v>252.23833925792056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0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0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1.1368683772161603E-13</v>
      </c>
      <c r="FF119" s="18">
        <f>FE119*VLOOKUP('Données projet'!$B$16,Paramètres!$A$1:$I$89,3,0)*VLOOKUP('Données projet'!$B$16,Paramètres!$A$1:$I$89,5,0)</f>
        <v>9.7543306765146564E-14</v>
      </c>
      <c r="FG119" s="14">
        <f t="shared" si="101"/>
        <v>1.4696264278629426E-12</v>
      </c>
      <c r="FH119" s="22">
        <f t="shared" si="76"/>
        <v>2.7294872878105889E-12</v>
      </c>
      <c r="FI119" s="62">
        <f t="shared" si="77"/>
        <v>281.29424389472422</v>
      </c>
      <c r="FJ119" s="62">
        <f ca="1">AVERAGE(OFFSET($FI$3,0,0,'Données projet'!$E$16+1,1))-AVERAGE(OFFSET($H$3,0,0,'Données projet'!$E$16+1,1))</f>
        <v>359.20464555327072</v>
      </c>
      <c r="FK119" s="62">
        <f t="shared" si="102"/>
        <v>305.54154052071863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0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0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3.7</v>
      </c>
      <c r="N120" s="14">
        <f>IF('Données projet'!$A$36&gt;35,N119+M120-V119,IF(A120&lt;'Données projet'!$A$36,$K$205^A120,IF(A120='Données projet'!$A$36,'Données projet'!$B$36,N119+M120-V119)))</f>
        <v>291.89999999999952</v>
      </c>
      <c r="O120" s="14">
        <f>N120*VLOOKUP('Données projet'!$B$9,Paramètres!$A$1:$I$89,3,0)*VLOOKUP('Données projet'!$B$9,Paramètres!$A$1:$I$89,5,0)</f>
        <v>295.98659999999956</v>
      </c>
      <c r="P120" s="14">
        <f t="shared" si="87"/>
        <v>70.334442310004661</v>
      </c>
      <c r="Q120" s="22">
        <f t="shared" si="107"/>
        <v>638.00914868992402</v>
      </c>
      <c r="R120" s="62">
        <f t="shared" si="55"/>
        <v>919.51224387103366</v>
      </c>
      <c r="S120" s="62">
        <f ca="1">AVERAGE(OFFSET($R$3,0,0,'Données projet'!$E$9+1,1))-AVERAGE(OFFSET($H$3,0,0,'Données projet'!$E$9+1,1))</f>
        <v>516.30971934066179</v>
      </c>
      <c r="T120" s="62">
        <f t="shared" si="88"/>
        <v>290.84286505723571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3.7</v>
      </c>
      <c r="AI120" s="14">
        <f>IF('Données projet'!$A$62&gt;35,AI119+AH120-AQ119,IF(A120&lt;'Données projet'!$A$62,$AF$205^A120,IF(A120='Données projet'!$A$62,'Données projet'!$B$62,AI119+AH120-AQ119)))</f>
        <v>291.89999999999952</v>
      </c>
      <c r="AJ120" s="14">
        <f>AI120*VLOOKUP('Données projet'!$B$10,Paramètres!$A$1:$I$89,3,0)*VLOOKUP('Données projet'!$B$10,Paramètres!$A$1:$I$89,5,0)</f>
        <v>314.2011599999995</v>
      </c>
      <c r="AK120" s="14">
        <f t="shared" si="89"/>
        <v>74.145511044675771</v>
      </c>
      <c r="AL120" s="22">
        <f t="shared" si="58"/>
        <v>676.37045206947607</v>
      </c>
      <c r="AM120" s="62">
        <f t="shared" si="59"/>
        <v>957.87354725058572</v>
      </c>
      <c r="AN120" s="62">
        <f ca="1">AVERAGE(OFFSET($AM$3,0,0,'Données projet'!$E$10+1,1))-AVERAGE(OFFSET($H$3,0,0,'Données projet'!$E$10+1,1))</f>
        <v>542.90832990875208</v>
      </c>
      <c r="AO120" s="62">
        <f t="shared" si="90"/>
        <v>304.94365539329362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3.7</v>
      </c>
      <c r="BD120" s="13">
        <f>IF('Données projet'!$A$88&gt;35,BD119+BC120-BL119,IF(A120&lt;'Données projet'!$A$88,$BA$205^A120,IF(A120='Données projet'!$A$88,'Données projet'!$B$88,BD119+BC120-BL119)))</f>
        <v>291.89999999999952</v>
      </c>
      <c r="BE120" s="14">
        <f>BD120*VLOOKUP('Données projet'!$B$11,Paramètres!$A$1:$I$89,3,0)*VLOOKUP('Données projet'!$B$11,Paramètres!$A$1:$I$89,5,0)</f>
        <v>282.32567999999952</v>
      </c>
      <c r="BF120" s="14">
        <f t="shared" si="91"/>
        <v>67.458255064229917</v>
      </c>
      <c r="BG120" s="22">
        <f t="shared" si="61"/>
        <v>609.20702023686624</v>
      </c>
      <c r="BH120" s="62">
        <f t="shared" si="62"/>
        <v>890.71011541797589</v>
      </c>
      <c r="BI120" s="62">
        <f ca="1">AVERAGE(OFFSET($BH$3,0,0,'Données projet'!$E$11+1,1))-AVERAGE(OFFSET($H$3,0,0,'Données projet'!$E$11+1,1))</f>
        <v>496.33873798282525</v>
      </c>
      <c r="BJ120" s="62">
        <f t="shared" si="92"/>
        <v>280.25465074992246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1.7053025658242404E-13</v>
      </c>
      <c r="BZ120" s="14">
        <f>BY120*VLOOKUP('Données projet'!$B$12,Paramètres!$A$1:$I$89,3,0)*VLOOKUP('Données projet'!$B$12,Paramètres!$A$1:$I$89,5,0)</f>
        <v>1.4897523215040567E-13</v>
      </c>
      <c r="CA120" s="14">
        <f t="shared" si="93"/>
        <v>2.136562777003313E-12</v>
      </c>
      <c r="CB120" s="22">
        <f t="shared" si="64"/>
        <v>3.9806453659427267E-12</v>
      </c>
      <c r="CC120" s="62">
        <f t="shared" si="65"/>
        <v>281.50309518111362</v>
      </c>
      <c r="CD120" s="62">
        <f ca="1">AVERAGE(OFFSET($CC$3,0,0,'Données projet'!$E$12+1,1))-AVERAGE(OFFSET($H$3,0,0,'Données projet'!$E$12+1,1))</f>
        <v>298.28891728374822</v>
      </c>
      <c r="CE120" s="62">
        <f t="shared" si="94"/>
        <v>275.07405533331371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1.1368683772161603E-13</v>
      </c>
      <c r="CU120" s="18">
        <f>CT120*VLOOKUP('Données projet'!$B$13,Paramètres!$A$1:$I$89,3,0)*VLOOKUP('Données projet'!$B$13,Paramètres!$A$1:$I$89,5,0)</f>
        <v>6.7984728957526396E-14</v>
      </c>
      <c r="CV120" s="14">
        <f t="shared" si="95"/>
        <v>1.0682447123141398E-12</v>
      </c>
      <c r="CW120" s="22">
        <f t="shared" si="67"/>
        <v>1.978932943548152E-12</v>
      </c>
      <c r="CX120" s="62">
        <f t="shared" si="68"/>
        <v>281.50309518111163</v>
      </c>
      <c r="CY120" s="62">
        <f ca="1">AVERAGE(OFFSET($CX$3,0,0,'Données projet'!$E$13+1,1))-AVERAGE(OFFSET($H$3,0,0,'Données projet'!$E$13+1,1))</f>
        <v>320.46614113586043</v>
      </c>
      <c r="CZ120" s="62">
        <f t="shared" si="96"/>
        <v>250.7806929924491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0</v>
      </c>
      <c r="DG120" s="23">
        <f>EXP(-LN(2)/25)*DG119+(1-EXP(-LN(2)/25))/(LN(2)/25)*Calculateur!DB120*Calculateur!DD120*VLOOKUP('Données projet'!$B$13,Paramètres!$A$1:$I$89,3,0)*0.475*44/12</f>
        <v>0</v>
      </c>
      <c r="DH120" s="23">
        <f>EXP(-LN(2)/2)*DH119+(1-EXP(-LN(2)/2))/(LN(2)/2)*DB120*DE120*VLOOKUP('Données projet'!$B$13,Paramètres!$A$1:$I$89,3,0)*0.475*44/12</f>
        <v>7.6200873105176562E-13</v>
      </c>
      <c r="DI120" s="24">
        <f t="shared" si="69"/>
        <v>7.6200873105176562E-13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-1.1368683772161603E-13</v>
      </c>
      <c r="DP120" s="18">
        <f>DO120*VLOOKUP('Données projet'!$B$14,Paramètres!$A$1:$I$89,3,0)*VLOOKUP('Données projet'!$B$14,Paramètres!$A$1:$I$89,5,0)</f>
        <v>-5.3205440053716299E-14</v>
      </c>
      <c r="DQ120" s="14" t="e">
        <f t="shared" si="97"/>
        <v>#NUM!</v>
      </c>
      <c r="DR120" s="22" t="e">
        <f t="shared" si="70"/>
        <v>#NUM!</v>
      </c>
      <c r="DS120" s="62" t="e">
        <f t="shared" si="71"/>
        <v>#NUM!</v>
      </c>
      <c r="DT120" s="62">
        <f ca="1">AVERAGE(OFFSET($DS$3,0,0,'Données projet'!$E$14+1,1))-AVERAGE(OFFSET($H$3,0,0,'Données projet'!$E$14+1,1))</f>
        <v>429.87867712133851</v>
      </c>
      <c r="DU120" s="62">
        <f t="shared" si="98"/>
        <v>182.81277865988014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0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0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1.1368683772161603E-13</v>
      </c>
      <c r="EK120" s="18">
        <f>EJ120*VLOOKUP('Données projet'!$B$15,Paramètres!$A$1:$I$89,3,0)*VLOOKUP('Données projet'!$B$15,Paramètres!$A$1:$I$89,5,0)</f>
        <v>7.626113074366004E-14</v>
      </c>
      <c r="EL120" s="14">
        <f t="shared" si="99"/>
        <v>1.1823749172251317E-12</v>
      </c>
      <c r="EM120" s="22">
        <f t="shared" si="73"/>
        <v>2.1921244502123119E-12</v>
      </c>
      <c r="EN120" s="62">
        <f t="shared" si="74"/>
        <v>281.50309518111186</v>
      </c>
      <c r="EO120" s="62">
        <f ca="1">AVERAGE(OFFSET($EN$3,0,0,'Données projet'!$E$15+1,1))-AVERAGE(OFFSET($H$3,0,0,'Données projet'!$E$15+1,1))</f>
        <v>296.18088377871669</v>
      </c>
      <c r="EP120" s="62">
        <f t="shared" si="100"/>
        <v>252.23833925792056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0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0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1.1368683772161603E-13</v>
      </c>
      <c r="FF120" s="18">
        <f>FE120*VLOOKUP('Données projet'!$B$16,Paramètres!$A$1:$I$89,3,0)*VLOOKUP('Données projet'!$B$16,Paramètres!$A$1:$I$89,5,0)</f>
        <v>9.7543306765146564E-14</v>
      </c>
      <c r="FG120" s="14">
        <f t="shared" si="101"/>
        <v>1.4696264278629426E-12</v>
      </c>
      <c r="FH120" s="22">
        <f t="shared" si="76"/>
        <v>2.7294872878105889E-12</v>
      </c>
      <c r="FI120" s="62">
        <f t="shared" si="77"/>
        <v>281.50309518111237</v>
      </c>
      <c r="FJ120" s="62">
        <f ca="1">AVERAGE(OFFSET($FI$3,0,0,'Données projet'!$E$16+1,1))-AVERAGE(OFFSET($H$3,0,0,'Données projet'!$E$16+1,1))</f>
        <v>359.20464555327072</v>
      </c>
      <c r="FK120" s="62">
        <f t="shared" si="102"/>
        <v>305.54154052071863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0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0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3.7</v>
      </c>
      <c r="N121" s="14">
        <f>IF('Données projet'!$A$36&gt;35,N120+M121-V120,IF(A121&lt;'Données projet'!$A$36,$K$205^A121,IF(A121='Données projet'!$A$36,'Données projet'!$B$36,N120+M121-V120)))</f>
        <v>295.59999999999951</v>
      </c>
      <c r="O121" s="14">
        <f>N121*VLOOKUP('Données projet'!$B$9,Paramètres!$A$1:$I$89,3,0)*VLOOKUP('Données projet'!$B$9,Paramètres!$A$1:$I$89,5,0)</f>
        <v>299.73839999999956</v>
      </c>
      <c r="P121" s="14">
        <f t="shared" si="87"/>
        <v>71.121619283394352</v>
      </c>
      <c r="Q121" s="22">
        <f t="shared" si="107"/>
        <v>645.91453358524438</v>
      </c>
      <c r="R121" s="62">
        <f t="shared" si="55"/>
        <v>927.62285694984485</v>
      </c>
      <c r="S121" s="62">
        <f ca="1">AVERAGE(OFFSET($R$3,0,0,'Données projet'!$E$9+1,1))-AVERAGE(OFFSET($H$3,0,0,'Données projet'!$E$9+1,1))</f>
        <v>516.30971934066179</v>
      </c>
      <c r="T121" s="62">
        <f t="shared" si="88"/>
        <v>290.84286505723571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3.7</v>
      </c>
      <c r="AI121" s="14">
        <f>IF('Données projet'!$A$62&gt;35,AI120+AH121-AQ120,IF(A121&lt;'Données projet'!$A$62,$AF$205^A121,IF(A121='Données projet'!$A$62,'Données projet'!$B$62,AI120+AH121-AQ120)))</f>
        <v>295.59999999999951</v>
      </c>
      <c r="AJ121" s="14">
        <f>AI121*VLOOKUP('Données projet'!$B$10,Paramètres!$A$1:$I$89,3,0)*VLOOKUP('Données projet'!$B$10,Paramètres!$A$1:$I$89,5,0)</f>
        <v>318.18383999999946</v>
      </c>
      <c r="AK121" s="14">
        <f t="shared" si="89"/>
        <v>74.975341168547786</v>
      </c>
      <c r="AL121" s="22">
        <f t="shared" si="58"/>
        <v>684.75224053521981</v>
      </c>
      <c r="AM121" s="62">
        <f t="shared" si="59"/>
        <v>966.46056389982027</v>
      </c>
      <c r="AN121" s="62">
        <f ca="1">AVERAGE(OFFSET($AM$3,0,0,'Données projet'!$E$10+1,1))-AVERAGE(OFFSET($H$3,0,0,'Données projet'!$E$10+1,1))</f>
        <v>542.90832990875208</v>
      </c>
      <c r="AO121" s="62">
        <f t="shared" si="90"/>
        <v>304.94365539329362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3.7</v>
      </c>
      <c r="BD121" s="13">
        <f>IF('Données projet'!$A$88&gt;35,BD120+BC121-BL120,IF(A121&lt;'Données projet'!$A$88,$BA$205^A121,IF(A121='Données projet'!$A$88,'Données projet'!$B$88,BD120+BC121-BL120)))</f>
        <v>295.59999999999951</v>
      </c>
      <c r="BE121" s="14">
        <f>BD121*VLOOKUP('Données projet'!$B$11,Paramètres!$A$1:$I$89,3,0)*VLOOKUP('Données projet'!$B$11,Paramètres!$A$1:$I$89,5,0)</f>
        <v>285.90431999999953</v>
      </c>
      <c r="BF121" s="14">
        <f t="shared" si="91"/>
        <v>68.213241999614453</v>
      </c>
      <c r="BG121" s="22">
        <f t="shared" si="61"/>
        <v>616.75475381599438</v>
      </c>
      <c r="BH121" s="62">
        <f t="shared" si="62"/>
        <v>898.46307718059484</v>
      </c>
      <c r="BI121" s="62">
        <f ca="1">AVERAGE(OFFSET($BH$3,0,0,'Données projet'!$E$11+1,1))-AVERAGE(OFFSET($H$3,0,0,'Données projet'!$E$11+1,1))</f>
        <v>496.33873798282525</v>
      </c>
      <c r="BJ121" s="62">
        <f t="shared" si="92"/>
        <v>280.25465074992246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1.7053025658242404E-13</v>
      </c>
      <c r="BZ121" s="14">
        <f>BY121*VLOOKUP('Données projet'!$B$12,Paramètres!$A$1:$I$89,3,0)*VLOOKUP('Données projet'!$B$12,Paramètres!$A$1:$I$89,5,0)</f>
        <v>1.4897523215040567E-13</v>
      </c>
      <c r="CA121" s="14">
        <f t="shared" si="93"/>
        <v>2.136562777003313E-12</v>
      </c>
      <c r="CB121" s="22">
        <f t="shared" si="64"/>
        <v>3.9806453659427267E-12</v>
      </c>
      <c r="CC121" s="62">
        <f t="shared" si="65"/>
        <v>281.70832336460438</v>
      </c>
      <c r="CD121" s="62">
        <f ca="1">AVERAGE(OFFSET($CC$3,0,0,'Données projet'!$E$12+1,1))-AVERAGE(OFFSET($H$3,0,0,'Données projet'!$E$12+1,1))</f>
        <v>298.28891728374822</v>
      </c>
      <c r="CE121" s="62">
        <f t="shared" si="94"/>
        <v>275.07405533331371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1.1368683772161603E-13</v>
      </c>
      <c r="CU121" s="18">
        <f>CT121*VLOOKUP('Données projet'!$B$13,Paramètres!$A$1:$I$89,3,0)*VLOOKUP('Données projet'!$B$13,Paramètres!$A$1:$I$89,5,0)</f>
        <v>6.7984728957526396E-14</v>
      </c>
      <c r="CV121" s="14">
        <f t="shared" si="95"/>
        <v>1.0682447123141398E-12</v>
      </c>
      <c r="CW121" s="22">
        <f t="shared" si="67"/>
        <v>1.978932943548152E-12</v>
      </c>
      <c r="CX121" s="62">
        <f t="shared" si="68"/>
        <v>281.70832336460239</v>
      </c>
      <c r="CY121" s="62">
        <f ca="1">AVERAGE(OFFSET($CX$3,0,0,'Données projet'!$E$13+1,1))-AVERAGE(OFFSET($H$3,0,0,'Données projet'!$E$13+1,1))</f>
        <v>320.46614113586043</v>
      </c>
      <c r="CZ121" s="62">
        <f t="shared" si="96"/>
        <v>250.7806929924491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0</v>
      </c>
      <c r="DG121" s="23">
        <f>EXP(-LN(2)/25)*DG120+(1-EXP(-LN(2)/25))/(LN(2)/25)*Calculateur!DB121*Calculateur!DD121*VLOOKUP('Données projet'!$B$13,Paramètres!$A$1:$I$89,3,0)*0.475*44/12</f>
        <v>0</v>
      </c>
      <c r="DH121" s="23">
        <f>EXP(-LN(2)/2)*DH120+(1-EXP(-LN(2)/2))/(LN(2)/2)*DB121*DE121*VLOOKUP('Données projet'!$B$13,Paramètres!$A$1:$I$89,3,0)*0.475*44/12</f>
        <v>5.3882154105005956E-13</v>
      </c>
      <c r="DI121" s="24">
        <f t="shared" si="69"/>
        <v>5.3882154105005956E-13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-1.1368683772161603E-13</v>
      </c>
      <c r="DP121" s="18">
        <f>DO121*VLOOKUP('Données projet'!$B$14,Paramètres!$A$1:$I$89,3,0)*VLOOKUP('Données projet'!$B$14,Paramètres!$A$1:$I$89,5,0)</f>
        <v>-5.3205440053716299E-14</v>
      </c>
      <c r="DQ121" s="14" t="e">
        <f t="shared" si="97"/>
        <v>#NUM!</v>
      </c>
      <c r="DR121" s="22" t="e">
        <f t="shared" si="70"/>
        <v>#NUM!</v>
      </c>
      <c r="DS121" s="62" t="e">
        <f t="shared" si="71"/>
        <v>#NUM!</v>
      </c>
      <c r="DT121" s="62">
        <f ca="1">AVERAGE(OFFSET($DS$3,0,0,'Données projet'!$E$14+1,1))-AVERAGE(OFFSET($H$3,0,0,'Données projet'!$E$14+1,1))</f>
        <v>429.87867712133851</v>
      </c>
      <c r="DU121" s="62">
        <f t="shared" si="98"/>
        <v>182.81277865988014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0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0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1.1368683772161603E-13</v>
      </c>
      <c r="EK121" s="18">
        <f>EJ121*VLOOKUP('Données projet'!$B$15,Paramètres!$A$1:$I$89,3,0)*VLOOKUP('Données projet'!$B$15,Paramètres!$A$1:$I$89,5,0)</f>
        <v>7.626113074366004E-14</v>
      </c>
      <c r="EL121" s="14">
        <f t="shared" si="99"/>
        <v>1.1823749172251317E-12</v>
      </c>
      <c r="EM121" s="22">
        <f t="shared" si="73"/>
        <v>2.1921244502123119E-12</v>
      </c>
      <c r="EN121" s="62">
        <f t="shared" si="74"/>
        <v>281.70832336460262</v>
      </c>
      <c r="EO121" s="62">
        <f ca="1">AVERAGE(OFFSET($EN$3,0,0,'Données projet'!$E$15+1,1))-AVERAGE(OFFSET($H$3,0,0,'Données projet'!$E$15+1,1))</f>
        <v>296.18088377871669</v>
      </c>
      <c r="EP121" s="62">
        <f t="shared" si="100"/>
        <v>252.23833925792056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0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0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1.1368683772161603E-13</v>
      </c>
      <c r="FF121" s="18">
        <f>FE121*VLOOKUP('Données projet'!$B$16,Paramètres!$A$1:$I$89,3,0)*VLOOKUP('Données projet'!$B$16,Paramètres!$A$1:$I$89,5,0)</f>
        <v>9.7543306765146564E-14</v>
      </c>
      <c r="FG121" s="14">
        <f t="shared" si="101"/>
        <v>1.4696264278629426E-12</v>
      </c>
      <c r="FH121" s="22">
        <f t="shared" si="76"/>
        <v>2.7294872878105889E-12</v>
      </c>
      <c r="FI121" s="62">
        <f t="shared" si="77"/>
        <v>281.70832336460313</v>
      </c>
      <c r="FJ121" s="62">
        <f ca="1">AVERAGE(OFFSET($FI$3,0,0,'Données projet'!$E$16+1,1))-AVERAGE(OFFSET($H$3,0,0,'Données projet'!$E$16+1,1))</f>
        <v>359.20464555327072</v>
      </c>
      <c r="FK121" s="62">
        <f t="shared" si="102"/>
        <v>305.54154052071863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0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0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3.7</v>
      </c>
      <c r="N122" s="14">
        <f>IF('Données projet'!$A$36&gt;35,N121+M122-V121,IF(A122&lt;'Données projet'!$A$36,$K$205^A122,IF(A122='Données projet'!$A$36,'Données projet'!$B$36,N121+M122-V121)))</f>
        <v>299.2999999999995</v>
      </c>
      <c r="O122" s="14">
        <f>N122*VLOOKUP('Données projet'!$B$9,Paramètres!$A$1:$I$89,3,0)*VLOOKUP('Données projet'!$B$9,Paramètres!$A$1:$I$89,5,0)</f>
        <v>303.4901999999995</v>
      </c>
      <c r="P122" s="14">
        <f t="shared" si="87"/>
        <v>71.907650167874138</v>
      </c>
      <c r="Q122" s="22">
        <f t="shared" si="107"/>
        <v>653.81792237571324</v>
      </c>
      <c r="R122" s="62">
        <f t="shared" si="55"/>
        <v>935.72791367364243</v>
      </c>
      <c r="S122" s="62">
        <f ca="1">AVERAGE(OFFSET($R$3,0,0,'Données projet'!$E$9+1,1))-AVERAGE(OFFSET($H$3,0,0,'Données projet'!$E$9+1,1))</f>
        <v>516.30971934066179</v>
      </c>
      <c r="T122" s="62">
        <f t="shared" si="88"/>
        <v>290.84286505723571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3.7</v>
      </c>
      <c r="AI122" s="14">
        <f>IF('Données projet'!$A$62&gt;35,AI121+AH122-AQ121,IF(A122&lt;'Données projet'!$A$62,$AF$205^A122,IF(A122='Données projet'!$A$62,'Données projet'!$B$62,AI121+AH122-AQ121)))</f>
        <v>299.2999999999995</v>
      </c>
      <c r="AJ122" s="14">
        <f>AI122*VLOOKUP('Données projet'!$B$10,Paramètres!$A$1:$I$89,3,0)*VLOOKUP('Données projet'!$B$10,Paramètres!$A$1:$I$89,5,0)</f>
        <v>322.16651999999942</v>
      </c>
      <c r="AK122" s="14">
        <f t="shared" si="89"/>
        <v>75.803963102731529</v>
      </c>
      <c r="AL122" s="22">
        <f t="shared" si="58"/>
        <v>693.13192473725633</v>
      </c>
      <c r="AM122" s="62">
        <f t="shared" si="59"/>
        <v>975.04191603518552</v>
      </c>
      <c r="AN122" s="62">
        <f ca="1">AVERAGE(OFFSET($AM$3,0,0,'Données projet'!$E$10+1,1))-AVERAGE(OFFSET($H$3,0,0,'Données projet'!$E$10+1,1))</f>
        <v>542.90832990875208</v>
      </c>
      <c r="AO122" s="62">
        <f t="shared" si="90"/>
        <v>304.94365539329362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3.7</v>
      </c>
      <c r="BD122" s="13">
        <f>IF('Données projet'!$A$88&gt;35,BD121+BC122-BL121,IF(A122&lt;'Données projet'!$A$88,$BA$205^A122,IF(A122='Données projet'!$A$88,'Données projet'!$B$88,BD121+BC122-BL121)))</f>
        <v>299.2999999999995</v>
      </c>
      <c r="BE122" s="14">
        <f>BD122*VLOOKUP('Données projet'!$B$11,Paramètres!$A$1:$I$89,3,0)*VLOOKUP('Données projet'!$B$11,Paramètres!$A$1:$I$89,5,0)</f>
        <v>289.48295999999954</v>
      </c>
      <c r="BF122" s="14">
        <f t="shared" si="91"/>
        <v>68.967129713117401</v>
      </c>
      <c r="BG122" s="22">
        <f t="shared" si="61"/>
        <v>624.300572917012</v>
      </c>
      <c r="BH122" s="62">
        <f t="shared" si="62"/>
        <v>906.21056421494109</v>
      </c>
      <c r="BI122" s="62">
        <f ca="1">AVERAGE(OFFSET($BH$3,0,0,'Données projet'!$E$11+1,1))-AVERAGE(OFFSET($H$3,0,0,'Données projet'!$E$11+1,1))</f>
        <v>496.33873798282525</v>
      </c>
      <c r="BJ122" s="62">
        <f t="shared" si="92"/>
        <v>280.25465074992246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1.7053025658242404E-13</v>
      </c>
      <c r="BZ122" s="14">
        <f>BY122*VLOOKUP('Données projet'!$B$12,Paramètres!$A$1:$I$89,3,0)*VLOOKUP('Données projet'!$B$12,Paramètres!$A$1:$I$89,5,0)</f>
        <v>1.4897523215040567E-13</v>
      </c>
      <c r="CA122" s="14">
        <f t="shared" si="93"/>
        <v>2.136562777003313E-12</v>
      </c>
      <c r="CB122" s="22">
        <f t="shared" si="64"/>
        <v>3.9806453659427267E-12</v>
      </c>
      <c r="CC122" s="62">
        <f t="shared" si="65"/>
        <v>281.90999129793312</v>
      </c>
      <c r="CD122" s="62">
        <f ca="1">AVERAGE(OFFSET($CC$3,0,0,'Données projet'!$E$12+1,1))-AVERAGE(OFFSET($H$3,0,0,'Données projet'!$E$12+1,1))</f>
        <v>298.28891728374822</v>
      </c>
      <c r="CE122" s="62">
        <f t="shared" si="94"/>
        <v>275.07405533331371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1.1368683772161603E-13</v>
      </c>
      <c r="CU122" s="18">
        <f>CT122*VLOOKUP('Données projet'!$B$13,Paramètres!$A$1:$I$89,3,0)*VLOOKUP('Données projet'!$B$13,Paramètres!$A$1:$I$89,5,0)</f>
        <v>6.7984728957526396E-14</v>
      </c>
      <c r="CV122" s="14">
        <f t="shared" si="95"/>
        <v>1.0682447123141398E-12</v>
      </c>
      <c r="CW122" s="22">
        <f t="shared" si="67"/>
        <v>1.978932943548152E-12</v>
      </c>
      <c r="CX122" s="62">
        <f t="shared" si="68"/>
        <v>281.90999129793113</v>
      </c>
      <c r="CY122" s="62">
        <f ca="1">AVERAGE(OFFSET($CX$3,0,0,'Données projet'!$E$13+1,1))-AVERAGE(OFFSET($H$3,0,0,'Données projet'!$E$13+1,1))</f>
        <v>320.46614113586043</v>
      </c>
      <c r="CZ122" s="62">
        <f t="shared" si="96"/>
        <v>250.7806929924491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0</v>
      </c>
      <c r="DG122" s="23">
        <f>EXP(-LN(2)/25)*DG121+(1-EXP(-LN(2)/25))/(LN(2)/25)*Calculateur!DB122*Calculateur!DD122*VLOOKUP('Données projet'!$B$13,Paramètres!$A$1:$I$89,3,0)*0.475*44/12</f>
        <v>0</v>
      </c>
      <c r="DH122" s="23">
        <f>EXP(-LN(2)/2)*DH121+(1-EXP(-LN(2)/2))/(LN(2)/2)*DB122*DE122*VLOOKUP('Données projet'!$B$13,Paramètres!$A$1:$I$89,3,0)*0.475*44/12</f>
        <v>3.8100436552588281E-13</v>
      </c>
      <c r="DI122" s="24">
        <f t="shared" si="69"/>
        <v>3.8100436552588281E-13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-1.1368683772161603E-13</v>
      </c>
      <c r="DP122" s="18">
        <f>DO122*VLOOKUP('Données projet'!$B$14,Paramètres!$A$1:$I$89,3,0)*VLOOKUP('Données projet'!$B$14,Paramètres!$A$1:$I$89,5,0)</f>
        <v>-5.3205440053716299E-14</v>
      </c>
      <c r="DQ122" s="14" t="e">
        <f t="shared" si="97"/>
        <v>#NUM!</v>
      </c>
      <c r="DR122" s="22" t="e">
        <f t="shared" si="70"/>
        <v>#NUM!</v>
      </c>
      <c r="DS122" s="62" t="e">
        <f t="shared" si="71"/>
        <v>#NUM!</v>
      </c>
      <c r="DT122" s="62">
        <f ca="1">AVERAGE(OFFSET($DS$3,0,0,'Données projet'!$E$14+1,1))-AVERAGE(OFFSET($H$3,0,0,'Données projet'!$E$14+1,1))</f>
        <v>429.87867712133851</v>
      </c>
      <c r="DU122" s="62">
        <f t="shared" si="98"/>
        <v>182.81277865988014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0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0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1.1368683772161603E-13</v>
      </c>
      <c r="EK122" s="18">
        <f>EJ122*VLOOKUP('Données projet'!$B$15,Paramètres!$A$1:$I$89,3,0)*VLOOKUP('Données projet'!$B$15,Paramètres!$A$1:$I$89,5,0)</f>
        <v>7.626113074366004E-14</v>
      </c>
      <c r="EL122" s="14">
        <f t="shared" si="99"/>
        <v>1.1823749172251317E-12</v>
      </c>
      <c r="EM122" s="22">
        <f t="shared" si="73"/>
        <v>2.1921244502123119E-12</v>
      </c>
      <c r="EN122" s="62">
        <f t="shared" si="74"/>
        <v>281.90999129793136</v>
      </c>
      <c r="EO122" s="62">
        <f ca="1">AVERAGE(OFFSET($EN$3,0,0,'Données projet'!$E$15+1,1))-AVERAGE(OFFSET($H$3,0,0,'Données projet'!$E$15+1,1))</f>
        <v>296.18088377871669</v>
      </c>
      <c r="EP122" s="62">
        <f t="shared" si="100"/>
        <v>252.23833925792056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0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0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1.1368683772161603E-13</v>
      </c>
      <c r="FF122" s="18">
        <f>FE122*VLOOKUP('Données projet'!$B$16,Paramètres!$A$1:$I$89,3,0)*VLOOKUP('Données projet'!$B$16,Paramètres!$A$1:$I$89,5,0)</f>
        <v>9.7543306765146564E-14</v>
      </c>
      <c r="FG122" s="14">
        <f t="shared" si="101"/>
        <v>1.4696264278629426E-12</v>
      </c>
      <c r="FH122" s="22">
        <f t="shared" si="76"/>
        <v>2.7294872878105889E-12</v>
      </c>
      <c r="FI122" s="62">
        <f t="shared" si="77"/>
        <v>281.90999129793187</v>
      </c>
      <c r="FJ122" s="62">
        <f ca="1">AVERAGE(OFFSET($FI$3,0,0,'Données projet'!$E$16+1,1))-AVERAGE(OFFSET($H$3,0,0,'Données projet'!$E$16+1,1))</f>
        <v>359.20464555327072</v>
      </c>
      <c r="FK122" s="62">
        <f t="shared" si="102"/>
        <v>305.54154052071863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0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0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303</v>
      </c>
      <c r="L123" s="13">
        <f>VLOOKUP(A123,'Données projet'!$A$35:$I$55,9,0)</f>
        <v>3.7</v>
      </c>
      <c r="M123" s="13">
        <f t="array" ref="M123">INDEX(L:L,MIN(IF(ISNUMBER(L123:L319),ROW(L123:L319),"")))</f>
        <v>3.7</v>
      </c>
      <c r="N123" s="14">
        <f>IF('Données projet'!$A$36&gt;35,N122+M123-V122,IF(A123&lt;'Données projet'!$A$36,$K$205^A123,IF(A123='Données projet'!$A$36,'Données projet'!$B$36,N122+M123-V122)))</f>
        <v>302.99999999999949</v>
      </c>
      <c r="O123" s="14">
        <f>N123*VLOOKUP('Données projet'!$B$9,Paramètres!$A$1:$I$89,3,0)*VLOOKUP('Données projet'!$B$9,Paramètres!$A$1:$I$89,5,0)</f>
        <v>307.24199999999951</v>
      </c>
      <c r="P123" s="14">
        <f t="shared" si="87"/>
        <v>72.692550770207717</v>
      </c>
      <c r="Q123" s="22">
        <f t="shared" si="107"/>
        <v>661.71934259144427</v>
      </c>
      <c r="R123" s="62">
        <f t="shared" si="55"/>
        <v>943.82750333492095</v>
      </c>
      <c r="S123" s="62">
        <f ca="1">AVERAGE(OFFSET($R$3,0,0,'Données projet'!$E$9+1,1))-AVERAGE(OFFSET($H$3,0,0,'Données projet'!$E$9+1,1))</f>
        <v>516.30971934066179</v>
      </c>
      <c r="T123" s="62">
        <f t="shared" si="88"/>
        <v>290.84286505723571</v>
      </c>
      <c r="U123" s="16">
        <f>IF(ISNA(VLOOKUP(A123,'Données projet'!$A$35:$I$55,3,0)),0,VLOOKUP(A123,'Données projet'!$A$35:$I$55,3,0))</f>
        <v>10</v>
      </c>
      <c r="V123" s="16">
        <f>IF(ISNA(VLOOKUP(A123,'Données projet'!$A$35:$I$55,4,0)),0,VLOOKUP(A123,'Données projet'!$A$35:$I$55,4,0))</f>
        <v>35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303</v>
      </c>
      <c r="AG123" s="13">
        <f>VLOOKUP(A123,'Données projet'!$A$61:$I$81,9,0)</f>
        <v>3.7</v>
      </c>
      <c r="AH123" s="13">
        <f t="array" ref="AH123">INDEX(AG:AG,MIN(IF(ISNUMBER(AG123:AG319),ROW(AG123:AG319),"")))</f>
        <v>3.7</v>
      </c>
      <c r="AI123" s="14">
        <f>IF('Données projet'!$A$62&gt;35,AI122+AH123-AQ122,IF(A123&lt;'Données projet'!$A$62,$AF$205^A123,IF(A123='Données projet'!$A$62,'Données projet'!$B$62,AI122+AH123-AQ122)))</f>
        <v>302.99999999999949</v>
      </c>
      <c r="AJ123" s="14">
        <f>AI123*VLOOKUP('Données projet'!$B$10,Paramètres!$A$1:$I$89,3,0)*VLOOKUP('Données projet'!$B$10,Paramètres!$A$1:$I$89,5,0)</f>
        <v>326.14919999999944</v>
      </c>
      <c r="AK123" s="14">
        <f t="shared" si="89"/>
        <v>76.631393510479555</v>
      </c>
      <c r="AL123" s="22">
        <f t="shared" si="58"/>
        <v>701.50953369741762</v>
      </c>
      <c r="AM123" s="62">
        <f t="shared" si="59"/>
        <v>983.61769444089418</v>
      </c>
      <c r="AN123" s="62">
        <f ca="1">AVERAGE(OFFSET($AM$3,0,0,'Données projet'!$E$10+1,1))-AVERAGE(OFFSET($H$3,0,0,'Données projet'!$E$10+1,1))</f>
        <v>542.90832990875208</v>
      </c>
      <c r="AO123" s="62">
        <f t="shared" si="90"/>
        <v>304.94365539329362</v>
      </c>
      <c r="AP123" s="16">
        <f>IF(ISNA(VLOOKUP(A123,'Données projet'!$A$61:$I$81,3,0)),0,VLOOKUP(A123,'Données projet'!$A$61:$I$81,3,0))</f>
        <v>10</v>
      </c>
      <c r="AQ123" s="16">
        <f>IF(ISNA(VLOOKUP(A123,'Données projet'!$A$61:$I$81,4,0)),0,VLOOKUP(A123,'Données projet'!$A$61:$I$81,4,0))</f>
        <v>35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>
        <f>VLOOKUP(A123,'Données projet'!$A$87:$I$107,2,0)</f>
        <v>303</v>
      </c>
      <c r="BB123" s="13">
        <f>VLOOKUP(A123,'Données projet'!$A$87:$I$107,9,0)</f>
        <v>3.7</v>
      </c>
      <c r="BC123" s="13">
        <f t="array" ref="BC123">INDEX(BB:BB,MIN(IF(ISNUMBER(BB123:BB319),ROW(BB123:BB319),"")))</f>
        <v>3.7</v>
      </c>
      <c r="BD123" s="13">
        <f>IF('Données projet'!$A$88&gt;35,BD122+BC123-BL122,IF(A123&lt;'Données projet'!$A$88,$BA$205^A123,IF(A123='Données projet'!$A$88,'Données projet'!$B$88,BD122+BC123-BL122)))</f>
        <v>302.99999999999949</v>
      </c>
      <c r="BE123" s="14">
        <f>BD123*VLOOKUP('Données projet'!$B$11,Paramètres!$A$1:$I$89,3,0)*VLOOKUP('Données projet'!$B$11,Paramètres!$A$1:$I$89,5,0)</f>
        <v>293.06159999999949</v>
      </c>
      <c r="BF123" s="14">
        <f t="shared" si="91"/>
        <v>69.719933365116432</v>
      </c>
      <c r="BG123" s="22">
        <f t="shared" si="61"/>
        <v>631.84450394424357</v>
      </c>
      <c r="BH123" s="62">
        <f t="shared" si="62"/>
        <v>913.95266468772024</v>
      </c>
      <c r="BI123" s="62">
        <f ca="1">AVERAGE(OFFSET($BH$3,0,0,'Données projet'!$E$11+1,1))-AVERAGE(OFFSET($H$3,0,0,'Données projet'!$E$11+1,1))</f>
        <v>496.33873798282525</v>
      </c>
      <c r="BJ123" s="62">
        <f t="shared" si="92"/>
        <v>280.25465074992246</v>
      </c>
      <c r="BK123" s="16">
        <f>IF(ISNA(VLOOKUP(A123,'Données projet'!$A$87:$I$107,3,0)),0,VLOOKUP(A123,'Données projet'!$A$87:$I$107,3,0))</f>
        <v>10</v>
      </c>
      <c r="BL123" s="16">
        <f>IF(ISNA(VLOOKUP(A123,'Données projet'!$A$87:$I$107,4,0)),0,VLOOKUP(A123,'Données projet'!$A$87:$I$107,4,0))</f>
        <v>35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1.7053025658242404E-13</v>
      </c>
      <c r="BZ123" s="14">
        <f>BY123*VLOOKUP('Données projet'!$B$12,Paramètres!$A$1:$I$89,3,0)*VLOOKUP('Données projet'!$B$12,Paramètres!$A$1:$I$89,5,0)</f>
        <v>1.4897523215040567E-13</v>
      </c>
      <c r="CA123" s="14">
        <f t="shared" si="93"/>
        <v>2.136562777003313E-12</v>
      </c>
      <c r="CB123" s="22">
        <f t="shared" si="64"/>
        <v>3.9806453659427267E-12</v>
      </c>
      <c r="CC123" s="62">
        <f t="shared" si="65"/>
        <v>282.1081607434806</v>
      </c>
      <c r="CD123" s="62">
        <f ca="1">AVERAGE(OFFSET($CC$3,0,0,'Données projet'!$E$12+1,1))-AVERAGE(OFFSET($H$3,0,0,'Données projet'!$E$12+1,1))</f>
        <v>298.28891728374822</v>
      </c>
      <c r="CE123" s="62">
        <f t="shared" si="94"/>
        <v>275.07405533331371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1.1368683772161603E-13</v>
      </c>
      <c r="CU123" s="18">
        <f>CT123*VLOOKUP('Données projet'!$B$13,Paramètres!$A$1:$I$89,3,0)*VLOOKUP('Données projet'!$B$13,Paramètres!$A$1:$I$89,5,0)</f>
        <v>6.7984728957526396E-14</v>
      </c>
      <c r="CV123" s="14">
        <f t="shared" si="95"/>
        <v>1.0682447123141398E-12</v>
      </c>
      <c r="CW123" s="22">
        <f t="shared" si="67"/>
        <v>1.978932943548152E-12</v>
      </c>
      <c r="CX123" s="62">
        <f t="shared" si="68"/>
        <v>282.10816074347861</v>
      </c>
      <c r="CY123" s="62">
        <f ca="1">AVERAGE(OFFSET($CX$3,0,0,'Données projet'!$E$13+1,1))-AVERAGE(OFFSET($H$3,0,0,'Données projet'!$E$13+1,1))</f>
        <v>320.46614113586043</v>
      </c>
      <c r="CZ123" s="62">
        <f t="shared" si="96"/>
        <v>250.7806929924491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0</v>
      </c>
      <c r="DG123" s="23">
        <f>EXP(-LN(2)/25)*DG122+(1-EXP(-LN(2)/25))/(LN(2)/25)*Calculateur!DB123*Calculateur!DD123*VLOOKUP('Données projet'!$B$13,Paramètres!$A$1:$I$89,3,0)*0.475*44/12</f>
        <v>0</v>
      </c>
      <c r="DH123" s="23">
        <f>EXP(-LN(2)/2)*DH122+(1-EXP(-LN(2)/2))/(LN(2)/2)*DB123*DE123*VLOOKUP('Données projet'!$B$13,Paramètres!$A$1:$I$89,3,0)*0.475*44/12</f>
        <v>2.6941077052502978E-13</v>
      </c>
      <c r="DI123" s="24">
        <f t="shared" si="69"/>
        <v>2.6941077052502978E-13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-1.1368683772161603E-13</v>
      </c>
      <c r="DP123" s="18">
        <f>DO123*VLOOKUP('Données projet'!$B$14,Paramètres!$A$1:$I$89,3,0)*VLOOKUP('Données projet'!$B$14,Paramètres!$A$1:$I$89,5,0)</f>
        <v>-5.3205440053716299E-14</v>
      </c>
      <c r="DQ123" s="14" t="e">
        <f t="shared" si="97"/>
        <v>#NUM!</v>
      </c>
      <c r="DR123" s="22" t="e">
        <f t="shared" si="70"/>
        <v>#NUM!</v>
      </c>
      <c r="DS123" s="62" t="e">
        <f t="shared" si="71"/>
        <v>#NUM!</v>
      </c>
      <c r="DT123" s="62">
        <f ca="1">AVERAGE(OFFSET($DS$3,0,0,'Données projet'!$E$14+1,1))-AVERAGE(OFFSET($H$3,0,0,'Données projet'!$E$14+1,1))</f>
        <v>429.87867712133851</v>
      </c>
      <c r="DU123" s="62">
        <f t="shared" si="98"/>
        <v>182.81277865988014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0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0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1.1368683772161603E-13</v>
      </c>
      <c r="EK123" s="18">
        <f>EJ123*VLOOKUP('Données projet'!$B$15,Paramètres!$A$1:$I$89,3,0)*VLOOKUP('Données projet'!$B$15,Paramètres!$A$1:$I$89,5,0)</f>
        <v>7.626113074366004E-14</v>
      </c>
      <c r="EL123" s="14">
        <f t="shared" si="99"/>
        <v>1.1823749172251317E-12</v>
      </c>
      <c r="EM123" s="22">
        <f t="shared" si="73"/>
        <v>2.1921244502123119E-12</v>
      </c>
      <c r="EN123" s="62">
        <f t="shared" si="74"/>
        <v>282.10816074347883</v>
      </c>
      <c r="EO123" s="62">
        <f ca="1">AVERAGE(OFFSET($EN$3,0,0,'Données projet'!$E$15+1,1))-AVERAGE(OFFSET($H$3,0,0,'Données projet'!$E$15+1,1))</f>
        <v>296.18088377871669</v>
      </c>
      <c r="EP123" s="62">
        <f t="shared" si="100"/>
        <v>252.23833925792056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0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0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1.1368683772161603E-13</v>
      </c>
      <c r="FF123" s="18">
        <f>FE123*VLOOKUP('Données projet'!$B$16,Paramètres!$A$1:$I$89,3,0)*VLOOKUP('Données projet'!$B$16,Paramètres!$A$1:$I$89,5,0)</f>
        <v>9.7543306765146564E-14</v>
      </c>
      <c r="FG123" s="14">
        <f t="shared" si="101"/>
        <v>1.4696264278629426E-12</v>
      </c>
      <c r="FH123" s="22">
        <f t="shared" si="76"/>
        <v>2.7294872878105889E-12</v>
      </c>
      <c r="FI123" s="62">
        <f t="shared" si="77"/>
        <v>282.10816074347935</v>
      </c>
      <c r="FJ123" s="62">
        <f ca="1">AVERAGE(OFFSET($FI$3,0,0,'Données projet'!$E$16+1,1))-AVERAGE(OFFSET($H$3,0,0,'Données projet'!$E$16+1,1))</f>
        <v>359.20464555327072</v>
      </c>
      <c r="FK123" s="62">
        <f t="shared" si="102"/>
        <v>305.54154052071863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0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0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3.2</v>
      </c>
      <c r="N124" s="14">
        <f>IF('Données projet'!$A$36&gt;35,N123+M124-V123,IF(A124&lt;'Données projet'!$A$36,$K$205^A124,IF(A124='Données projet'!$A$36,'Données projet'!$B$36,N123+M124-V123)))</f>
        <v>271.19999999999948</v>
      </c>
      <c r="O124" s="14">
        <f>N124*VLOOKUP('Données projet'!$B$9,Paramètres!$A$1:$I$89,3,0)*VLOOKUP('Données projet'!$B$9,Paramètres!$A$1:$I$89,5,0)</f>
        <v>274.9967999999995</v>
      </c>
      <c r="P124" s="14">
        <f t="shared" si="87"/>
        <v>65.908581953881495</v>
      </c>
      <c r="Q124" s="22">
        <f t="shared" si="107"/>
        <v>593.74354023634271</v>
      </c>
      <c r="R124" s="62">
        <f t="shared" si="55"/>
        <v>876.0464326285271</v>
      </c>
      <c r="S124" s="62">
        <f ca="1">AVERAGE(OFFSET($R$3,0,0,'Données projet'!$E$9+1,1))-AVERAGE(OFFSET($H$3,0,0,'Données projet'!$E$9+1,1))</f>
        <v>516.30971934066179</v>
      </c>
      <c r="T124" s="62">
        <f t="shared" si="88"/>
        <v>290.84286505723571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3.2</v>
      </c>
      <c r="AI124" s="14">
        <f>IF('Données projet'!$A$62&gt;35,AI123+AH124-AQ123,IF(A124&lt;'Données projet'!$A$62,$AF$205^A124,IF(A124='Données projet'!$A$62,'Données projet'!$B$62,AI123+AH124-AQ123)))</f>
        <v>271.19999999999948</v>
      </c>
      <c r="AJ124" s="14">
        <f>AI124*VLOOKUP('Données projet'!$B$10,Paramètres!$A$1:$I$89,3,0)*VLOOKUP('Données projet'!$B$10,Paramètres!$A$1:$I$89,5,0)</f>
        <v>291.9196799999994</v>
      </c>
      <c r="AK124" s="14">
        <f t="shared" si="89"/>
        <v>69.47983563531173</v>
      </c>
      <c r="AL124" s="22">
        <f t="shared" si="58"/>
        <v>629.43748973150025</v>
      </c>
      <c r="AM124" s="62">
        <f t="shared" si="59"/>
        <v>911.74038212368464</v>
      </c>
      <c r="AN124" s="62">
        <f ca="1">AVERAGE(OFFSET($AM$3,0,0,'Données projet'!$E$10+1,1))-AVERAGE(OFFSET($H$3,0,0,'Données projet'!$E$10+1,1))</f>
        <v>542.90832990875208</v>
      </c>
      <c r="AO124" s="62">
        <f t="shared" si="90"/>
        <v>304.94365539329362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3.2</v>
      </c>
      <c r="BD124" s="13">
        <f>IF('Données projet'!$A$88&gt;35,BD123+BC124-BL123,IF(A124&lt;'Données projet'!$A$88,$BA$205^A124,IF(A124='Données projet'!$A$88,'Données projet'!$B$88,BD123+BC124-BL123)))</f>
        <v>271.19999999999948</v>
      </c>
      <c r="BE124" s="14">
        <f>BD124*VLOOKUP('Données projet'!$B$11,Paramètres!$A$1:$I$89,3,0)*VLOOKUP('Données projet'!$B$11,Paramètres!$A$1:$I$89,5,0)</f>
        <v>262.30463999999949</v>
      </c>
      <c r="BF124" s="14">
        <f t="shared" si="91"/>
        <v>63.213381472055985</v>
      </c>
      <c r="BG124" s="22">
        <f t="shared" si="61"/>
        <v>566.94388739716328</v>
      </c>
      <c r="BH124" s="62">
        <f t="shared" si="62"/>
        <v>849.24677978934767</v>
      </c>
      <c r="BI124" s="62">
        <f ca="1">AVERAGE(OFFSET($BH$3,0,0,'Données projet'!$E$11+1,1))-AVERAGE(OFFSET($H$3,0,0,'Données projet'!$E$11+1,1))</f>
        <v>496.33873798282525</v>
      </c>
      <c r="BJ124" s="62">
        <f t="shared" si="92"/>
        <v>280.25465074992246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1.7053025658242404E-13</v>
      </c>
      <c r="BZ124" s="14">
        <f>BY124*VLOOKUP('Données projet'!$B$12,Paramètres!$A$1:$I$89,3,0)*VLOOKUP('Données projet'!$B$12,Paramètres!$A$1:$I$89,5,0)</f>
        <v>1.4897523215040567E-13</v>
      </c>
      <c r="CA124" s="14">
        <f t="shared" si="93"/>
        <v>2.136562777003313E-12</v>
      </c>
      <c r="CB124" s="22">
        <f t="shared" si="64"/>
        <v>3.9806453659427267E-12</v>
      </c>
      <c r="CC124" s="62">
        <f t="shared" si="65"/>
        <v>282.30289239218837</v>
      </c>
      <c r="CD124" s="62">
        <f ca="1">AVERAGE(OFFSET($CC$3,0,0,'Données projet'!$E$12+1,1))-AVERAGE(OFFSET($H$3,0,0,'Données projet'!$E$12+1,1))</f>
        <v>298.28891728374822</v>
      </c>
      <c r="CE124" s="62">
        <f t="shared" si="94"/>
        <v>275.07405533331371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1.1368683772161603E-13</v>
      </c>
      <c r="CU124" s="18">
        <f>CT124*VLOOKUP('Données projet'!$B$13,Paramètres!$A$1:$I$89,3,0)*VLOOKUP('Données projet'!$B$13,Paramètres!$A$1:$I$89,5,0)</f>
        <v>6.7984728957526396E-14</v>
      </c>
      <c r="CV124" s="14">
        <f t="shared" si="95"/>
        <v>1.0682447123141398E-12</v>
      </c>
      <c r="CW124" s="22">
        <f t="shared" si="67"/>
        <v>1.978932943548152E-12</v>
      </c>
      <c r="CX124" s="62">
        <f t="shared" si="68"/>
        <v>282.30289239218638</v>
      </c>
      <c r="CY124" s="62">
        <f ca="1">AVERAGE(OFFSET($CX$3,0,0,'Données projet'!$E$13+1,1))-AVERAGE(OFFSET($H$3,0,0,'Données projet'!$E$13+1,1))</f>
        <v>320.46614113586043</v>
      </c>
      <c r="CZ124" s="62">
        <f t="shared" si="96"/>
        <v>250.7806929924491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0</v>
      </c>
      <c r="DG124" s="23">
        <f>EXP(-LN(2)/25)*DG123+(1-EXP(-LN(2)/25))/(LN(2)/25)*Calculateur!DB124*Calculateur!DD124*VLOOKUP('Données projet'!$B$13,Paramètres!$A$1:$I$89,3,0)*0.475*44/12</f>
        <v>0</v>
      </c>
      <c r="DH124" s="23">
        <f>EXP(-LN(2)/2)*DH123+(1-EXP(-LN(2)/2))/(LN(2)/2)*DB124*DE124*VLOOKUP('Données projet'!$B$13,Paramètres!$A$1:$I$89,3,0)*0.475*44/12</f>
        <v>1.905021827629414E-13</v>
      </c>
      <c r="DI124" s="24">
        <f t="shared" si="69"/>
        <v>1.905021827629414E-13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-1.1368683772161603E-13</v>
      </c>
      <c r="DP124" s="18">
        <f>DO124*VLOOKUP('Données projet'!$B$14,Paramètres!$A$1:$I$89,3,0)*VLOOKUP('Données projet'!$B$14,Paramètres!$A$1:$I$89,5,0)</f>
        <v>-5.3205440053716299E-14</v>
      </c>
      <c r="DQ124" s="14" t="e">
        <f t="shared" si="97"/>
        <v>#NUM!</v>
      </c>
      <c r="DR124" s="22" t="e">
        <f t="shared" si="70"/>
        <v>#NUM!</v>
      </c>
      <c r="DS124" s="62" t="e">
        <f t="shared" si="71"/>
        <v>#NUM!</v>
      </c>
      <c r="DT124" s="62">
        <f ca="1">AVERAGE(OFFSET($DS$3,0,0,'Données projet'!$E$14+1,1))-AVERAGE(OFFSET($H$3,0,0,'Données projet'!$E$14+1,1))</f>
        <v>429.87867712133851</v>
      </c>
      <c r="DU124" s="62">
        <f t="shared" si="98"/>
        <v>182.81277865988014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0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0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1.1368683772161603E-13</v>
      </c>
      <c r="EK124" s="18">
        <f>EJ124*VLOOKUP('Données projet'!$B$15,Paramètres!$A$1:$I$89,3,0)*VLOOKUP('Données projet'!$B$15,Paramètres!$A$1:$I$89,5,0)</f>
        <v>7.626113074366004E-14</v>
      </c>
      <c r="EL124" s="14">
        <f t="shared" si="99"/>
        <v>1.1823749172251317E-12</v>
      </c>
      <c r="EM124" s="22">
        <f t="shared" si="73"/>
        <v>2.1921244502123119E-12</v>
      </c>
      <c r="EN124" s="62">
        <f t="shared" si="74"/>
        <v>282.30289239218661</v>
      </c>
      <c r="EO124" s="62">
        <f ca="1">AVERAGE(OFFSET($EN$3,0,0,'Données projet'!$E$15+1,1))-AVERAGE(OFFSET($H$3,0,0,'Données projet'!$E$15+1,1))</f>
        <v>296.18088377871669</v>
      </c>
      <c r="EP124" s="62">
        <f t="shared" si="100"/>
        <v>252.23833925792056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0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0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1.1368683772161603E-13</v>
      </c>
      <c r="FF124" s="18">
        <f>FE124*VLOOKUP('Données projet'!$B$16,Paramètres!$A$1:$I$89,3,0)*VLOOKUP('Données projet'!$B$16,Paramètres!$A$1:$I$89,5,0)</f>
        <v>9.7543306765146564E-14</v>
      </c>
      <c r="FG124" s="14">
        <f t="shared" si="101"/>
        <v>1.4696264278629426E-12</v>
      </c>
      <c r="FH124" s="22">
        <f t="shared" si="76"/>
        <v>2.7294872878105889E-12</v>
      </c>
      <c r="FI124" s="62">
        <f t="shared" si="77"/>
        <v>282.30289239218712</v>
      </c>
      <c r="FJ124" s="62">
        <f ca="1">AVERAGE(OFFSET($FI$3,0,0,'Données projet'!$E$16+1,1))-AVERAGE(OFFSET($H$3,0,0,'Données projet'!$E$16+1,1))</f>
        <v>359.20464555327072</v>
      </c>
      <c r="FK124" s="62">
        <f t="shared" si="102"/>
        <v>305.54154052071863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0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0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3.2</v>
      </c>
      <c r="N125" s="14">
        <f>IF('Données projet'!$A$36&gt;35,N124+M125-V124,IF(A125&lt;'Données projet'!$A$36,$K$205^A125,IF(A125='Données projet'!$A$36,'Données projet'!$B$36,N124+M125-V124)))</f>
        <v>274.39999999999947</v>
      </c>
      <c r="O125" s="14">
        <f>N125*VLOOKUP('Données projet'!$B$9,Paramètres!$A$1:$I$89,3,0)*VLOOKUP('Données projet'!$B$9,Paramètres!$A$1:$I$89,5,0)</f>
        <v>278.24159999999949</v>
      </c>
      <c r="P125" s="14">
        <f t="shared" si="87"/>
        <v>66.595272276139681</v>
      </c>
      <c r="Q125" s="22">
        <f t="shared" si="107"/>
        <v>600.59088588094244</v>
      </c>
      <c r="R125" s="62">
        <f t="shared" si="55"/>
        <v>883.08513176308429</v>
      </c>
      <c r="S125" s="62">
        <f ca="1">AVERAGE(OFFSET($R$3,0,0,'Données projet'!$E$9+1,1))-AVERAGE(OFFSET($H$3,0,0,'Données projet'!$E$9+1,1))</f>
        <v>516.30971934066179</v>
      </c>
      <c r="T125" s="62">
        <f t="shared" si="88"/>
        <v>290.84286505723571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3.2</v>
      </c>
      <c r="AI125" s="14">
        <f>IF('Données projet'!$A$62&gt;35,AI124+AH125-AQ124,IF(A125&lt;'Données projet'!$A$62,$AF$205^A125,IF(A125='Données projet'!$A$62,'Données projet'!$B$62,AI124+AH125-AQ124)))</f>
        <v>274.39999999999947</v>
      </c>
      <c r="AJ125" s="14">
        <f>AI125*VLOOKUP('Données projet'!$B$10,Paramètres!$A$1:$I$89,3,0)*VLOOKUP('Données projet'!$B$10,Paramètres!$A$1:$I$89,5,0)</f>
        <v>295.3641599999994</v>
      </c>
      <c r="AK125" s="14">
        <f t="shared" si="89"/>
        <v>70.203734243178047</v>
      </c>
      <c r="AL125" s="22">
        <f t="shared" si="58"/>
        <v>636.6974158068673</v>
      </c>
      <c r="AM125" s="62">
        <f t="shared" si="59"/>
        <v>919.19166168900915</v>
      </c>
      <c r="AN125" s="62">
        <f ca="1">AVERAGE(OFFSET($AM$3,0,0,'Données projet'!$E$10+1,1))-AVERAGE(OFFSET($H$3,0,0,'Données projet'!$E$10+1,1))</f>
        <v>542.90832990875208</v>
      </c>
      <c r="AO125" s="62">
        <f t="shared" si="90"/>
        <v>304.94365539329362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3.2</v>
      </c>
      <c r="BD125" s="13">
        <f>IF('Données projet'!$A$88&gt;35,BD124+BC125-BL124,IF(A125&lt;'Données projet'!$A$88,$BA$205^A125,IF(A125='Données projet'!$A$88,'Données projet'!$B$88,BD124+BC125-BL124)))</f>
        <v>274.39999999999947</v>
      </c>
      <c r="BE125" s="14">
        <f>BD125*VLOOKUP('Données projet'!$B$11,Paramètres!$A$1:$I$89,3,0)*VLOOKUP('Données projet'!$B$11,Paramètres!$A$1:$I$89,5,0)</f>
        <v>265.39967999999948</v>
      </c>
      <c r="BF125" s="14">
        <f t="shared" si="91"/>
        <v>63.87199095821434</v>
      </c>
      <c r="BG125" s="22">
        <f t="shared" si="61"/>
        <v>573.48149358555565</v>
      </c>
      <c r="BH125" s="62">
        <f t="shared" si="62"/>
        <v>855.97573946769739</v>
      </c>
      <c r="BI125" s="62">
        <f ca="1">AVERAGE(OFFSET($BH$3,0,0,'Données projet'!$E$11+1,1))-AVERAGE(OFFSET($H$3,0,0,'Données projet'!$E$11+1,1))</f>
        <v>496.33873798282525</v>
      </c>
      <c r="BJ125" s="62">
        <f t="shared" si="92"/>
        <v>280.25465074992246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1.7053025658242404E-13</v>
      </c>
      <c r="BZ125" s="14">
        <f>BY125*VLOOKUP('Données projet'!$B$12,Paramètres!$A$1:$I$89,3,0)*VLOOKUP('Données projet'!$B$12,Paramètres!$A$1:$I$89,5,0)</f>
        <v>1.4897523215040567E-13</v>
      </c>
      <c r="CA125" s="14">
        <f t="shared" si="93"/>
        <v>2.136562777003313E-12</v>
      </c>
      <c r="CB125" s="22">
        <f t="shared" si="64"/>
        <v>3.9806453659427267E-12</v>
      </c>
      <c r="CC125" s="62">
        <f t="shared" si="65"/>
        <v>282.49424588214578</v>
      </c>
      <c r="CD125" s="62">
        <f ca="1">AVERAGE(OFFSET($CC$3,0,0,'Données projet'!$E$12+1,1))-AVERAGE(OFFSET($H$3,0,0,'Données projet'!$E$12+1,1))</f>
        <v>298.28891728374822</v>
      </c>
      <c r="CE125" s="62">
        <f t="shared" si="94"/>
        <v>275.07405533331371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1.1368683772161603E-13</v>
      </c>
      <c r="CU125" s="18">
        <f>CT125*VLOOKUP('Données projet'!$B$13,Paramètres!$A$1:$I$89,3,0)*VLOOKUP('Données projet'!$B$13,Paramètres!$A$1:$I$89,5,0)</f>
        <v>6.7984728957526396E-14</v>
      </c>
      <c r="CV125" s="14">
        <f t="shared" si="95"/>
        <v>1.0682447123141398E-12</v>
      </c>
      <c r="CW125" s="22">
        <f t="shared" si="67"/>
        <v>1.978932943548152E-12</v>
      </c>
      <c r="CX125" s="62">
        <f t="shared" si="68"/>
        <v>282.49424588214379</v>
      </c>
      <c r="CY125" s="62">
        <f ca="1">AVERAGE(OFFSET($CX$3,0,0,'Données projet'!$E$13+1,1))-AVERAGE(OFFSET($H$3,0,0,'Données projet'!$E$13+1,1))</f>
        <v>320.46614113586043</v>
      </c>
      <c r="CZ125" s="62">
        <f t="shared" si="96"/>
        <v>250.7806929924491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0</v>
      </c>
      <c r="DG125" s="23">
        <f>EXP(-LN(2)/25)*DG124+(1-EXP(-LN(2)/25))/(LN(2)/25)*Calculateur!DB125*Calculateur!DD125*VLOOKUP('Données projet'!$B$13,Paramètres!$A$1:$I$89,3,0)*0.475*44/12</f>
        <v>0</v>
      </c>
      <c r="DH125" s="23">
        <f>EXP(-LN(2)/2)*DH124+(1-EXP(-LN(2)/2))/(LN(2)/2)*DB125*DE125*VLOOKUP('Données projet'!$B$13,Paramètres!$A$1:$I$89,3,0)*0.475*44/12</f>
        <v>1.3470538526251489E-13</v>
      </c>
      <c r="DI125" s="24">
        <f t="shared" si="69"/>
        <v>1.3470538526251489E-13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-1.1368683772161603E-13</v>
      </c>
      <c r="DP125" s="18">
        <f>DO125*VLOOKUP('Données projet'!$B$14,Paramètres!$A$1:$I$89,3,0)*VLOOKUP('Données projet'!$B$14,Paramètres!$A$1:$I$89,5,0)</f>
        <v>-5.3205440053716299E-14</v>
      </c>
      <c r="DQ125" s="14" t="e">
        <f t="shared" si="97"/>
        <v>#NUM!</v>
      </c>
      <c r="DR125" s="22" t="e">
        <f t="shared" si="70"/>
        <v>#NUM!</v>
      </c>
      <c r="DS125" s="62" t="e">
        <f t="shared" si="71"/>
        <v>#NUM!</v>
      </c>
      <c r="DT125" s="62">
        <f ca="1">AVERAGE(OFFSET($DS$3,0,0,'Données projet'!$E$14+1,1))-AVERAGE(OFFSET($H$3,0,0,'Données projet'!$E$14+1,1))</f>
        <v>429.87867712133851</v>
      </c>
      <c r="DU125" s="62">
        <f t="shared" si="98"/>
        <v>182.81277865988014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0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0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1.1368683772161603E-13</v>
      </c>
      <c r="EK125" s="18">
        <f>EJ125*VLOOKUP('Données projet'!$B$15,Paramètres!$A$1:$I$89,3,0)*VLOOKUP('Données projet'!$B$15,Paramètres!$A$1:$I$89,5,0)</f>
        <v>7.626113074366004E-14</v>
      </c>
      <c r="EL125" s="14">
        <f t="shared" si="99"/>
        <v>1.1823749172251317E-12</v>
      </c>
      <c r="EM125" s="22">
        <f t="shared" si="73"/>
        <v>2.1921244502123119E-12</v>
      </c>
      <c r="EN125" s="62">
        <f t="shared" si="74"/>
        <v>282.49424588214401</v>
      </c>
      <c r="EO125" s="62">
        <f ca="1">AVERAGE(OFFSET($EN$3,0,0,'Données projet'!$E$15+1,1))-AVERAGE(OFFSET($H$3,0,0,'Données projet'!$E$15+1,1))</f>
        <v>296.18088377871669</v>
      </c>
      <c r="EP125" s="62">
        <f t="shared" si="100"/>
        <v>252.23833925792056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0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0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1.1368683772161603E-13</v>
      </c>
      <c r="FF125" s="18">
        <f>FE125*VLOOKUP('Données projet'!$B$16,Paramètres!$A$1:$I$89,3,0)*VLOOKUP('Données projet'!$B$16,Paramètres!$A$1:$I$89,5,0)</f>
        <v>9.7543306765146564E-14</v>
      </c>
      <c r="FG125" s="14">
        <f t="shared" si="101"/>
        <v>1.4696264278629426E-12</v>
      </c>
      <c r="FH125" s="22">
        <f t="shared" si="76"/>
        <v>2.7294872878105889E-12</v>
      </c>
      <c r="FI125" s="62">
        <f t="shared" si="77"/>
        <v>282.49424588214453</v>
      </c>
      <c r="FJ125" s="62">
        <f ca="1">AVERAGE(OFFSET($FI$3,0,0,'Données projet'!$E$16+1,1))-AVERAGE(OFFSET($H$3,0,0,'Données projet'!$E$16+1,1))</f>
        <v>359.20464555327072</v>
      </c>
      <c r="FK125" s="62">
        <f t="shared" si="102"/>
        <v>305.54154052071863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0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0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3.2</v>
      </c>
      <c r="N126" s="14">
        <f>IF('Données projet'!$A$36&gt;35,N125+M126-V125,IF(A126&lt;'Données projet'!$A$36,$K$205^A126,IF(A126='Données projet'!$A$36,'Données projet'!$B$36,N125+M126-V125)))</f>
        <v>277.59999999999945</v>
      </c>
      <c r="O126" s="14">
        <f>N126*VLOOKUP('Données projet'!$B$9,Paramètres!$A$1:$I$89,3,0)*VLOOKUP('Données projet'!$B$9,Paramètres!$A$1:$I$89,5,0)</f>
        <v>281.48639999999949</v>
      </c>
      <c r="P126" s="14">
        <f t="shared" si="87"/>
        <v>67.281031071373235</v>
      </c>
      <c r="Q126" s="22">
        <f t="shared" si="107"/>
        <v>607.43660911597419</v>
      </c>
      <c r="R126" s="62">
        <f t="shared" si="55"/>
        <v>890.1188889328248</v>
      </c>
      <c r="S126" s="62">
        <f ca="1">AVERAGE(OFFSET($R$3,0,0,'Données projet'!$E$9+1,1))-AVERAGE(OFFSET($H$3,0,0,'Données projet'!$E$9+1,1))</f>
        <v>516.30971934066179</v>
      </c>
      <c r="T126" s="62">
        <f t="shared" si="88"/>
        <v>290.84286505723571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3.2</v>
      </c>
      <c r="AI126" s="14">
        <f>IF('Données projet'!$A$62&gt;35,AI125+AH126-AQ125,IF(A126&lt;'Données projet'!$A$62,$AF$205^A126,IF(A126='Données projet'!$A$62,'Données projet'!$B$62,AI125+AH126-AQ125)))</f>
        <v>277.59999999999945</v>
      </c>
      <c r="AJ126" s="14">
        <f>AI126*VLOOKUP('Données projet'!$B$10,Paramètres!$A$1:$I$89,3,0)*VLOOKUP('Données projet'!$B$10,Paramètres!$A$1:$I$89,5,0)</f>
        <v>298.8086399999994</v>
      </c>
      <c r="AK126" s="14">
        <f t="shared" si="89"/>
        <v>70.926650849267929</v>
      </c>
      <c r="AL126" s="22">
        <f t="shared" si="58"/>
        <v>643.95563156247397</v>
      </c>
      <c r="AM126" s="62">
        <f t="shared" si="59"/>
        <v>926.63791137932458</v>
      </c>
      <c r="AN126" s="62">
        <f ca="1">AVERAGE(OFFSET($AM$3,0,0,'Données projet'!$E$10+1,1))-AVERAGE(OFFSET($H$3,0,0,'Données projet'!$E$10+1,1))</f>
        <v>542.90832990875208</v>
      </c>
      <c r="AO126" s="62">
        <f t="shared" si="90"/>
        <v>304.94365539329362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3.2</v>
      </c>
      <c r="BD126" s="13">
        <f>IF('Données projet'!$A$88&gt;35,BD125+BC126-BL125,IF(A126&lt;'Données projet'!$A$88,$BA$205^A126,IF(A126='Données projet'!$A$88,'Données projet'!$B$88,BD125+BC126-BL125)))</f>
        <v>277.59999999999945</v>
      </c>
      <c r="BE126" s="14">
        <f>BD126*VLOOKUP('Données projet'!$B$11,Paramètres!$A$1:$I$89,3,0)*VLOOKUP('Données projet'!$B$11,Paramètres!$A$1:$I$89,5,0)</f>
        <v>268.49471999999946</v>
      </c>
      <c r="BF126" s="14">
        <f t="shared" si="91"/>
        <v>64.529707010294615</v>
      </c>
      <c r="BG126" s="22">
        <f t="shared" si="61"/>
        <v>580.01754370959543</v>
      </c>
      <c r="BH126" s="62">
        <f t="shared" si="62"/>
        <v>862.69982352644615</v>
      </c>
      <c r="BI126" s="62">
        <f ca="1">AVERAGE(OFFSET($BH$3,0,0,'Données projet'!$E$11+1,1))-AVERAGE(OFFSET($H$3,0,0,'Données projet'!$E$11+1,1))</f>
        <v>496.33873798282525</v>
      </c>
      <c r="BJ126" s="62">
        <f t="shared" si="92"/>
        <v>280.25465074992246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1.7053025658242404E-13</v>
      </c>
      <c r="BZ126" s="14">
        <f>BY126*VLOOKUP('Données projet'!$B$12,Paramètres!$A$1:$I$89,3,0)*VLOOKUP('Données projet'!$B$12,Paramètres!$A$1:$I$89,5,0)</f>
        <v>1.4897523215040567E-13</v>
      </c>
      <c r="CA126" s="14">
        <f t="shared" si="93"/>
        <v>2.136562777003313E-12</v>
      </c>
      <c r="CB126" s="22">
        <f t="shared" si="64"/>
        <v>3.9806453659427267E-12</v>
      </c>
      <c r="CC126" s="62">
        <f t="shared" si="65"/>
        <v>282.68227981685465</v>
      </c>
      <c r="CD126" s="62">
        <f ca="1">AVERAGE(OFFSET($CC$3,0,0,'Données projet'!$E$12+1,1))-AVERAGE(OFFSET($H$3,0,0,'Données projet'!$E$12+1,1))</f>
        <v>298.28891728374822</v>
      </c>
      <c r="CE126" s="62">
        <f t="shared" si="94"/>
        <v>275.07405533331371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1.1368683772161603E-13</v>
      </c>
      <c r="CU126" s="18">
        <f>CT126*VLOOKUP('Données projet'!$B$13,Paramètres!$A$1:$I$89,3,0)*VLOOKUP('Données projet'!$B$13,Paramètres!$A$1:$I$89,5,0)</f>
        <v>6.7984728957526396E-14</v>
      </c>
      <c r="CV126" s="14">
        <f t="shared" si="95"/>
        <v>1.0682447123141398E-12</v>
      </c>
      <c r="CW126" s="22">
        <f t="shared" si="67"/>
        <v>1.978932943548152E-12</v>
      </c>
      <c r="CX126" s="62">
        <f t="shared" si="68"/>
        <v>282.68227981685266</v>
      </c>
      <c r="CY126" s="62">
        <f ca="1">AVERAGE(OFFSET($CX$3,0,0,'Données projet'!$E$13+1,1))-AVERAGE(OFFSET($H$3,0,0,'Données projet'!$E$13+1,1))</f>
        <v>320.46614113586043</v>
      </c>
      <c r="CZ126" s="62">
        <f t="shared" si="96"/>
        <v>250.7806929924491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0</v>
      </c>
      <c r="DG126" s="23">
        <f>EXP(-LN(2)/25)*DG125+(1-EXP(-LN(2)/25))/(LN(2)/25)*Calculateur!DB126*Calculateur!DD126*VLOOKUP('Données projet'!$B$13,Paramètres!$A$1:$I$89,3,0)*0.475*44/12</f>
        <v>0</v>
      </c>
      <c r="DH126" s="23">
        <f>EXP(-LN(2)/2)*DH125+(1-EXP(-LN(2)/2))/(LN(2)/2)*DB126*DE126*VLOOKUP('Données projet'!$B$13,Paramètres!$A$1:$I$89,3,0)*0.475*44/12</f>
        <v>9.5251091381470702E-14</v>
      </c>
      <c r="DI126" s="24">
        <f t="shared" si="69"/>
        <v>9.5251091381470702E-14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-1.1368683772161603E-13</v>
      </c>
      <c r="DP126" s="18">
        <f>DO126*VLOOKUP('Données projet'!$B$14,Paramètres!$A$1:$I$89,3,0)*VLOOKUP('Données projet'!$B$14,Paramètres!$A$1:$I$89,5,0)</f>
        <v>-5.3205440053716299E-14</v>
      </c>
      <c r="DQ126" s="14" t="e">
        <f t="shared" si="97"/>
        <v>#NUM!</v>
      </c>
      <c r="DR126" s="22" t="e">
        <f t="shared" si="70"/>
        <v>#NUM!</v>
      </c>
      <c r="DS126" s="62" t="e">
        <f t="shared" si="71"/>
        <v>#NUM!</v>
      </c>
      <c r="DT126" s="62">
        <f ca="1">AVERAGE(OFFSET($DS$3,0,0,'Données projet'!$E$14+1,1))-AVERAGE(OFFSET($H$3,0,0,'Données projet'!$E$14+1,1))</f>
        <v>429.87867712133851</v>
      </c>
      <c r="DU126" s="62">
        <f t="shared" si="98"/>
        <v>182.81277865988014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0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0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1.1368683772161603E-13</v>
      </c>
      <c r="EK126" s="18">
        <f>EJ126*VLOOKUP('Données projet'!$B$15,Paramètres!$A$1:$I$89,3,0)*VLOOKUP('Données projet'!$B$15,Paramètres!$A$1:$I$89,5,0)</f>
        <v>7.626113074366004E-14</v>
      </c>
      <c r="EL126" s="14">
        <f t="shared" si="99"/>
        <v>1.1823749172251317E-12</v>
      </c>
      <c r="EM126" s="22">
        <f t="shared" si="73"/>
        <v>2.1921244502123119E-12</v>
      </c>
      <c r="EN126" s="62">
        <f t="shared" si="74"/>
        <v>282.68227981685288</v>
      </c>
      <c r="EO126" s="62">
        <f ca="1">AVERAGE(OFFSET($EN$3,0,0,'Données projet'!$E$15+1,1))-AVERAGE(OFFSET($H$3,0,0,'Données projet'!$E$15+1,1))</f>
        <v>296.18088377871669</v>
      </c>
      <c r="EP126" s="62">
        <f t="shared" si="100"/>
        <v>252.23833925792056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0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0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1.1368683772161603E-13</v>
      </c>
      <c r="FF126" s="18">
        <f>FE126*VLOOKUP('Données projet'!$B$16,Paramètres!$A$1:$I$89,3,0)*VLOOKUP('Données projet'!$B$16,Paramètres!$A$1:$I$89,5,0)</f>
        <v>9.7543306765146564E-14</v>
      </c>
      <c r="FG126" s="14">
        <f t="shared" si="101"/>
        <v>1.4696264278629426E-12</v>
      </c>
      <c r="FH126" s="22">
        <f t="shared" si="76"/>
        <v>2.7294872878105889E-12</v>
      </c>
      <c r="FI126" s="62">
        <f t="shared" si="77"/>
        <v>282.6822798168534</v>
      </c>
      <c r="FJ126" s="62">
        <f ca="1">AVERAGE(OFFSET($FI$3,0,0,'Données projet'!$E$16+1,1))-AVERAGE(OFFSET($H$3,0,0,'Données projet'!$E$16+1,1))</f>
        <v>359.20464555327072</v>
      </c>
      <c r="FK126" s="62">
        <f t="shared" si="102"/>
        <v>305.54154052071863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0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0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3.2</v>
      </c>
      <c r="N127" s="14">
        <f>IF('Données projet'!$A$36&gt;35,N126+M127-V126,IF(A127&lt;'Données projet'!$A$36,$K$205^A127,IF(A127='Données projet'!$A$36,'Données projet'!$B$36,N126+M127-V126)))</f>
        <v>280.79999999999944</v>
      </c>
      <c r="O127" s="14">
        <f>N127*VLOOKUP('Données projet'!$B$9,Paramètres!$A$1:$I$89,3,0)*VLOOKUP('Données projet'!$B$9,Paramètres!$A$1:$I$89,5,0)</f>
        <v>284.73119999999943</v>
      </c>
      <c r="P127" s="14">
        <f t="shared" si="87"/>
        <v>67.965870320050826</v>
      </c>
      <c r="Q127" s="22">
        <f t="shared" si="107"/>
        <v>614.28073080742081</v>
      </c>
      <c r="R127" s="62">
        <f t="shared" si="55"/>
        <v>897.14778259059415</v>
      </c>
      <c r="S127" s="62">
        <f ca="1">AVERAGE(OFFSET($R$3,0,0,'Données projet'!$E$9+1,1))-AVERAGE(OFFSET($H$3,0,0,'Données projet'!$E$9+1,1))</f>
        <v>516.30971934066179</v>
      </c>
      <c r="T127" s="62">
        <f t="shared" si="88"/>
        <v>290.84286505723571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3.2</v>
      </c>
      <c r="AI127" s="14">
        <f>IF('Données projet'!$A$62&gt;35,AI126+AH127-AQ126,IF(A127&lt;'Données projet'!$A$62,$AF$205^A127,IF(A127='Données projet'!$A$62,'Données projet'!$B$62,AI126+AH127-AQ126)))</f>
        <v>280.79999999999944</v>
      </c>
      <c r="AJ127" s="14">
        <f>AI127*VLOOKUP('Données projet'!$B$10,Paramètres!$A$1:$I$89,3,0)*VLOOKUP('Données projet'!$B$10,Paramètres!$A$1:$I$89,5,0)</f>
        <v>302.2531199999994</v>
      </c>
      <c r="AK127" s="14">
        <f t="shared" si="89"/>
        <v>71.648598083211283</v>
      </c>
      <c r="AL127" s="22">
        <f t="shared" si="58"/>
        <v>651.21215899492529</v>
      </c>
      <c r="AM127" s="62">
        <f t="shared" si="59"/>
        <v>934.07921077809863</v>
      </c>
      <c r="AN127" s="62">
        <f ca="1">AVERAGE(OFFSET($AM$3,0,0,'Données projet'!$E$10+1,1))-AVERAGE(OFFSET($H$3,0,0,'Données projet'!$E$10+1,1))</f>
        <v>542.90832990875208</v>
      </c>
      <c r="AO127" s="62">
        <f t="shared" si="90"/>
        <v>304.94365539329362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3.2</v>
      </c>
      <c r="BD127" s="13">
        <f>IF('Données projet'!$A$88&gt;35,BD126+BC127-BL126,IF(A127&lt;'Données projet'!$A$88,$BA$205^A127,IF(A127='Données projet'!$A$88,'Données projet'!$B$88,BD126+BC127-BL126)))</f>
        <v>280.79999999999944</v>
      </c>
      <c r="BE127" s="14">
        <f>BD127*VLOOKUP('Données projet'!$B$11,Paramètres!$A$1:$I$89,3,0)*VLOOKUP('Données projet'!$B$11,Paramètres!$A$1:$I$89,5,0)</f>
        <v>271.5897599999995</v>
      </c>
      <c r="BF127" s="14">
        <f t="shared" si="91"/>
        <v>65.186541118848012</v>
      </c>
      <c r="BG127" s="22">
        <f t="shared" si="61"/>
        <v>586.55205778199274</v>
      </c>
      <c r="BH127" s="62">
        <f t="shared" si="62"/>
        <v>869.41910956516608</v>
      </c>
      <c r="BI127" s="62">
        <f ca="1">AVERAGE(OFFSET($BH$3,0,0,'Données projet'!$E$11+1,1))-AVERAGE(OFFSET($H$3,0,0,'Données projet'!$E$11+1,1))</f>
        <v>496.33873798282525</v>
      </c>
      <c r="BJ127" s="62">
        <f t="shared" si="92"/>
        <v>280.25465074992246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1.7053025658242404E-13</v>
      </c>
      <c r="BZ127" s="14">
        <f>BY127*VLOOKUP('Données projet'!$B$12,Paramètres!$A$1:$I$89,3,0)*VLOOKUP('Données projet'!$B$12,Paramètres!$A$1:$I$89,5,0)</f>
        <v>1.4897523215040567E-13</v>
      </c>
      <c r="CA127" s="14">
        <f t="shared" si="93"/>
        <v>2.136562777003313E-12</v>
      </c>
      <c r="CB127" s="22">
        <f t="shared" si="64"/>
        <v>3.9806453659427267E-12</v>
      </c>
      <c r="CC127" s="62">
        <f t="shared" si="65"/>
        <v>282.86705178317732</v>
      </c>
      <c r="CD127" s="62">
        <f ca="1">AVERAGE(OFFSET($CC$3,0,0,'Données projet'!$E$12+1,1))-AVERAGE(OFFSET($H$3,0,0,'Données projet'!$E$12+1,1))</f>
        <v>298.28891728374822</v>
      </c>
      <c r="CE127" s="62">
        <f t="shared" si="94"/>
        <v>275.07405533331371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1.1368683772161603E-13</v>
      </c>
      <c r="CU127" s="18">
        <f>CT127*VLOOKUP('Données projet'!$B$13,Paramètres!$A$1:$I$89,3,0)*VLOOKUP('Données projet'!$B$13,Paramètres!$A$1:$I$89,5,0)</f>
        <v>6.7984728957526396E-14</v>
      </c>
      <c r="CV127" s="14">
        <f t="shared" si="95"/>
        <v>1.0682447123141398E-12</v>
      </c>
      <c r="CW127" s="22">
        <f t="shared" si="67"/>
        <v>1.978932943548152E-12</v>
      </c>
      <c r="CX127" s="62">
        <f t="shared" si="68"/>
        <v>282.86705178317533</v>
      </c>
      <c r="CY127" s="62">
        <f ca="1">AVERAGE(OFFSET($CX$3,0,0,'Données projet'!$E$13+1,1))-AVERAGE(OFFSET($H$3,0,0,'Données projet'!$E$13+1,1))</f>
        <v>320.46614113586043</v>
      </c>
      <c r="CZ127" s="62">
        <f t="shared" si="96"/>
        <v>250.7806929924491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0</v>
      </c>
      <c r="DG127" s="23">
        <f>EXP(-LN(2)/25)*DG126+(1-EXP(-LN(2)/25))/(LN(2)/25)*Calculateur!DB127*Calculateur!DD127*VLOOKUP('Données projet'!$B$13,Paramètres!$A$1:$I$89,3,0)*0.475*44/12</f>
        <v>0</v>
      </c>
      <c r="DH127" s="23">
        <f>EXP(-LN(2)/2)*DH126+(1-EXP(-LN(2)/2))/(LN(2)/2)*DB127*DE127*VLOOKUP('Données projet'!$B$13,Paramètres!$A$1:$I$89,3,0)*0.475*44/12</f>
        <v>6.7352692631257445E-14</v>
      </c>
      <c r="DI127" s="24">
        <f t="shared" si="69"/>
        <v>6.7352692631257445E-14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-1.1368683772161603E-13</v>
      </c>
      <c r="DP127" s="18">
        <f>DO127*VLOOKUP('Données projet'!$B$14,Paramètres!$A$1:$I$89,3,0)*VLOOKUP('Données projet'!$B$14,Paramètres!$A$1:$I$89,5,0)</f>
        <v>-5.3205440053716299E-14</v>
      </c>
      <c r="DQ127" s="14" t="e">
        <f t="shared" si="97"/>
        <v>#NUM!</v>
      </c>
      <c r="DR127" s="22" t="e">
        <f t="shared" si="70"/>
        <v>#NUM!</v>
      </c>
      <c r="DS127" s="62" t="e">
        <f t="shared" si="71"/>
        <v>#NUM!</v>
      </c>
      <c r="DT127" s="62">
        <f ca="1">AVERAGE(OFFSET($DS$3,0,0,'Données projet'!$E$14+1,1))-AVERAGE(OFFSET($H$3,0,0,'Données projet'!$E$14+1,1))</f>
        <v>429.87867712133851</v>
      </c>
      <c r="DU127" s="62">
        <f t="shared" si="98"/>
        <v>182.81277865988014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0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0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1.1368683772161603E-13</v>
      </c>
      <c r="EK127" s="18">
        <f>EJ127*VLOOKUP('Données projet'!$B$15,Paramètres!$A$1:$I$89,3,0)*VLOOKUP('Données projet'!$B$15,Paramètres!$A$1:$I$89,5,0)</f>
        <v>7.626113074366004E-14</v>
      </c>
      <c r="EL127" s="14">
        <f t="shared" si="99"/>
        <v>1.1823749172251317E-12</v>
      </c>
      <c r="EM127" s="22">
        <f t="shared" si="73"/>
        <v>2.1921244502123119E-12</v>
      </c>
      <c r="EN127" s="62">
        <f t="shared" si="74"/>
        <v>282.86705178317555</v>
      </c>
      <c r="EO127" s="62">
        <f ca="1">AVERAGE(OFFSET($EN$3,0,0,'Données projet'!$E$15+1,1))-AVERAGE(OFFSET($H$3,0,0,'Données projet'!$E$15+1,1))</f>
        <v>296.18088377871669</v>
      </c>
      <c r="EP127" s="62">
        <f t="shared" si="100"/>
        <v>252.23833925792056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0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0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1.1368683772161603E-13</v>
      </c>
      <c r="FF127" s="18">
        <f>FE127*VLOOKUP('Données projet'!$B$16,Paramètres!$A$1:$I$89,3,0)*VLOOKUP('Données projet'!$B$16,Paramètres!$A$1:$I$89,5,0)</f>
        <v>9.7543306765146564E-14</v>
      </c>
      <c r="FG127" s="14">
        <f t="shared" si="101"/>
        <v>1.4696264278629426E-12</v>
      </c>
      <c r="FH127" s="22">
        <f t="shared" si="76"/>
        <v>2.7294872878105889E-12</v>
      </c>
      <c r="FI127" s="62">
        <f t="shared" si="77"/>
        <v>282.86705178317607</v>
      </c>
      <c r="FJ127" s="62">
        <f ca="1">AVERAGE(OFFSET($FI$3,0,0,'Données projet'!$E$16+1,1))-AVERAGE(OFFSET($H$3,0,0,'Données projet'!$E$16+1,1))</f>
        <v>359.20464555327072</v>
      </c>
      <c r="FK127" s="62">
        <f t="shared" si="102"/>
        <v>305.54154052071863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0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0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3.2</v>
      </c>
      <c r="N128" s="14">
        <f>IF('Données projet'!$A$36&gt;35,N127+M128-V127,IF(A128&lt;'Données projet'!$A$36,$K$205^A128,IF(A128='Données projet'!$A$36,'Données projet'!$B$36,N127+M128-V127)))</f>
        <v>283.99999999999943</v>
      </c>
      <c r="O128" s="14">
        <f>N128*VLOOKUP('Données projet'!$B$9,Paramètres!$A$1:$I$89,3,0)*VLOOKUP('Données projet'!$B$9,Paramètres!$A$1:$I$89,5,0)</f>
        <v>287.97599999999943</v>
      </c>
      <c r="P128" s="14">
        <f t="shared" si="87"/>
        <v>68.649801713863027</v>
      </c>
      <c r="Q128" s="22">
        <f t="shared" si="107"/>
        <v>621.12327131831046</v>
      </c>
      <c r="R128" s="62">
        <f t="shared" si="55"/>
        <v>904.17188968727896</v>
      </c>
      <c r="S128" s="62">
        <f ca="1">AVERAGE(OFFSET($R$3,0,0,'Données projet'!$E$9+1,1))-AVERAGE(OFFSET($H$3,0,0,'Données projet'!$E$9+1,1))</f>
        <v>516.30971934066179</v>
      </c>
      <c r="T128" s="62">
        <f t="shared" si="88"/>
        <v>290.84286505723571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3.2</v>
      </c>
      <c r="AI128" s="14">
        <f>IF('Données projet'!$A$62&gt;35,AI127+AH128-AQ127,IF(A128&lt;'Données projet'!$A$62,$AF$205^A128,IF(A128='Données projet'!$A$62,'Données projet'!$B$62,AI127+AH128-AQ127)))</f>
        <v>283.99999999999943</v>
      </c>
      <c r="AJ128" s="14">
        <f>AI128*VLOOKUP('Données projet'!$B$10,Paramètres!$A$1:$I$89,3,0)*VLOOKUP('Données projet'!$B$10,Paramètres!$A$1:$I$89,5,0)</f>
        <v>305.69759999999934</v>
      </c>
      <c r="AK128" s="14">
        <f t="shared" si="89"/>
        <v>72.369588270212233</v>
      </c>
      <c r="AL128" s="22">
        <f t="shared" si="58"/>
        <v>658.46701957061839</v>
      </c>
      <c r="AM128" s="62">
        <f t="shared" si="59"/>
        <v>941.5156379395869</v>
      </c>
      <c r="AN128" s="62">
        <f ca="1">AVERAGE(OFFSET($AM$3,0,0,'Données projet'!$E$10+1,1))-AVERAGE(OFFSET($H$3,0,0,'Données projet'!$E$10+1,1))</f>
        <v>542.90832990875208</v>
      </c>
      <c r="AO128" s="62">
        <f t="shared" si="90"/>
        <v>304.94365539329362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3.2</v>
      </c>
      <c r="BD128" s="13">
        <f>IF('Données projet'!$A$88&gt;35,BD127+BC128-BL127,IF(A128&lt;'Données projet'!$A$88,$BA$205^A128,IF(A128='Données projet'!$A$88,'Données projet'!$B$88,BD127+BC128-BL127)))</f>
        <v>283.99999999999943</v>
      </c>
      <c r="BE128" s="14">
        <f>BD128*VLOOKUP('Données projet'!$B$11,Paramètres!$A$1:$I$89,3,0)*VLOOKUP('Données projet'!$B$11,Paramètres!$A$1:$I$89,5,0)</f>
        <v>274.68479999999943</v>
      </c>
      <c r="BF128" s="14">
        <f t="shared" si="91"/>
        <v>65.842504497456545</v>
      </c>
      <c r="BG128" s="22">
        <f t="shared" si="61"/>
        <v>593.08505533306914</v>
      </c>
      <c r="BH128" s="62">
        <f t="shared" si="62"/>
        <v>876.13367370203764</v>
      </c>
      <c r="BI128" s="62">
        <f ca="1">AVERAGE(OFFSET($BH$3,0,0,'Données projet'!$E$11+1,1))-AVERAGE(OFFSET($H$3,0,0,'Données projet'!$E$11+1,1))</f>
        <v>496.33873798282525</v>
      </c>
      <c r="BJ128" s="62">
        <f t="shared" si="92"/>
        <v>280.25465074992246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1.7053025658242404E-13</v>
      </c>
      <c r="BZ128" s="14">
        <f>BY128*VLOOKUP('Données projet'!$B$12,Paramètres!$A$1:$I$89,3,0)*VLOOKUP('Données projet'!$B$12,Paramètres!$A$1:$I$89,5,0)</f>
        <v>1.4897523215040567E-13</v>
      </c>
      <c r="CA128" s="14">
        <f t="shared" si="93"/>
        <v>2.136562777003313E-12</v>
      </c>
      <c r="CB128" s="22">
        <f t="shared" si="64"/>
        <v>3.9806453659427267E-12</v>
      </c>
      <c r="CC128" s="62">
        <f t="shared" si="65"/>
        <v>283.04861836897248</v>
      </c>
      <c r="CD128" s="62">
        <f ca="1">AVERAGE(OFFSET($CC$3,0,0,'Données projet'!$E$12+1,1))-AVERAGE(OFFSET($H$3,0,0,'Données projet'!$E$12+1,1))</f>
        <v>298.28891728374822</v>
      </c>
      <c r="CE128" s="62">
        <f t="shared" si="94"/>
        <v>275.07405533331371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1.1368683772161603E-13</v>
      </c>
      <c r="CU128" s="18">
        <f>CT128*VLOOKUP('Données projet'!$B$13,Paramètres!$A$1:$I$89,3,0)*VLOOKUP('Données projet'!$B$13,Paramètres!$A$1:$I$89,5,0)</f>
        <v>6.7984728957526396E-14</v>
      </c>
      <c r="CV128" s="14">
        <f t="shared" si="95"/>
        <v>1.0682447123141398E-12</v>
      </c>
      <c r="CW128" s="22">
        <f t="shared" si="67"/>
        <v>1.978932943548152E-12</v>
      </c>
      <c r="CX128" s="62">
        <f t="shared" si="68"/>
        <v>283.04861836897049</v>
      </c>
      <c r="CY128" s="62">
        <f ca="1">AVERAGE(OFFSET($CX$3,0,0,'Données projet'!$E$13+1,1))-AVERAGE(OFFSET($H$3,0,0,'Données projet'!$E$13+1,1))</f>
        <v>320.46614113586043</v>
      </c>
      <c r="CZ128" s="62">
        <f t="shared" si="96"/>
        <v>250.7806929924491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0</v>
      </c>
      <c r="DG128" s="23">
        <f>EXP(-LN(2)/25)*DG127+(1-EXP(-LN(2)/25))/(LN(2)/25)*Calculateur!DB128*Calculateur!DD128*VLOOKUP('Données projet'!$B$13,Paramètres!$A$1:$I$89,3,0)*0.475*44/12</f>
        <v>0</v>
      </c>
      <c r="DH128" s="23">
        <f>EXP(-LN(2)/2)*DH127+(1-EXP(-LN(2)/2))/(LN(2)/2)*DB128*DE128*VLOOKUP('Données projet'!$B$13,Paramètres!$A$1:$I$89,3,0)*0.475*44/12</f>
        <v>4.7625545690735351E-14</v>
      </c>
      <c r="DI128" s="24">
        <f t="shared" si="69"/>
        <v>4.7625545690735351E-14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-1.1368683772161603E-13</v>
      </c>
      <c r="DP128" s="18">
        <f>DO128*VLOOKUP('Données projet'!$B$14,Paramètres!$A$1:$I$89,3,0)*VLOOKUP('Données projet'!$B$14,Paramètres!$A$1:$I$89,5,0)</f>
        <v>-5.3205440053716299E-14</v>
      </c>
      <c r="DQ128" s="14" t="e">
        <f t="shared" si="97"/>
        <v>#NUM!</v>
      </c>
      <c r="DR128" s="22" t="e">
        <f t="shared" si="70"/>
        <v>#NUM!</v>
      </c>
      <c r="DS128" s="62" t="e">
        <f t="shared" si="71"/>
        <v>#NUM!</v>
      </c>
      <c r="DT128" s="62">
        <f ca="1">AVERAGE(OFFSET($DS$3,0,0,'Données projet'!$E$14+1,1))-AVERAGE(OFFSET($H$3,0,0,'Données projet'!$E$14+1,1))</f>
        <v>429.87867712133851</v>
      </c>
      <c r="DU128" s="62">
        <f t="shared" si="98"/>
        <v>182.81277865988014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0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0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1.1368683772161603E-13</v>
      </c>
      <c r="EK128" s="18">
        <f>EJ128*VLOOKUP('Données projet'!$B$15,Paramètres!$A$1:$I$89,3,0)*VLOOKUP('Données projet'!$B$15,Paramètres!$A$1:$I$89,5,0)</f>
        <v>7.626113074366004E-14</v>
      </c>
      <c r="EL128" s="14">
        <f t="shared" si="99"/>
        <v>1.1823749172251317E-12</v>
      </c>
      <c r="EM128" s="22">
        <f t="shared" si="73"/>
        <v>2.1921244502123119E-12</v>
      </c>
      <c r="EN128" s="62">
        <f t="shared" si="74"/>
        <v>283.04861836897072</v>
      </c>
      <c r="EO128" s="62">
        <f ca="1">AVERAGE(OFFSET($EN$3,0,0,'Données projet'!$E$15+1,1))-AVERAGE(OFFSET($H$3,0,0,'Données projet'!$E$15+1,1))</f>
        <v>296.18088377871669</v>
      </c>
      <c r="EP128" s="62">
        <f t="shared" si="100"/>
        <v>252.23833925792056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0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0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1.1368683772161603E-13</v>
      </c>
      <c r="FF128" s="18">
        <f>FE128*VLOOKUP('Données projet'!$B$16,Paramètres!$A$1:$I$89,3,0)*VLOOKUP('Données projet'!$B$16,Paramètres!$A$1:$I$89,5,0)</f>
        <v>9.7543306765146564E-14</v>
      </c>
      <c r="FG128" s="14">
        <f t="shared" si="101"/>
        <v>1.4696264278629426E-12</v>
      </c>
      <c r="FH128" s="22">
        <f t="shared" si="76"/>
        <v>2.7294872878105889E-12</v>
      </c>
      <c r="FI128" s="62">
        <f t="shared" si="77"/>
        <v>283.04861836897123</v>
      </c>
      <c r="FJ128" s="62">
        <f ca="1">AVERAGE(OFFSET($FI$3,0,0,'Données projet'!$E$16+1,1))-AVERAGE(OFFSET($H$3,0,0,'Données projet'!$E$16+1,1))</f>
        <v>359.20464555327072</v>
      </c>
      <c r="FK128" s="62">
        <f t="shared" si="102"/>
        <v>305.54154052071863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0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0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3.2</v>
      </c>
      <c r="N129" s="14">
        <f>IF('Données projet'!$A$36&gt;35,N128+M129-V128,IF(A129&lt;'Données projet'!$A$36,$K$205^A129,IF(A129='Données projet'!$A$36,'Données projet'!$B$36,N128+M129-V128)))</f>
        <v>287.19999999999942</v>
      </c>
      <c r="O129" s="14">
        <f>N129*VLOOKUP('Données projet'!$B$9,Paramètres!$A$1:$I$89,3,0)*VLOOKUP('Données projet'!$B$9,Paramètres!$A$1:$I$89,5,0)</f>
        <v>291.22079999999943</v>
      </c>
      <c r="P129" s="14">
        <f t="shared" si="87"/>
        <v>69.33283666585649</v>
      </c>
      <c r="Q129" s="22">
        <f t="shared" si="107"/>
        <v>627.96425052636573</v>
      </c>
      <c r="R129" s="62">
        <f t="shared" si="55"/>
        <v>911.19128570678799</v>
      </c>
      <c r="S129" s="62">
        <f ca="1">AVERAGE(OFFSET($R$3,0,0,'Données projet'!$E$9+1,1))-AVERAGE(OFFSET($H$3,0,0,'Données projet'!$E$9+1,1))</f>
        <v>516.30971934066179</v>
      </c>
      <c r="T129" s="62">
        <f t="shared" si="88"/>
        <v>290.84286505723571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3.2</v>
      </c>
      <c r="AI129" s="14">
        <f>IF('Données projet'!$A$62&gt;35,AI128+AH129-AQ128,IF(A129&lt;'Données projet'!$A$62,$AF$205^A129,IF(A129='Données projet'!$A$62,'Données projet'!$B$62,AI128+AH129-AQ128)))</f>
        <v>287.19999999999942</v>
      </c>
      <c r="AJ129" s="14">
        <f>AI129*VLOOKUP('Données projet'!$B$10,Paramètres!$A$1:$I$89,3,0)*VLOOKUP('Données projet'!$B$10,Paramètres!$A$1:$I$89,5,0)</f>
        <v>309.14207999999934</v>
      </c>
      <c r="AK129" s="14">
        <f t="shared" si="89"/>
        <v>73.089633441733085</v>
      </c>
      <c r="AL129" s="22">
        <f t="shared" si="58"/>
        <v>665.72023424435065</v>
      </c>
      <c r="AM129" s="62">
        <f t="shared" si="59"/>
        <v>948.94726942477291</v>
      </c>
      <c r="AN129" s="62">
        <f ca="1">AVERAGE(OFFSET($AM$3,0,0,'Données projet'!$E$10+1,1))-AVERAGE(OFFSET($H$3,0,0,'Données projet'!$E$10+1,1))</f>
        <v>542.90832990875208</v>
      </c>
      <c r="AO129" s="62">
        <f t="shared" si="90"/>
        <v>304.94365539329362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3.2</v>
      </c>
      <c r="BD129" s="13">
        <f>IF('Données projet'!$A$88&gt;35,BD128+BC129-BL128,IF(A129&lt;'Données projet'!$A$88,$BA$205^A129,IF(A129='Données projet'!$A$88,'Données projet'!$B$88,BD128+BC129-BL128)))</f>
        <v>287.19999999999942</v>
      </c>
      <c r="BE129" s="14">
        <f>BD129*VLOOKUP('Données projet'!$B$11,Paramètres!$A$1:$I$89,3,0)*VLOOKUP('Données projet'!$B$11,Paramètres!$A$1:$I$89,5,0)</f>
        <v>277.77983999999947</v>
      </c>
      <c r="BF129" s="14">
        <f t="shared" si="91"/>
        <v>66.497608092453063</v>
      </c>
      <c r="BG129" s="22">
        <f t="shared" si="61"/>
        <v>599.61655542768813</v>
      </c>
      <c r="BH129" s="62">
        <f t="shared" si="62"/>
        <v>882.84359060811039</v>
      </c>
      <c r="BI129" s="62">
        <f ca="1">AVERAGE(OFFSET($BH$3,0,0,'Données projet'!$E$11+1,1))-AVERAGE(OFFSET($H$3,0,0,'Données projet'!$E$11+1,1))</f>
        <v>496.33873798282525</v>
      </c>
      <c r="BJ129" s="62">
        <f t="shared" si="92"/>
        <v>280.25465074992246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1.7053025658242404E-13</v>
      </c>
      <c r="BZ129" s="14">
        <f>BY129*VLOOKUP('Données projet'!$B$12,Paramètres!$A$1:$I$89,3,0)*VLOOKUP('Données projet'!$B$12,Paramètres!$A$1:$I$89,5,0)</f>
        <v>1.4897523215040567E-13</v>
      </c>
      <c r="CA129" s="14">
        <f t="shared" si="93"/>
        <v>2.136562777003313E-12</v>
      </c>
      <c r="CB129" s="22">
        <f t="shared" si="64"/>
        <v>3.9806453659427267E-12</v>
      </c>
      <c r="CC129" s="62">
        <f t="shared" si="65"/>
        <v>283.22703518042618</v>
      </c>
      <c r="CD129" s="62">
        <f ca="1">AVERAGE(OFFSET($CC$3,0,0,'Données projet'!$E$12+1,1))-AVERAGE(OFFSET($H$3,0,0,'Données projet'!$E$12+1,1))</f>
        <v>298.28891728374822</v>
      </c>
      <c r="CE129" s="62">
        <f t="shared" si="94"/>
        <v>275.07405533331371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1.1368683772161603E-13</v>
      </c>
      <c r="CU129" s="18">
        <f>CT129*VLOOKUP('Données projet'!$B$13,Paramètres!$A$1:$I$89,3,0)*VLOOKUP('Données projet'!$B$13,Paramètres!$A$1:$I$89,5,0)</f>
        <v>6.7984728957526396E-14</v>
      </c>
      <c r="CV129" s="14">
        <f t="shared" si="95"/>
        <v>1.0682447123141398E-12</v>
      </c>
      <c r="CW129" s="22">
        <f t="shared" si="67"/>
        <v>1.978932943548152E-12</v>
      </c>
      <c r="CX129" s="62">
        <f t="shared" si="68"/>
        <v>283.2270351804242</v>
      </c>
      <c r="CY129" s="62">
        <f ca="1">AVERAGE(OFFSET($CX$3,0,0,'Données projet'!$E$13+1,1))-AVERAGE(OFFSET($H$3,0,0,'Données projet'!$E$13+1,1))</f>
        <v>320.46614113586043</v>
      </c>
      <c r="CZ129" s="62">
        <f t="shared" si="96"/>
        <v>250.7806929924491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0</v>
      </c>
      <c r="DG129" s="23">
        <f>EXP(-LN(2)/25)*DG128+(1-EXP(-LN(2)/25))/(LN(2)/25)*Calculateur!DB129*Calculateur!DD129*VLOOKUP('Données projet'!$B$13,Paramètres!$A$1:$I$89,3,0)*0.475*44/12</f>
        <v>0</v>
      </c>
      <c r="DH129" s="23">
        <f>EXP(-LN(2)/2)*DH128+(1-EXP(-LN(2)/2))/(LN(2)/2)*DB129*DE129*VLOOKUP('Données projet'!$B$13,Paramètres!$A$1:$I$89,3,0)*0.475*44/12</f>
        <v>3.3676346315628723E-14</v>
      </c>
      <c r="DI129" s="24">
        <f t="shared" si="69"/>
        <v>3.3676346315628723E-14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-1.1368683772161603E-13</v>
      </c>
      <c r="DP129" s="18">
        <f>DO129*VLOOKUP('Données projet'!$B$14,Paramètres!$A$1:$I$89,3,0)*VLOOKUP('Données projet'!$B$14,Paramètres!$A$1:$I$89,5,0)</f>
        <v>-5.3205440053716299E-14</v>
      </c>
      <c r="DQ129" s="14" t="e">
        <f t="shared" si="97"/>
        <v>#NUM!</v>
      </c>
      <c r="DR129" s="22" t="e">
        <f t="shared" si="70"/>
        <v>#NUM!</v>
      </c>
      <c r="DS129" s="62" t="e">
        <f t="shared" si="71"/>
        <v>#NUM!</v>
      </c>
      <c r="DT129" s="62">
        <f ca="1">AVERAGE(OFFSET($DS$3,0,0,'Données projet'!$E$14+1,1))-AVERAGE(OFFSET($H$3,0,0,'Données projet'!$E$14+1,1))</f>
        <v>429.87867712133851</v>
      </c>
      <c r="DU129" s="62">
        <f t="shared" si="98"/>
        <v>182.81277865988014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0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0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1.1368683772161603E-13</v>
      </c>
      <c r="EK129" s="18">
        <f>EJ129*VLOOKUP('Données projet'!$B$15,Paramètres!$A$1:$I$89,3,0)*VLOOKUP('Données projet'!$B$15,Paramètres!$A$1:$I$89,5,0)</f>
        <v>7.626113074366004E-14</v>
      </c>
      <c r="EL129" s="14">
        <f t="shared" si="99"/>
        <v>1.1823749172251317E-12</v>
      </c>
      <c r="EM129" s="22">
        <f t="shared" si="73"/>
        <v>2.1921244502123119E-12</v>
      </c>
      <c r="EN129" s="62">
        <f t="shared" si="74"/>
        <v>283.22703518042442</v>
      </c>
      <c r="EO129" s="62">
        <f ca="1">AVERAGE(OFFSET($EN$3,0,0,'Données projet'!$E$15+1,1))-AVERAGE(OFFSET($H$3,0,0,'Données projet'!$E$15+1,1))</f>
        <v>296.18088377871669</v>
      </c>
      <c r="EP129" s="62">
        <f t="shared" si="100"/>
        <v>252.23833925792056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0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0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1.1368683772161603E-13</v>
      </c>
      <c r="FF129" s="18">
        <f>FE129*VLOOKUP('Données projet'!$B$16,Paramètres!$A$1:$I$89,3,0)*VLOOKUP('Données projet'!$B$16,Paramètres!$A$1:$I$89,5,0)</f>
        <v>9.7543306765146564E-14</v>
      </c>
      <c r="FG129" s="14">
        <f t="shared" si="101"/>
        <v>1.4696264278629426E-12</v>
      </c>
      <c r="FH129" s="22">
        <f t="shared" si="76"/>
        <v>2.7294872878105889E-12</v>
      </c>
      <c r="FI129" s="62">
        <f t="shared" si="77"/>
        <v>283.22703518042493</v>
      </c>
      <c r="FJ129" s="62">
        <f ca="1">AVERAGE(OFFSET($FI$3,0,0,'Données projet'!$E$16+1,1))-AVERAGE(OFFSET($H$3,0,0,'Données projet'!$E$16+1,1))</f>
        <v>359.20464555327072</v>
      </c>
      <c r="FK129" s="62">
        <f t="shared" si="102"/>
        <v>305.54154052071863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0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0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3.2</v>
      </c>
      <c r="N130" s="14">
        <f>IF('Données projet'!$A$36&gt;35,N129+M130-V129,IF(A130&lt;'Données projet'!$A$36,$K$205^A130,IF(A130='Données projet'!$A$36,'Données projet'!$B$36,N129+M130-V129)))</f>
        <v>290.39999999999941</v>
      </c>
      <c r="O130" s="14">
        <f>N130*VLOOKUP('Données projet'!$B$9,Paramètres!$A$1:$I$89,3,0)*VLOOKUP('Données projet'!$B$9,Paramètres!$A$1:$I$89,5,0)</f>
        <v>294.46559999999943</v>
      </c>
      <c r="P130" s="14">
        <f t="shared" si="87"/>
        <v>70.0149863201041</v>
      </c>
      <c r="Q130" s="22">
        <f t="shared" si="107"/>
        <v>634.80368784084692</v>
      </c>
      <c r="R130" s="62">
        <f t="shared" si="55"/>
        <v>918.2060446999244</v>
      </c>
      <c r="S130" s="62">
        <f ca="1">AVERAGE(OFFSET($R$3,0,0,'Données projet'!$E$9+1,1))-AVERAGE(OFFSET($H$3,0,0,'Données projet'!$E$9+1,1))</f>
        <v>516.30971934066179</v>
      </c>
      <c r="T130" s="62">
        <f t="shared" si="88"/>
        <v>290.84286505723571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3.2</v>
      </c>
      <c r="AI130" s="14">
        <f>IF('Données projet'!$A$62&gt;35,AI129+AH130-AQ129,IF(A130&lt;'Données projet'!$A$62,$AF$205^A130,IF(A130='Données projet'!$A$62,'Données projet'!$B$62,AI129+AH130-AQ129)))</f>
        <v>290.39999999999941</v>
      </c>
      <c r="AJ130" s="14">
        <f>AI130*VLOOKUP('Données projet'!$B$10,Paramètres!$A$1:$I$89,3,0)*VLOOKUP('Données projet'!$B$10,Paramètres!$A$1:$I$89,5,0)</f>
        <v>312.58655999999934</v>
      </c>
      <c r="AK130" s="14">
        <f t="shared" si="89"/>
        <v>73.808745345687839</v>
      </c>
      <c r="AL130" s="22">
        <f t="shared" si="58"/>
        <v>672.97182347707178</v>
      </c>
      <c r="AM130" s="62">
        <f t="shared" si="59"/>
        <v>956.37418033614927</v>
      </c>
      <c r="AN130" s="62">
        <f ca="1">AVERAGE(OFFSET($AM$3,0,0,'Données projet'!$E$10+1,1))-AVERAGE(OFFSET($H$3,0,0,'Données projet'!$E$10+1,1))</f>
        <v>542.90832990875208</v>
      </c>
      <c r="AO130" s="62">
        <f t="shared" si="90"/>
        <v>304.94365539329362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3.2</v>
      </c>
      <c r="BD130" s="13">
        <f>IF('Données projet'!$A$88&gt;35,BD129+BC130-BL129,IF(A130&lt;'Données projet'!$A$88,$BA$205^A130,IF(A130='Données projet'!$A$88,'Données projet'!$B$88,BD129+BC130-BL129)))</f>
        <v>290.39999999999941</v>
      </c>
      <c r="BE130" s="14">
        <f>BD130*VLOOKUP('Données projet'!$B$11,Paramètres!$A$1:$I$89,3,0)*VLOOKUP('Données projet'!$B$11,Paramètres!$A$1:$I$89,5,0)</f>
        <v>280.87487999999945</v>
      </c>
      <c r="BF130" s="14">
        <f t="shared" si="91"/>
        <v>67.151862592195727</v>
      </c>
      <c r="BG130" s="22">
        <f t="shared" si="61"/>
        <v>606.1465766814066</v>
      </c>
      <c r="BH130" s="62">
        <f t="shared" si="62"/>
        <v>889.54893354048409</v>
      </c>
      <c r="BI130" s="62">
        <f ca="1">AVERAGE(OFFSET($BH$3,0,0,'Données projet'!$E$11+1,1))-AVERAGE(OFFSET($H$3,0,0,'Données projet'!$E$11+1,1))</f>
        <v>496.33873798282525</v>
      </c>
      <c r="BJ130" s="62">
        <f t="shared" si="92"/>
        <v>280.25465074992246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1.7053025658242404E-13</v>
      </c>
      <c r="BZ130" s="14">
        <f>BY130*VLOOKUP('Données projet'!$B$12,Paramètres!$A$1:$I$89,3,0)*VLOOKUP('Données projet'!$B$12,Paramètres!$A$1:$I$89,5,0)</f>
        <v>1.4897523215040567E-13</v>
      </c>
      <c r="CA130" s="14">
        <f t="shared" si="93"/>
        <v>2.136562777003313E-12</v>
      </c>
      <c r="CB130" s="22">
        <f t="shared" si="64"/>
        <v>3.9806453659427267E-12</v>
      </c>
      <c r="CC130" s="62">
        <f t="shared" si="65"/>
        <v>283.40235685908141</v>
      </c>
      <c r="CD130" s="62">
        <f ca="1">AVERAGE(OFFSET($CC$3,0,0,'Données projet'!$E$12+1,1))-AVERAGE(OFFSET($H$3,0,0,'Données projet'!$E$12+1,1))</f>
        <v>298.28891728374822</v>
      </c>
      <c r="CE130" s="62">
        <f t="shared" si="94"/>
        <v>275.07405533331371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1.1368683772161603E-13</v>
      </c>
      <c r="CU130" s="18">
        <f>CT130*VLOOKUP('Données projet'!$B$13,Paramètres!$A$1:$I$89,3,0)*VLOOKUP('Données projet'!$B$13,Paramètres!$A$1:$I$89,5,0)</f>
        <v>6.7984728957526396E-14</v>
      </c>
      <c r="CV130" s="14">
        <f t="shared" si="95"/>
        <v>1.0682447123141398E-12</v>
      </c>
      <c r="CW130" s="22">
        <f t="shared" si="67"/>
        <v>1.978932943548152E-12</v>
      </c>
      <c r="CX130" s="62">
        <f t="shared" si="68"/>
        <v>283.40235685907942</v>
      </c>
      <c r="CY130" s="62">
        <f ca="1">AVERAGE(OFFSET($CX$3,0,0,'Données projet'!$E$13+1,1))-AVERAGE(OFFSET($H$3,0,0,'Données projet'!$E$13+1,1))</f>
        <v>320.46614113586043</v>
      </c>
      <c r="CZ130" s="62">
        <f t="shared" si="96"/>
        <v>250.7806929924491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0</v>
      </c>
      <c r="DG130" s="23">
        <f>EXP(-LN(2)/25)*DG129+(1-EXP(-LN(2)/25))/(LN(2)/25)*Calculateur!DB130*Calculateur!DD130*VLOOKUP('Données projet'!$B$13,Paramètres!$A$1:$I$89,3,0)*0.475*44/12</f>
        <v>0</v>
      </c>
      <c r="DH130" s="23">
        <f>EXP(-LN(2)/2)*DH129+(1-EXP(-LN(2)/2))/(LN(2)/2)*DB130*DE130*VLOOKUP('Données projet'!$B$13,Paramètres!$A$1:$I$89,3,0)*0.475*44/12</f>
        <v>2.3812772845367676E-14</v>
      </c>
      <c r="DI130" s="24">
        <f t="shared" si="69"/>
        <v>2.3812772845367676E-14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-1.1368683772161603E-13</v>
      </c>
      <c r="DP130" s="18">
        <f>DO130*VLOOKUP('Données projet'!$B$14,Paramètres!$A$1:$I$89,3,0)*VLOOKUP('Données projet'!$B$14,Paramètres!$A$1:$I$89,5,0)</f>
        <v>-5.3205440053716299E-14</v>
      </c>
      <c r="DQ130" s="14" t="e">
        <f t="shared" si="97"/>
        <v>#NUM!</v>
      </c>
      <c r="DR130" s="22" t="e">
        <f t="shared" si="70"/>
        <v>#NUM!</v>
      </c>
      <c r="DS130" s="62" t="e">
        <f t="shared" si="71"/>
        <v>#NUM!</v>
      </c>
      <c r="DT130" s="62">
        <f ca="1">AVERAGE(OFFSET($DS$3,0,0,'Données projet'!$E$14+1,1))-AVERAGE(OFFSET($H$3,0,0,'Données projet'!$E$14+1,1))</f>
        <v>429.87867712133851</v>
      </c>
      <c r="DU130" s="62">
        <f t="shared" si="98"/>
        <v>182.81277865988014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0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0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1.1368683772161603E-13</v>
      </c>
      <c r="EK130" s="18">
        <f>EJ130*VLOOKUP('Données projet'!$B$15,Paramètres!$A$1:$I$89,3,0)*VLOOKUP('Données projet'!$B$15,Paramètres!$A$1:$I$89,5,0)</f>
        <v>7.626113074366004E-14</v>
      </c>
      <c r="EL130" s="14">
        <f t="shared" si="99"/>
        <v>1.1823749172251317E-12</v>
      </c>
      <c r="EM130" s="22">
        <f t="shared" si="73"/>
        <v>2.1921244502123119E-12</v>
      </c>
      <c r="EN130" s="62">
        <f t="shared" si="74"/>
        <v>283.40235685907965</v>
      </c>
      <c r="EO130" s="62">
        <f ca="1">AVERAGE(OFFSET($EN$3,0,0,'Données projet'!$E$15+1,1))-AVERAGE(OFFSET($H$3,0,0,'Données projet'!$E$15+1,1))</f>
        <v>296.18088377871669</v>
      </c>
      <c r="EP130" s="62">
        <f t="shared" si="100"/>
        <v>252.23833925792056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0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0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1.1368683772161603E-13</v>
      </c>
      <c r="FF130" s="18">
        <f>FE130*VLOOKUP('Données projet'!$B$16,Paramètres!$A$1:$I$89,3,0)*VLOOKUP('Données projet'!$B$16,Paramètres!$A$1:$I$89,5,0)</f>
        <v>9.7543306765146564E-14</v>
      </c>
      <c r="FG130" s="14">
        <f t="shared" si="101"/>
        <v>1.4696264278629426E-12</v>
      </c>
      <c r="FH130" s="22">
        <f t="shared" si="76"/>
        <v>2.7294872878105889E-12</v>
      </c>
      <c r="FI130" s="62">
        <f t="shared" si="77"/>
        <v>283.40235685908016</v>
      </c>
      <c r="FJ130" s="62">
        <f ca="1">AVERAGE(OFFSET($FI$3,0,0,'Données projet'!$E$16+1,1))-AVERAGE(OFFSET($H$3,0,0,'Données projet'!$E$16+1,1))</f>
        <v>359.20464555327072</v>
      </c>
      <c r="FK130" s="62">
        <f t="shared" si="102"/>
        <v>305.54154052071863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0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0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3.2</v>
      </c>
      <c r="N131" s="14">
        <f>IF('Données projet'!$A$36&gt;35,N130+M131-V130,IF(A131&lt;'Données projet'!$A$36,$K$205^A131,IF(A131='Données projet'!$A$36,'Données projet'!$B$36,N130+M131-V130)))</f>
        <v>293.5999999999994</v>
      </c>
      <c r="O131" s="14">
        <f>N131*VLOOKUP('Données projet'!$B$9,Paramètres!$A$1:$I$89,3,0)*VLOOKUP('Données projet'!$B$9,Paramètres!$A$1:$I$89,5,0)</f>
        <v>297.71039999999937</v>
      </c>
      <c r="P131" s="14">
        <f t="shared" si="87"/>
        <v>70.696261560936534</v>
      </c>
      <c r="Q131" s="22">
        <f t="shared" ref="Q131:Q153" si="108">(O131+P131)*0.475*44/12</f>
        <v>641.64160221862994</v>
      </c>
      <c r="R131" s="62">
        <f t="shared" ref="R131:R194" si="109">Q131+(I131+J131)*44/12</f>
        <v>925.21623931719841</v>
      </c>
      <c r="S131" s="62">
        <f ca="1">AVERAGE(OFFSET($R$3,0,0,'Données projet'!$E$9+1,1))-AVERAGE(OFFSET($H$3,0,0,'Données projet'!$E$9+1,1))</f>
        <v>516.30971934066179</v>
      </c>
      <c r="T131" s="62">
        <f t="shared" si="88"/>
        <v>290.84286505723571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3.2</v>
      </c>
      <c r="AI131" s="14">
        <f>IF('Données projet'!$A$62&gt;35,AI130+AH131-AQ130,IF(A131&lt;'Données projet'!$A$62,$AF$205^A131,IF(A131='Données projet'!$A$62,'Données projet'!$B$62,AI130+AH131-AQ130)))</f>
        <v>293.5999999999994</v>
      </c>
      <c r="AJ131" s="14">
        <f>AI131*VLOOKUP('Données projet'!$B$10,Paramètres!$A$1:$I$89,3,0)*VLOOKUP('Données projet'!$B$10,Paramètres!$A$1:$I$89,5,0)</f>
        <v>316.03103999999934</v>
      </c>
      <c r="AK131" s="14">
        <f t="shared" si="89"/>
        <v>74.526935456174002</v>
      </c>
      <c r="AL131" s="22">
        <f t="shared" si="58"/>
        <v>680.22180725283522</v>
      </c>
      <c r="AM131" s="62">
        <f t="shared" si="59"/>
        <v>963.79644435140381</v>
      </c>
      <c r="AN131" s="62">
        <f ca="1">AVERAGE(OFFSET($AM$3,0,0,'Données projet'!$E$10+1,1))-AVERAGE(OFFSET($H$3,0,0,'Données projet'!$E$10+1,1))</f>
        <v>542.90832990875208</v>
      </c>
      <c r="AO131" s="62">
        <f t="shared" si="90"/>
        <v>304.94365539329362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3.2</v>
      </c>
      <c r="BD131" s="13">
        <f>IF('Données projet'!$A$88&gt;35,BD130+BC131-BL130,IF(A131&lt;'Données projet'!$A$88,$BA$205^A131,IF(A131='Données projet'!$A$88,'Données projet'!$B$88,BD130+BC131-BL130)))</f>
        <v>293.5999999999994</v>
      </c>
      <c r="BE131" s="14">
        <f>BD131*VLOOKUP('Données projet'!$B$11,Paramètres!$A$1:$I$89,3,0)*VLOOKUP('Données projet'!$B$11,Paramètres!$A$1:$I$89,5,0)</f>
        <v>283.96991999999943</v>
      </c>
      <c r="BF131" s="14">
        <f t="shared" si="91"/>
        <v>67.805278435922148</v>
      </c>
      <c r="BG131" s="22">
        <f t="shared" si="61"/>
        <v>612.67513727589676</v>
      </c>
      <c r="BH131" s="62">
        <f t="shared" si="62"/>
        <v>896.24977437446523</v>
      </c>
      <c r="BI131" s="62">
        <f ca="1">AVERAGE(OFFSET($BH$3,0,0,'Données projet'!$E$11+1,1))-AVERAGE(OFFSET($H$3,0,0,'Données projet'!$E$11+1,1))</f>
        <v>496.33873798282525</v>
      </c>
      <c r="BJ131" s="62">
        <f t="shared" si="92"/>
        <v>280.25465074992246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1.7053025658242404E-13</v>
      </c>
      <c r="BZ131" s="14">
        <f>BY131*VLOOKUP('Données projet'!$B$12,Paramètres!$A$1:$I$89,3,0)*VLOOKUP('Données projet'!$B$12,Paramètres!$A$1:$I$89,5,0)</f>
        <v>1.4897523215040567E-13</v>
      </c>
      <c r="CA131" s="14">
        <f t="shared" si="93"/>
        <v>2.136562777003313E-12</v>
      </c>
      <c r="CB131" s="22">
        <f t="shared" si="64"/>
        <v>3.9806453659427267E-12</v>
      </c>
      <c r="CC131" s="62">
        <f t="shared" si="65"/>
        <v>283.57463709857251</v>
      </c>
      <c r="CD131" s="62">
        <f ca="1">AVERAGE(OFFSET($CC$3,0,0,'Données projet'!$E$12+1,1))-AVERAGE(OFFSET($H$3,0,0,'Données projet'!$E$12+1,1))</f>
        <v>298.28891728374822</v>
      </c>
      <c r="CE131" s="62">
        <f t="shared" si="94"/>
        <v>275.07405533331371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1.1368683772161603E-13</v>
      </c>
      <c r="CU131" s="18">
        <f>CT131*VLOOKUP('Données projet'!$B$13,Paramètres!$A$1:$I$89,3,0)*VLOOKUP('Données projet'!$B$13,Paramètres!$A$1:$I$89,5,0)</f>
        <v>6.7984728957526396E-14</v>
      </c>
      <c r="CV131" s="14">
        <f t="shared" si="95"/>
        <v>1.0682447123141398E-12</v>
      </c>
      <c r="CW131" s="22">
        <f t="shared" si="67"/>
        <v>1.978932943548152E-12</v>
      </c>
      <c r="CX131" s="62">
        <f t="shared" si="68"/>
        <v>283.57463709857052</v>
      </c>
      <c r="CY131" s="62">
        <f ca="1">AVERAGE(OFFSET($CX$3,0,0,'Données projet'!$E$13+1,1))-AVERAGE(OFFSET($H$3,0,0,'Données projet'!$E$13+1,1))</f>
        <v>320.46614113586043</v>
      </c>
      <c r="CZ131" s="62">
        <f t="shared" si="96"/>
        <v>250.7806929924491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0</v>
      </c>
      <c r="DG131" s="23">
        <f>EXP(-LN(2)/25)*DG130+(1-EXP(-LN(2)/25))/(LN(2)/25)*Calculateur!DB131*Calculateur!DD131*VLOOKUP('Données projet'!$B$13,Paramètres!$A$1:$I$89,3,0)*0.475*44/12</f>
        <v>0</v>
      </c>
      <c r="DH131" s="23">
        <f>EXP(-LN(2)/2)*DH130+(1-EXP(-LN(2)/2))/(LN(2)/2)*DB131*DE131*VLOOKUP('Données projet'!$B$13,Paramètres!$A$1:$I$89,3,0)*0.475*44/12</f>
        <v>1.6838173157814361E-14</v>
      </c>
      <c r="DI131" s="24">
        <f t="shared" si="69"/>
        <v>1.6838173157814361E-14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-1.1368683772161603E-13</v>
      </c>
      <c r="DP131" s="18">
        <f>DO131*VLOOKUP('Données projet'!$B$14,Paramètres!$A$1:$I$89,3,0)*VLOOKUP('Données projet'!$B$14,Paramètres!$A$1:$I$89,5,0)</f>
        <v>-5.3205440053716299E-14</v>
      </c>
      <c r="DQ131" s="14" t="e">
        <f t="shared" si="97"/>
        <v>#NUM!</v>
      </c>
      <c r="DR131" s="22" t="e">
        <f t="shared" si="70"/>
        <v>#NUM!</v>
      </c>
      <c r="DS131" s="62" t="e">
        <f t="shared" si="71"/>
        <v>#NUM!</v>
      </c>
      <c r="DT131" s="62">
        <f ca="1">AVERAGE(OFFSET($DS$3,0,0,'Données projet'!$E$14+1,1))-AVERAGE(OFFSET($H$3,0,0,'Données projet'!$E$14+1,1))</f>
        <v>429.87867712133851</v>
      </c>
      <c r="DU131" s="62">
        <f t="shared" si="98"/>
        <v>182.81277865988014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0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0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1.1368683772161603E-13</v>
      </c>
      <c r="EK131" s="18">
        <f>EJ131*VLOOKUP('Données projet'!$B$15,Paramètres!$A$1:$I$89,3,0)*VLOOKUP('Données projet'!$B$15,Paramètres!$A$1:$I$89,5,0)</f>
        <v>7.626113074366004E-14</v>
      </c>
      <c r="EL131" s="14">
        <f t="shared" si="99"/>
        <v>1.1823749172251317E-12</v>
      </c>
      <c r="EM131" s="22">
        <f t="shared" si="73"/>
        <v>2.1921244502123119E-12</v>
      </c>
      <c r="EN131" s="62">
        <f t="shared" si="74"/>
        <v>283.57463709857075</v>
      </c>
      <c r="EO131" s="62">
        <f ca="1">AVERAGE(OFFSET($EN$3,0,0,'Données projet'!$E$15+1,1))-AVERAGE(OFFSET($H$3,0,0,'Données projet'!$E$15+1,1))</f>
        <v>296.18088377871669</v>
      </c>
      <c r="EP131" s="62">
        <f t="shared" si="100"/>
        <v>252.23833925792056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0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0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1.1368683772161603E-13</v>
      </c>
      <c r="FF131" s="18">
        <f>FE131*VLOOKUP('Données projet'!$B$16,Paramètres!$A$1:$I$89,3,0)*VLOOKUP('Données projet'!$B$16,Paramètres!$A$1:$I$89,5,0)</f>
        <v>9.7543306765146564E-14</v>
      </c>
      <c r="FG131" s="14">
        <f t="shared" si="101"/>
        <v>1.4696264278629426E-12</v>
      </c>
      <c r="FH131" s="22">
        <f t="shared" si="76"/>
        <v>2.7294872878105889E-12</v>
      </c>
      <c r="FI131" s="62">
        <f t="shared" si="77"/>
        <v>283.57463709857126</v>
      </c>
      <c r="FJ131" s="62">
        <f ca="1">AVERAGE(OFFSET($FI$3,0,0,'Données projet'!$E$16+1,1))-AVERAGE(OFFSET($H$3,0,0,'Données projet'!$E$16+1,1))</f>
        <v>359.20464555327072</v>
      </c>
      <c r="FK131" s="62">
        <f t="shared" si="102"/>
        <v>305.54154052071863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0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0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3.2</v>
      </c>
      <c r="N132" s="14">
        <f>IF('Données projet'!$A$36&gt;35,N131+M132-V131,IF(A132&lt;'Données projet'!$A$36,$K$205^A132,IF(A132='Données projet'!$A$36,'Données projet'!$B$36,N131+M132-V131)))</f>
        <v>296.79999999999939</v>
      </c>
      <c r="O132" s="14">
        <f>N132*VLOOKUP('Données projet'!$B$9,Paramètres!$A$1:$I$89,3,0)*VLOOKUP('Données projet'!$B$9,Paramètres!$A$1:$I$89,5,0)</f>
        <v>300.95519999999942</v>
      </c>
      <c r="P132" s="14">
        <f t="shared" si="87"/>
        <v>71.376673021759657</v>
      </c>
      <c r="Q132" s="22">
        <f t="shared" si="108"/>
        <v>648.47801217956373</v>
      </c>
      <c r="R132" s="62">
        <f t="shared" si="109"/>
        <v>932.22194084062903</v>
      </c>
      <c r="S132" s="62">
        <f ca="1">AVERAGE(OFFSET($R$3,0,0,'Données projet'!$E$9+1,1))-AVERAGE(OFFSET($H$3,0,0,'Données projet'!$E$9+1,1))</f>
        <v>516.30971934066179</v>
      </c>
      <c r="T132" s="62">
        <f t="shared" si="88"/>
        <v>290.84286505723571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3.2</v>
      </c>
      <c r="AI132" s="14">
        <f>IF('Données projet'!$A$62&gt;35,AI131+AH132-AQ131,IF(A132&lt;'Données projet'!$A$62,$AF$205^A132,IF(A132='Données projet'!$A$62,'Données projet'!$B$62,AI131+AH132-AQ131)))</f>
        <v>296.79999999999939</v>
      </c>
      <c r="AJ132" s="14">
        <f>AI132*VLOOKUP('Données projet'!$B$10,Paramètres!$A$1:$I$89,3,0)*VLOOKUP('Données projet'!$B$10,Paramètres!$A$1:$I$89,5,0)</f>
        <v>319.47551999999928</v>
      </c>
      <c r="AK132" s="14">
        <f t="shared" si="89"/>
        <v>75.244214982768113</v>
      </c>
      <c r="AL132" s="22">
        <f t="shared" ref="AL132:AL153" si="112">(AJ132+AK132)*0.475*44/12</f>
        <v>687.47020509498645</v>
      </c>
      <c r="AM132" s="62">
        <f t="shared" ref="AM132:AM195" si="113">AL132+(AD132+AE132)*44/12</f>
        <v>971.21413375605175</v>
      </c>
      <c r="AN132" s="62">
        <f ca="1">AVERAGE(OFFSET($AM$3,0,0,'Données projet'!$E$10+1,1))-AVERAGE(OFFSET($H$3,0,0,'Données projet'!$E$10+1,1))</f>
        <v>542.90832990875208</v>
      </c>
      <c r="AO132" s="62">
        <f t="shared" si="90"/>
        <v>304.94365539329362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3.2</v>
      </c>
      <c r="BD132" s="13">
        <f>IF('Données projet'!$A$88&gt;35,BD131+BC132-BL131,IF(A132&lt;'Données projet'!$A$88,$BA$205^A132,IF(A132='Données projet'!$A$88,'Données projet'!$B$88,BD131+BC132-BL131)))</f>
        <v>296.79999999999939</v>
      </c>
      <c r="BE132" s="14">
        <f>BD132*VLOOKUP('Données projet'!$B$11,Paramètres!$A$1:$I$89,3,0)*VLOOKUP('Données projet'!$B$11,Paramètres!$A$1:$I$89,5,0)</f>
        <v>287.06495999999942</v>
      </c>
      <c r="BF132" s="14">
        <f t="shared" si="91"/>
        <v>68.457865822206202</v>
      </c>
      <c r="BG132" s="22">
        <f t="shared" ref="BG132:BG153" si="115">(BE132+BF132)*0.475*44/12</f>
        <v>619.20225497367471</v>
      </c>
      <c r="BH132" s="62">
        <f t="shared" ref="BH132:BH195" si="116">BG132+(AY132+AZ132)*44/12</f>
        <v>902.94618363474001</v>
      </c>
      <c r="BI132" s="62">
        <f ca="1">AVERAGE(OFFSET($BH$3,0,0,'Données projet'!$E$11+1,1))-AVERAGE(OFFSET($H$3,0,0,'Données projet'!$E$11+1,1))</f>
        <v>496.33873798282525</v>
      </c>
      <c r="BJ132" s="62">
        <f t="shared" si="92"/>
        <v>280.25465074992246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1.7053025658242404E-13</v>
      </c>
      <c r="BZ132" s="14">
        <f>BY132*VLOOKUP('Données projet'!$B$12,Paramètres!$A$1:$I$89,3,0)*VLOOKUP('Données projet'!$B$12,Paramètres!$A$1:$I$89,5,0)</f>
        <v>1.4897523215040567E-13</v>
      </c>
      <c r="CA132" s="14">
        <f t="shared" si="93"/>
        <v>2.136562777003313E-12</v>
      </c>
      <c r="CB132" s="22">
        <f t="shared" ref="CB132:CB153" si="118">(BZ132+CA132)*0.475*44/12</f>
        <v>3.9806453659427267E-12</v>
      </c>
      <c r="CC132" s="62">
        <f t="shared" ref="CC132:CC195" si="119">CB132+(BT132+BU132)*44/12</f>
        <v>283.74392866106933</v>
      </c>
      <c r="CD132" s="62">
        <f ca="1">AVERAGE(OFFSET($CC$3,0,0,'Données projet'!$E$12+1,1))-AVERAGE(OFFSET($H$3,0,0,'Données projet'!$E$12+1,1))</f>
        <v>298.28891728374822</v>
      </c>
      <c r="CE132" s="62">
        <f t="shared" si="94"/>
        <v>275.07405533331371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1.1368683772161603E-13</v>
      </c>
      <c r="CU132" s="18">
        <f>CT132*VLOOKUP('Données projet'!$B$13,Paramètres!$A$1:$I$89,3,0)*VLOOKUP('Données projet'!$B$13,Paramètres!$A$1:$I$89,5,0)</f>
        <v>6.7984728957526396E-14</v>
      </c>
      <c r="CV132" s="14">
        <f t="shared" si="95"/>
        <v>1.0682447123141398E-12</v>
      </c>
      <c r="CW132" s="22">
        <f t="shared" ref="CW132:CW153" si="121">(CU132+CV132)*0.475*44/12</f>
        <v>1.978932943548152E-12</v>
      </c>
      <c r="CX132" s="62">
        <f t="shared" ref="CX132:CX195" si="122">CW132+(CO132+CP132)*44/12</f>
        <v>283.74392866106734</v>
      </c>
      <c r="CY132" s="62">
        <f ca="1">AVERAGE(OFFSET($CX$3,0,0,'Données projet'!$E$13+1,1))-AVERAGE(OFFSET($H$3,0,0,'Données projet'!$E$13+1,1))</f>
        <v>320.46614113586043</v>
      </c>
      <c r="CZ132" s="62">
        <f t="shared" si="96"/>
        <v>250.7806929924491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0</v>
      </c>
      <c r="DG132" s="23">
        <f>EXP(-LN(2)/25)*DG131+(1-EXP(-LN(2)/25))/(LN(2)/25)*Calculateur!DB132*Calculateur!DD132*VLOOKUP('Données projet'!$B$13,Paramètres!$A$1:$I$89,3,0)*0.475*44/12</f>
        <v>0</v>
      </c>
      <c r="DH132" s="23">
        <f>EXP(-LN(2)/2)*DH131+(1-EXP(-LN(2)/2))/(LN(2)/2)*DB132*DE132*VLOOKUP('Données projet'!$B$13,Paramètres!$A$1:$I$89,3,0)*0.475*44/12</f>
        <v>1.1906386422683838E-14</v>
      </c>
      <c r="DI132" s="24">
        <f t="shared" ref="DI132:DI153" si="123">SUM(DF132:DH132)</f>
        <v>1.1906386422683838E-14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-1.1368683772161603E-13</v>
      </c>
      <c r="DP132" s="18">
        <f>DO132*VLOOKUP('Données projet'!$B$14,Paramètres!$A$1:$I$89,3,0)*VLOOKUP('Données projet'!$B$14,Paramètres!$A$1:$I$89,5,0)</f>
        <v>-5.3205440053716299E-14</v>
      </c>
      <c r="DQ132" s="14" t="e">
        <f t="shared" si="97"/>
        <v>#NUM!</v>
      </c>
      <c r="DR132" s="22" t="e">
        <f t="shared" ref="DR132:DR153" si="124">(DP132+DQ132)*0.475*44/12</f>
        <v>#NUM!</v>
      </c>
      <c r="DS132" s="62" t="e">
        <f t="shared" ref="DS132:DS195" si="125">DR132+(DJ132+DK132)*44/12</f>
        <v>#NUM!</v>
      </c>
      <c r="DT132" s="62">
        <f ca="1">AVERAGE(OFFSET($DS$3,0,0,'Données projet'!$E$14+1,1))-AVERAGE(OFFSET($H$3,0,0,'Données projet'!$E$14+1,1))</f>
        <v>429.87867712133851</v>
      </c>
      <c r="DU132" s="62">
        <f t="shared" si="98"/>
        <v>182.81277865988014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0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0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1.1368683772161603E-13</v>
      </c>
      <c r="EK132" s="18">
        <f>EJ132*VLOOKUP('Données projet'!$B$15,Paramètres!$A$1:$I$89,3,0)*VLOOKUP('Données projet'!$B$15,Paramètres!$A$1:$I$89,5,0)</f>
        <v>7.626113074366004E-14</v>
      </c>
      <c r="EL132" s="14">
        <f t="shared" si="99"/>
        <v>1.1823749172251317E-12</v>
      </c>
      <c r="EM132" s="22">
        <f t="shared" ref="EM132:EM153" si="127">(EK132+EL132)*0.475*44/12</f>
        <v>2.1921244502123119E-12</v>
      </c>
      <c r="EN132" s="62">
        <f t="shared" ref="EN132:EN195" si="128">EM132+(EE132+EF132)*44/12</f>
        <v>283.74392866106757</v>
      </c>
      <c r="EO132" s="62">
        <f ca="1">AVERAGE(OFFSET($EN$3,0,0,'Données projet'!$E$15+1,1))-AVERAGE(OFFSET($H$3,0,0,'Données projet'!$E$15+1,1))</f>
        <v>296.18088377871669</v>
      </c>
      <c r="EP132" s="62">
        <f t="shared" si="100"/>
        <v>252.23833925792056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0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0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1.1368683772161603E-13</v>
      </c>
      <c r="FF132" s="18">
        <f>FE132*VLOOKUP('Données projet'!$B$16,Paramètres!$A$1:$I$89,3,0)*VLOOKUP('Données projet'!$B$16,Paramètres!$A$1:$I$89,5,0)</f>
        <v>9.7543306765146564E-14</v>
      </c>
      <c r="FG132" s="14">
        <f t="shared" si="101"/>
        <v>1.4696264278629426E-12</v>
      </c>
      <c r="FH132" s="22">
        <f t="shared" ref="FH132:FH153" si="130">(FF132+FG132)*0.475*44/12</f>
        <v>2.7294872878105889E-12</v>
      </c>
      <c r="FI132" s="62">
        <f t="shared" ref="FI132:FI195" si="131">FH132+(EZ132+FA132)*44/12</f>
        <v>283.74392866106808</v>
      </c>
      <c r="FJ132" s="62">
        <f ca="1">AVERAGE(OFFSET($FI$3,0,0,'Données projet'!$E$16+1,1))-AVERAGE(OFFSET($H$3,0,0,'Données projet'!$E$16+1,1))</f>
        <v>359.20464555327072</v>
      </c>
      <c r="FK132" s="62">
        <f t="shared" si="102"/>
        <v>305.54154052071863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0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0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>
        <f>VLOOKUP(A133,'Données projet'!$A$35:$I$55,2,0)</f>
        <v>300</v>
      </c>
      <c r="L133" s="13">
        <f>VLOOKUP(A133,'Données projet'!$A$35:$I$55,9,0)</f>
        <v>3.2</v>
      </c>
      <c r="M133" s="13">
        <f t="array" ref="M133">INDEX(L:L,MIN(IF(ISNUMBER(L133:L329),ROW(L133:L329),"")))</f>
        <v>3.2</v>
      </c>
      <c r="N133" s="14">
        <f>IF('Données projet'!$A$36&gt;35,N132+M133-V132,IF(A133&lt;'Données projet'!$A$36,$K$205^A133,IF(A133='Données projet'!$A$36,'Données projet'!$B$36,N132+M133-V132)))</f>
        <v>299.99999999999937</v>
      </c>
      <c r="O133" s="14">
        <f>N133*VLOOKUP('Données projet'!$B$9,Paramètres!$A$1:$I$89,3,0)*VLOOKUP('Données projet'!$B$9,Paramètres!$A$1:$I$89,5,0)</f>
        <v>304.19999999999936</v>
      </c>
      <c r="P133" s="14">
        <f t="shared" ref="P133:P196" si="141">EXP(-1.0587+0.8836*LN(O133)+0.284)</f>
        <v>72.056231093480946</v>
      </c>
      <c r="Q133" s="22">
        <f t="shared" si="108"/>
        <v>655.31293582114483</v>
      </c>
      <c r="R133" s="62">
        <f t="shared" si="109"/>
        <v>939.22321921457694</v>
      </c>
      <c r="S133" s="62">
        <f ca="1">AVERAGE(OFFSET($R$3,0,0,'Données projet'!$E$9+1,1))-AVERAGE(OFFSET($H$3,0,0,'Données projet'!$E$9+1,1))</f>
        <v>516.30971934066179</v>
      </c>
      <c r="T133" s="62">
        <f t="shared" ref="T133:T196" si="142">$T$3</f>
        <v>290.84286505723571</v>
      </c>
      <c r="U133" s="16">
        <f>IF(ISNA(VLOOKUP(A133,'Données projet'!$A$35:$I$55,3,0)),0,VLOOKUP(A133,'Données projet'!$A$35:$I$55,3,0))</f>
        <v>11</v>
      </c>
      <c r="V133" s="16">
        <f>IF(ISNA(VLOOKUP(A133,'Données projet'!$A$35:$I$55,4,0)),0,VLOOKUP(A133,'Données projet'!$A$35:$I$55,4,0))</f>
        <v>31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>
        <f>VLOOKUP(A133,'Données projet'!$A$61:$I$81,2,0)</f>
        <v>300</v>
      </c>
      <c r="AG133" s="13">
        <f>VLOOKUP(A133,'Données projet'!$A$61:$I$81,9,0)</f>
        <v>3.2</v>
      </c>
      <c r="AH133" s="13">
        <f t="array" ref="AH133">INDEX(AG:AG,MIN(IF(ISNUMBER(AG133:AG329),ROW(AG133:AG329),"")))</f>
        <v>3.2</v>
      </c>
      <c r="AI133" s="14">
        <f>IF('Données projet'!$A$62&gt;35,AI132+AH133-AQ132,IF(A133&lt;'Données projet'!$A$62,$AF$205^A133,IF(A133='Données projet'!$A$62,'Données projet'!$B$62,AI132+AH133-AQ132)))</f>
        <v>299.99999999999937</v>
      </c>
      <c r="AJ133" s="14">
        <f>AI133*VLOOKUP('Données projet'!$B$10,Paramètres!$A$1:$I$89,3,0)*VLOOKUP('Données projet'!$B$10,Paramètres!$A$1:$I$89,5,0)</f>
        <v>322.91999999999928</v>
      </c>
      <c r="AK133" s="14">
        <f t="shared" ref="AK133:AK153" si="143">EXP(-1.0587+0.8836*LN(AJ133)+0.284)</f>
        <v>75.960594879408617</v>
      </c>
      <c r="AL133" s="22">
        <f t="shared" si="112"/>
        <v>694.71703608163534</v>
      </c>
      <c r="AM133" s="62">
        <f t="shared" si="113"/>
        <v>978.62731947506745</v>
      </c>
      <c r="AN133" s="62">
        <f ca="1">AVERAGE(OFFSET($AM$3,0,0,'Données projet'!$E$10+1,1))-AVERAGE(OFFSET($H$3,0,0,'Données projet'!$E$10+1,1))</f>
        <v>542.90832990875208</v>
      </c>
      <c r="AO133" s="62">
        <f t="shared" ref="AO133:AO196" si="144">$AO$3</f>
        <v>304.94365539329362</v>
      </c>
      <c r="AP133" s="16">
        <f>IF(ISNA(VLOOKUP(A133,'Données projet'!$A$61:$I$81,3,0)),0,VLOOKUP(A133,'Données projet'!$A$61:$I$81,3,0))</f>
        <v>11</v>
      </c>
      <c r="AQ133" s="16">
        <f>IF(ISNA(VLOOKUP(A133,'Données projet'!$A$61:$I$81,4,0)),0,VLOOKUP(A133,'Données projet'!$A$61:$I$81,4,0))</f>
        <v>31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>
        <f>VLOOKUP(A133,'Données projet'!$A$87:$I$107,2,0)</f>
        <v>300</v>
      </c>
      <c r="BB133" s="13">
        <f>VLOOKUP(A133,'Données projet'!$A$87:$I$107,9,0)</f>
        <v>3.2</v>
      </c>
      <c r="BC133" s="13">
        <f t="array" ref="BC133">INDEX(BB:BB,MIN(IF(ISNUMBER(BB133:BB329),ROW(BB133:BB329),"")))</f>
        <v>3.2</v>
      </c>
      <c r="BD133" s="13">
        <f>IF('Données projet'!$A$88&gt;35,BD132+BC133-BL132,IF(A133&lt;'Données projet'!$A$88,$BA$205^A133,IF(A133='Données projet'!$A$88,'Données projet'!$B$88,BD132+BC133-BL132)))</f>
        <v>299.99999999999937</v>
      </c>
      <c r="BE133" s="14">
        <f>BD133*VLOOKUP('Données projet'!$B$11,Paramètres!$A$1:$I$89,3,0)*VLOOKUP('Données projet'!$B$11,Paramètres!$A$1:$I$89,5,0)</f>
        <v>290.1599999999994</v>
      </c>
      <c r="BF133" s="14">
        <f t="shared" ref="BF133:BF153" si="145">EXP(-1.0587+0.8836*LN(BE133)+0.284)</f>
        <v>69.10963471703981</v>
      </c>
      <c r="BG133" s="22">
        <f t="shared" si="115"/>
        <v>625.72794713217661</v>
      </c>
      <c r="BH133" s="62">
        <f t="shared" si="116"/>
        <v>909.63823052560872</v>
      </c>
      <c r="BI133" s="62">
        <f ca="1">AVERAGE(OFFSET($BH$3,0,0,'Données projet'!$E$11+1,1))-AVERAGE(OFFSET($H$3,0,0,'Données projet'!$E$11+1,1))</f>
        <v>496.33873798282525</v>
      </c>
      <c r="BJ133" s="62">
        <f t="shared" ref="BJ133:BJ196" si="146">$BJ$3</f>
        <v>280.25465074992246</v>
      </c>
      <c r="BK133" s="16">
        <f>IF(ISNA(VLOOKUP(A133,'Données projet'!$A$87:$I$107,3,0)),0,VLOOKUP(A133,'Données projet'!$A$87:$I$107,3,0))</f>
        <v>11</v>
      </c>
      <c r="BL133" s="16">
        <f>IF(ISNA(VLOOKUP(A133,'Données projet'!$A$87:$I$107,4,0)),0,VLOOKUP(A133,'Données projet'!$A$87:$I$107,4,0))</f>
        <v>31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1.7053025658242404E-13</v>
      </c>
      <c r="BZ133" s="14">
        <f>BY133*VLOOKUP('Données projet'!$B$12,Paramètres!$A$1:$I$89,3,0)*VLOOKUP('Données projet'!$B$12,Paramètres!$A$1:$I$89,5,0)</f>
        <v>1.4897523215040567E-13</v>
      </c>
      <c r="CA133" s="14">
        <f t="shared" ref="CA133:CA153" si="147">EXP(-1.0587+0.8836*LN(BZ133)+0.284)</f>
        <v>2.136562777003313E-12</v>
      </c>
      <c r="CB133" s="22">
        <f t="shared" si="118"/>
        <v>3.9806453659427267E-12</v>
      </c>
      <c r="CC133" s="62">
        <f t="shared" si="119"/>
        <v>283.91028339343609</v>
      </c>
      <c r="CD133" s="62">
        <f ca="1">AVERAGE(OFFSET($CC$3,0,0,'Données projet'!$E$12+1,1))-AVERAGE(OFFSET($H$3,0,0,'Données projet'!$E$12+1,1))</f>
        <v>298.28891728374822</v>
      </c>
      <c r="CE133" s="62">
        <f t="shared" ref="CE133:CE196" si="148">$CE$3</f>
        <v>275.07405533331371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1.1368683772161603E-13</v>
      </c>
      <c r="CU133" s="18">
        <f>CT133*VLOOKUP('Données projet'!$B$13,Paramètres!$A$1:$I$89,3,0)*VLOOKUP('Données projet'!$B$13,Paramètres!$A$1:$I$89,5,0)</f>
        <v>6.7984728957526396E-14</v>
      </c>
      <c r="CV133" s="14">
        <f t="shared" ref="CV133:CV153" si="149">EXP(-1.0587+0.8836*LN(CU133)+0.284)</f>
        <v>1.0682447123141398E-12</v>
      </c>
      <c r="CW133" s="22">
        <f t="shared" si="121"/>
        <v>1.978932943548152E-12</v>
      </c>
      <c r="CX133" s="62">
        <f t="shared" si="122"/>
        <v>283.9102833934341</v>
      </c>
      <c r="CY133" s="62">
        <f ca="1">AVERAGE(OFFSET($CX$3,0,0,'Données projet'!$E$13+1,1))-AVERAGE(OFFSET($H$3,0,0,'Données projet'!$E$13+1,1))</f>
        <v>320.46614113586043</v>
      </c>
      <c r="CZ133" s="62">
        <f t="shared" ref="CZ133:CZ196" si="150">$CZ$3</f>
        <v>250.7806929924491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0</v>
      </c>
      <c r="DG133" s="23">
        <f>EXP(-LN(2)/25)*DG132+(1-EXP(-LN(2)/25))/(LN(2)/25)*Calculateur!DB133*Calculateur!DD133*VLOOKUP('Données projet'!$B$13,Paramètres!$A$1:$I$89,3,0)*0.475*44/12</f>
        <v>0</v>
      </c>
      <c r="DH133" s="23">
        <f>EXP(-LN(2)/2)*DH132+(1-EXP(-LN(2)/2))/(LN(2)/2)*DB133*DE133*VLOOKUP('Données projet'!$B$13,Paramètres!$A$1:$I$89,3,0)*0.475*44/12</f>
        <v>8.4190865789071807E-15</v>
      </c>
      <c r="DI133" s="24">
        <f t="shared" si="123"/>
        <v>8.4190865789071807E-15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-1.1368683772161603E-13</v>
      </c>
      <c r="DP133" s="18">
        <f>DO133*VLOOKUP('Données projet'!$B$14,Paramètres!$A$1:$I$89,3,0)*VLOOKUP('Données projet'!$B$14,Paramètres!$A$1:$I$89,5,0)</f>
        <v>-5.3205440053716299E-14</v>
      </c>
      <c r="DQ133" s="14" t="e">
        <f t="shared" ref="DQ133:DQ153" si="151">EXP(-1.0587+0.8836*LN(DP133)+0.284)</f>
        <v>#NUM!</v>
      </c>
      <c r="DR133" s="22" t="e">
        <f t="shared" si="124"/>
        <v>#NUM!</v>
      </c>
      <c r="DS133" s="62" t="e">
        <f t="shared" si="125"/>
        <v>#NUM!</v>
      </c>
      <c r="DT133" s="62">
        <f ca="1">AVERAGE(OFFSET($DS$3,0,0,'Données projet'!$E$14+1,1))-AVERAGE(OFFSET($H$3,0,0,'Données projet'!$E$14+1,1))</f>
        <v>429.87867712133851</v>
      </c>
      <c r="DU133" s="62">
        <f t="shared" ref="DU133:DU196" si="152">$DU$3</f>
        <v>182.81277865988014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0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0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1.1368683772161603E-13</v>
      </c>
      <c r="EK133" s="18">
        <f>EJ133*VLOOKUP('Données projet'!$B$15,Paramètres!$A$1:$I$89,3,0)*VLOOKUP('Données projet'!$B$15,Paramètres!$A$1:$I$89,5,0)</f>
        <v>7.626113074366004E-14</v>
      </c>
      <c r="EL133" s="14">
        <f t="shared" ref="EL133:EL153" si="153">EXP(-1.0587+0.8836*LN(EK133)+0.284)</f>
        <v>1.1823749172251317E-12</v>
      </c>
      <c r="EM133" s="22">
        <f t="shared" si="127"/>
        <v>2.1921244502123119E-12</v>
      </c>
      <c r="EN133" s="62">
        <f t="shared" si="128"/>
        <v>283.91028339343433</v>
      </c>
      <c r="EO133" s="62">
        <f ca="1">AVERAGE(OFFSET($EN$3,0,0,'Données projet'!$E$15+1,1))-AVERAGE(OFFSET($H$3,0,0,'Données projet'!$E$15+1,1))</f>
        <v>296.18088377871669</v>
      </c>
      <c r="EP133" s="62">
        <f t="shared" ref="EP133:EP196" si="154">$EP$3</f>
        <v>252.23833925792056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0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0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1.1368683772161603E-13</v>
      </c>
      <c r="FF133" s="18">
        <f>FE133*VLOOKUP('Données projet'!$B$16,Paramètres!$A$1:$I$89,3,0)*VLOOKUP('Données projet'!$B$16,Paramètres!$A$1:$I$89,5,0)</f>
        <v>9.7543306765146564E-14</v>
      </c>
      <c r="FG133" s="14">
        <f t="shared" ref="FG133:FG153" si="155">EXP(-1.0587+0.8836*LN(FF133)+0.284)</f>
        <v>1.4696264278629426E-12</v>
      </c>
      <c r="FH133" s="22">
        <f t="shared" si="130"/>
        <v>2.7294872878105889E-12</v>
      </c>
      <c r="FI133" s="62">
        <f t="shared" si="131"/>
        <v>283.91028339343484</v>
      </c>
      <c r="FJ133" s="62">
        <f ca="1">AVERAGE(OFFSET($FI$3,0,0,'Données projet'!$E$16+1,1))-AVERAGE(OFFSET($H$3,0,0,'Données projet'!$E$16+1,1))</f>
        <v>359.20464555327072</v>
      </c>
      <c r="FK133" s="62">
        <f t="shared" ref="FK133:FK196" si="156">$FK$3</f>
        <v>305.54154052071863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0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0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2.7</v>
      </c>
      <c r="N134" s="14">
        <f>IF('Données projet'!$A$36&gt;35,N133+M134-V133,IF(A134&lt;'Données projet'!$A$36,$K$205^A134,IF(A134='Données projet'!$A$36,'Données projet'!$B$36,N133+M134-V133)))</f>
        <v>271.69999999999936</v>
      </c>
      <c r="O134" s="14">
        <f>N134*VLOOKUP('Données projet'!$B$9,Paramètres!$A$1:$I$89,3,0)*VLOOKUP('Données projet'!$B$9,Paramètres!$A$1:$I$89,5,0)</f>
        <v>275.50379999999939</v>
      </c>
      <c r="P134" s="14">
        <f t="shared" si="141"/>
        <v>66.015939215007748</v>
      </c>
      <c r="Q134" s="22">
        <f t="shared" si="108"/>
        <v>594.81354579947072</v>
      </c>
      <c r="R134" s="62">
        <f t="shared" si="109"/>
        <v>878.8872980425765</v>
      </c>
      <c r="S134" s="62">
        <f ca="1">AVERAGE(OFFSET($R$3,0,0,'Données projet'!$E$9+1,1))-AVERAGE(OFFSET($H$3,0,0,'Données projet'!$E$9+1,1))</f>
        <v>516.30971934066179</v>
      </c>
      <c r="T134" s="62">
        <f t="shared" si="142"/>
        <v>290.84286505723571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2.7</v>
      </c>
      <c r="AI134" s="14">
        <f>IF('Données projet'!$A$62&gt;35,AI133+AH134-AQ133,IF(A134&lt;'Données projet'!$A$62,$AF$205^A134,IF(A134='Données projet'!$A$62,'Données projet'!$B$62,AI133+AH134-AQ133)))</f>
        <v>271.69999999999936</v>
      </c>
      <c r="AJ134" s="14">
        <f>AI134*VLOOKUP('Données projet'!$B$10,Paramètres!$A$1:$I$89,3,0)*VLOOKUP('Données projet'!$B$10,Paramètres!$A$1:$I$89,5,0)</f>
        <v>292.45787999999931</v>
      </c>
      <c r="AK134" s="14">
        <f t="shared" si="143"/>
        <v>69.59301004501954</v>
      </c>
      <c r="AL134" s="22">
        <f t="shared" si="112"/>
        <v>630.57196682840777</v>
      </c>
      <c r="AM134" s="62">
        <f t="shared" si="113"/>
        <v>914.64571907151344</v>
      </c>
      <c r="AN134" s="62">
        <f ca="1">AVERAGE(OFFSET($AM$3,0,0,'Données projet'!$E$10+1,1))-AVERAGE(OFFSET($H$3,0,0,'Données projet'!$E$10+1,1))</f>
        <v>542.90832990875208</v>
      </c>
      <c r="AO134" s="62">
        <f t="shared" si="144"/>
        <v>304.94365539329362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2.7</v>
      </c>
      <c r="BD134" s="13">
        <f>IF('Données projet'!$A$88&gt;35,BD133+BC134-BL133,IF(A134&lt;'Données projet'!$A$88,$BA$205^A134,IF(A134='Données projet'!$A$88,'Données projet'!$B$88,BD133+BC134-BL133)))</f>
        <v>271.69999999999936</v>
      </c>
      <c r="BE134" s="14">
        <f>BD134*VLOOKUP('Données projet'!$B$11,Paramètres!$A$1:$I$89,3,0)*VLOOKUP('Données projet'!$B$11,Paramètres!$A$1:$I$89,5,0)</f>
        <v>262.7882399999994</v>
      </c>
      <c r="BF134" s="14">
        <f t="shared" si="145"/>
        <v>63.316348571334714</v>
      </c>
      <c r="BG134" s="22">
        <f t="shared" si="115"/>
        <v>567.96549176174028</v>
      </c>
      <c r="BH134" s="62">
        <f t="shared" si="116"/>
        <v>852.03924400484607</v>
      </c>
      <c r="BI134" s="62">
        <f ca="1">AVERAGE(OFFSET($BH$3,0,0,'Données projet'!$E$11+1,1))-AVERAGE(OFFSET($H$3,0,0,'Données projet'!$E$11+1,1))</f>
        <v>496.33873798282525</v>
      </c>
      <c r="BJ134" s="62">
        <f t="shared" si="146"/>
        <v>280.25465074992246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1.7053025658242404E-13</v>
      </c>
      <c r="BZ134" s="14">
        <f>BY134*VLOOKUP('Données projet'!$B$12,Paramètres!$A$1:$I$89,3,0)*VLOOKUP('Données projet'!$B$12,Paramètres!$A$1:$I$89,5,0)</f>
        <v>1.4897523215040567E-13</v>
      </c>
      <c r="CA134" s="14">
        <f t="shared" si="147"/>
        <v>2.136562777003313E-12</v>
      </c>
      <c r="CB134" s="22">
        <f t="shared" si="118"/>
        <v>3.9806453659427267E-12</v>
      </c>
      <c r="CC134" s="62">
        <f t="shared" si="119"/>
        <v>284.07375224310971</v>
      </c>
      <c r="CD134" s="62">
        <f ca="1">AVERAGE(OFFSET($CC$3,0,0,'Données projet'!$E$12+1,1))-AVERAGE(OFFSET($H$3,0,0,'Données projet'!$E$12+1,1))</f>
        <v>298.28891728374822</v>
      </c>
      <c r="CE134" s="62">
        <f t="shared" si="148"/>
        <v>275.07405533331371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1.1368683772161603E-13</v>
      </c>
      <c r="CU134" s="18">
        <f>CT134*VLOOKUP('Données projet'!$B$13,Paramètres!$A$1:$I$89,3,0)*VLOOKUP('Données projet'!$B$13,Paramètres!$A$1:$I$89,5,0)</f>
        <v>6.7984728957526396E-14</v>
      </c>
      <c r="CV134" s="14">
        <f t="shared" si="149"/>
        <v>1.0682447123141398E-12</v>
      </c>
      <c r="CW134" s="22">
        <f t="shared" si="121"/>
        <v>1.978932943548152E-12</v>
      </c>
      <c r="CX134" s="62">
        <f t="shared" si="122"/>
        <v>284.07375224310772</v>
      </c>
      <c r="CY134" s="62">
        <f ca="1">AVERAGE(OFFSET($CX$3,0,0,'Données projet'!$E$13+1,1))-AVERAGE(OFFSET($H$3,0,0,'Données projet'!$E$13+1,1))</f>
        <v>320.46614113586043</v>
      </c>
      <c r="CZ134" s="62">
        <f t="shared" si="150"/>
        <v>250.7806929924491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0</v>
      </c>
      <c r="DG134" s="23">
        <f>EXP(-LN(2)/25)*DG133+(1-EXP(-LN(2)/25))/(LN(2)/25)*Calculateur!DB134*Calculateur!DD134*VLOOKUP('Données projet'!$B$13,Paramètres!$A$1:$I$89,3,0)*0.475*44/12</f>
        <v>0</v>
      </c>
      <c r="DH134" s="23">
        <f>EXP(-LN(2)/2)*DH133+(1-EXP(-LN(2)/2))/(LN(2)/2)*DB134*DE134*VLOOKUP('Données projet'!$B$13,Paramètres!$A$1:$I$89,3,0)*0.475*44/12</f>
        <v>5.9531932113419189E-15</v>
      </c>
      <c r="DI134" s="24">
        <f t="shared" si="123"/>
        <v>5.9531932113419189E-15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-1.1368683772161603E-13</v>
      </c>
      <c r="DP134" s="18">
        <f>DO134*VLOOKUP('Données projet'!$B$14,Paramètres!$A$1:$I$89,3,0)*VLOOKUP('Données projet'!$B$14,Paramètres!$A$1:$I$89,5,0)</f>
        <v>-5.3205440053716299E-14</v>
      </c>
      <c r="DQ134" s="14" t="e">
        <f t="shared" si="151"/>
        <v>#NUM!</v>
      </c>
      <c r="DR134" s="22" t="e">
        <f t="shared" si="124"/>
        <v>#NUM!</v>
      </c>
      <c r="DS134" s="62" t="e">
        <f t="shared" si="125"/>
        <v>#NUM!</v>
      </c>
      <c r="DT134" s="62">
        <f ca="1">AVERAGE(OFFSET($DS$3,0,0,'Données projet'!$E$14+1,1))-AVERAGE(OFFSET($H$3,0,0,'Données projet'!$E$14+1,1))</f>
        <v>429.87867712133851</v>
      </c>
      <c r="DU134" s="62">
        <f t="shared" si="152"/>
        <v>182.81277865988014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0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0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1.1368683772161603E-13</v>
      </c>
      <c r="EK134" s="18">
        <f>EJ134*VLOOKUP('Données projet'!$B$15,Paramètres!$A$1:$I$89,3,0)*VLOOKUP('Données projet'!$B$15,Paramètres!$A$1:$I$89,5,0)</f>
        <v>7.626113074366004E-14</v>
      </c>
      <c r="EL134" s="14">
        <f t="shared" si="153"/>
        <v>1.1823749172251317E-12</v>
      </c>
      <c r="EM134" s="22">
        <f t="shared" si="127"/>
        <v>2.1921244502123119E-12</v>
      </c>
      <c r="EN134" s="62">
        <f t="shared" si="128"/>
        <v>284.07375224310795</v>
      </c>
      <c r="EO134" s="62">
        <f ca="1">AVERAGE(OFFSET($EN$3,0,0,'Données projet'!$E$15+1,1))-AVERAGE(OFFSET($H$3,0,0,'Données projet'!$E$15+1,1))</f>
        <v>296.18088377871669</v>
      </c>
      <c r="EP134" s="62">
        <f t="shared" si="154"/>
        <v>252.23833925792056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0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0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1.1368683772161603E-13</v>
      </c>
      <c r="FF134" s="18">
        <f>FE134*VLOOKUP('Données projet'!$B$16,Paramètres!$A$1:$I$89,3,0)*VLOOKUP('Données projet'!$B$16,Paramètres!$A$1:$I$89,5,0)</f>
        <v>9.7543306765146564E-14</v>
      </c>
      <c r="FG134" s="14">
        <f t="shared" si="155"/>
        <v>1.4696264278629426E-12</v>
      </c>
      <c r="FH134" s="22">
        <f t="shared" si="130"/>
        <v>2.7294872878105889E-12</v>
      </c>
      <c r="FI134" s="62">
        <f t="shared" si="131"/>
        <v>284.07375224310846</v>
      </c>
      <c r="FJ134" s="62">
        <f ca="1">AVERAGE(OFFSET($FI$3,0,0,'Données projet'!$E$16+1,1))-AVERAGE(OFFSET($H$3,0,0,'Données projet'!$E$16+1,1))</f>
        <v>359.20464555327072</v>
      </c>
      <c r="FK134" s="62">
        <f t="shared" si="156"/>
        <v>305.54154052071863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0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0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2.7</v>
      </c>
      <c r="N135" s="14">
        <f>IF('Données projet'!$A$36&gt;35,N134+M135-V134,IF(A135&lt;'Données projet'!$A$36,$K$205^A135,IF(A135='Données projet'!$A$36,'Données projet'!$B$36,N134+M135-V134)))</f>
        <v>274.39999999999935</v>
      </c>
      <c r="O135" s="14">
        <f>N135*VLOOKUP('Données projet'!$B$9,Paramètres!$A$1:$I$89,3,0)*VLOOKUP('Données projet'!$B$9,Paramètres!$A$1:$I$89,5,0)</f>
        <v>278.24159999999938</v>
      </c>
      <c r="P135" s="14">
        <f t="shared" si="141"/>
        <v>66.595272276139625</v>
      </c>
      <c r="Q135" s="22">
        <f t="shared" si="108"/>
        <v>600.59088588094198</v>
      </c>
      <c r="R135" s="62">
        <f t="shared" si="109"/>
        <v>884.82527115464109</v>
      </c>
      <c r="S135" s="62">
        <f ca="1">AVERAGE(OFFSET($R$3,0,0,'Données projet'!$E$9+1,1))-AVERAGE(OFFSET($H$3,0,0,'Données projet'!$E$9+1,1))</f>
        <v>516.30971934066179</v>
      </c>
      <c r="T135" s="62">
        <f t="shared" si="142"/>
        <v>290.84286505723571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2.7</v>
      </c>
      <c r="AI135" s="14">
        <f>IF('Données projet'!$A$62&gt;35,AI134+AH135-AQ134,IF(A135&lt;'Données projet'!$A$62,$AF$205^A135,IF(A135='Données projet'!$A$62,'Données projet'!$B$62,AI134+AH135-AQ134)))</f>
        <v>274.39999999999935</v>
      </c>
      <c r="AJ135" s="14">
        <f>AI135*VLOOKUP('Données projet'!$B$10,Paramètres!$A$1:$I$89,3,0)*VLOOKUP('Données projet'!$B$10,Paramètres!$A$1:$I$89,5,0)</f>
        <v>295.36415999999929</v>
      </c>
      <c r="AK135" s="14">
        <f t="shared" si="143"/>
        <v>70.203734243177976</v>
      </c>
      <c r="AL135" s="22">
        <f t="shared" si="112"/>
        <v>636.69741580686696</v>
      </c>
      <c r="AM135" s="62">
        <f t="shared" si="113"/>
        <v>920.93180108056617</v>
      </c>
      <c r="AN135" s="62">
        <f ca="1">AVERAGE(OFFSET($AM$3,0,0,'Données projet'!$E$10+1,1))-AVERAGE(OFFSET($H$3,0,0,'Données projet'!$E$10+1,1))</f>
        <v>542.90832990875208</v>
      </c>
      <c r="AO135" s="62">
        <f t="shared" si="144"/>
        <v>304.94365539329362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2.7</v>
      </c>
      <c r="BD135" s="13">
        <f>IF('Données projet'!$A$88&gt;35,BD134+BC135-BL134,IF(A135&lt;'Données projet'!$A$88,$BA$205^A135,IF(A135='Données projet'!$A$88,'Données projet'!$B$88,BD134+BC135-BL134)))</f>
        <v>274.39999999999935</v>
      </c>
      <c r="BE135" s="14">
        <f>BD135*VLOOKUP('Données projet'!$B$11,Paramètres!$A$1:$I$89,3,0)*VLOOKUP('Données projet'!$B$11,Paramètres!$A$1:$I$89,5,0)</f>
        <v>265.39967999999936</v>
      </c>
      <c r="BF135" s="14">
        <f t="shared" si="145"/>
        <v>63.87199095821434</v>
      </c>
      <c r="BG135" s="22">
        <f t="shared" si="115"/>
        <v>573.48149358555554</v>
      </c>
      <c r="BH135" s="62">
        <f t="shared" si="116"/>
        <v>857.71587885925464</v>
      </c>
      <c r="BI135" s="62">
        <f ca="1">AVERAGE(OFFSET($BH$3,0,0,'Données projet'!$E$11+1,1))-AVERAGE(OFFSET($H$3,0,0,'Données projet'!$E$11+1,1))</f>
        <v>496.33873798282525</v>
      </c>
      <c r="BJ135" s="62">
        <f t="shared" si="146"/>
        <v>280.25465074992246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1.7053025658242404E-13</v>
      </c>
      <c r="BZ135" s="14">
        <f>BY135*VLOOKUP('Données projet'!$B$12,Paramètres!$A$1:$I$89,3,0)*VLOOKUP('Données projet'!$B$12,Paramètres!$A$1:$I$89,5,0)</f>
        <v>1.4897523215040567E-13</v>
      </c>
      <c r="CA135" s="14">
        <f t="shared" si="147"/>
        <v>2.136562777003313E-12</v>
      </c>
      <c r="CB135" s="22">
        <f t="shared" si="118"/>
        <v>3.9806453659427267E-12</v>
      </c>
      <c r="CC135" s="62">
        <f t="shared" si="119"/>
        <v>284.23438527370314</v>
      </c>
      <c r="CD135" s="62">
        <f ca="1">AVERAGE(OFFSET($CC$3,0,0,'Données projet'!$E$12+1,1))-AVERAGE(OFFSET($H$3,0,0,'Données projet'!$E$12+1,1))</f>
        <v>298.28891728374822</v>
      </c>
      <c r="CE135" s="62">
        <f t="shared" si="148"/>
        <v>275.07405533331371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1.1368683772161603E-13</v>
      </c>
      <c r="CU135" s="18">
        <f>CT135*VLOOKUP('Données projet'!$B$13,Paramètres!$A$1:$I$89,3,0)*VLOOKUP('Données projet'!$B$13,Paramètres!$A$1:$I$89,5,0)</f>
        <v>6.7984728957526396E-14</v>
      </c>
      <c r="CV135" s="14">
        <f t="shared" si="149"/>
        <v>1.0682447123141398E-12</v>
      </c>
      <c r="CW135" s="22">
        <f t="shared" si="121"/>
        <v>1.978932943548152E-12</v>
      </c>
      <c r="CX135" s="62">
        <f t="shared" si="122"/>
        <v>284.23438527370115</v>
      </c>
      <c r="CY135" s="62">
        <f ca="1">AVERAGE(OFFSET($CX$3,0,0,'Données projet'!$E$13+1,1))-AVERAGE(OFFSET($H$3,0,0,'Données projet'!$E$13+1,1))</f>
        <v>320.46614113586043</v>
      </c>
      <c r="CZ135" s="62">
        <f t="shared" si="150"/>
        <v>250.7806929924491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0</v>
      </c>
      <c r="DG135" s="23">
        <f>EXP(-LN(2)/25)*DG134+(1-EXP(-LN(2)/25))/(LN(2)/25)*Calculateur!DB135*Calculateur!DD135*VLOOKUP('Données projet'!$B$13,Paramètres!$A$1:$I$89,3,0)*0.475*44/12</f>
        <v>0</v>
      </c>
      <c r="DH135" s="23">
        <f>EXP(-LN(2)/2)*DH134+(1-EXP(-LN(2)/2))/(LN(2)/2)*DB135*DE135*VLOOKUP('Données projet'!$B$13,Paramètres!$A$1:$I$89,3,0)*0.475*44/12</f>
        <v>4.2095432894535903E-15</v>
      </c>
      <c r="DI135" s="24">
        <f t="shared" si="123"/>
        <v>4.2095432894535903E-15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-1.1368683772161603E-13</v>
      </c>
      <c r="DP135" s="18">
        <f>DO135*VLOOKUP('Données projet'!$B$14,Paramètres!$A$1:$I$89,3,0)*VLOOKUP('Données projet'!$B$14,Paramètres!$A$1:$I$89,5,0)</f>
        <v>-5.3205440053716299E-14</v>
      </c>
      <c r="DQ135" s="14" t="e">
        <f t="shared" si="151"/>
        <v>#NUM!</v>
      </c>
      <c r="DR135" s="22" t="e">
        <f t="shared" si="124"/>
        <v>#NUM!</v>
      </c>
      <c r="DS135" s="62" t="e">
        <f t="shared" si="125"/>
        <v>#NUM!</v>
      </c>
      <c r="DT135" s="62">
        <f ca="1">AVERAGE(OFFSET($DS$3,0,0,'Données projet'!$E$14+1,1))-AVERAGE(OFFSET($H$3,0,0,'Données projet'!$E$14+1,1))</f>
        <v>429.87867712133851</v>
      </c>
      <c r="DU135" s="62">
        <f t="shared" si="152"/>
        <v>182.81277865988014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0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0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1.1368683772161603E-13</v>
      </c>
      <c r="EK135" s="18">
        <f>EJ135*VLOOKUP('Données projet'!$B$15,Paramètres!$A$1:$I$89,3,0)*VLOOKUP('Données projet'!$B$15,Paramètres!$A$1:$I$89,5,0)</f>
        <v>7.626113074366004E-14</v>
      </c>
      <c r="EL135" s="14">
        <f t="shared" si="153"/>
        <v>1.1823749172251317E-12</v>
      </c>
      <c r="EM135" s="22">
        <f t="shared" si="127"/>
        <v>2.1921244502123119E-12</v>
      </c>
      <c r="EN135" s="62">
        <f t="shared" si="128"/>
        <v>284.23438527370138</v>
      </c>
      <c r="EO135" s="62">
        <f ca="1">AVERAGE(OFFSET($EN$3,0,0,'Données projet'!$E$15+1,1))-AVERAGE(OFFSET($H$3,0,0,'Données projet'!$E$15+1,1))</f>
        <v>296.18088377871669</v>
      </c>
      <c r="EP135" s="62">
        <f t="shared" si="154"/>
        <v>252.23833925792056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0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0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1.1368683772161603E-13</v>
      </c>
      <c r="FF135" s="18">
        <f>FE135*VLOOKUP('Données projet'!$B$16,Paramètres!$A$1:$I$89,3,0)*VLOOKUP('Données projet'!$B$16,Paramètres!$A$1:$I$89,5,0)</f>
        <v>9.7543306765146564E-14</v>
      </c>
      <c r="FG135" s="14">
        <f t="shared" si="155"/>
        <v>1.4696264278629426E-12</v>
      </c>
      <c r="FH135" s="22">
        <f t="shared" si="130"/>
        <v>2.7294872878105889E-12</v>
      </c>
      <c r="FI135" s="62">
        <f t="shared" si="131"/>
        <v>284.23438527370189</v>
      </c>
      <c r="FJ135" s="62">
        <f ca="1">AVERAGE(OFFSET($FI$3,0,0,'Données projet'!$E$16+1,1))-AVERAGE(OFFSET($H$3,0,0,'Données projet'!$E$16+1,1))</f>
        <v>359.20464555327072</v>
      </c>
      <c r="FK135" s="62">
        <f t="shared" si="156"/>
        <v>305.54154052071863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0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0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2.7</v>
      </c>
      <c r="N136" s="14">
        <f>IF('Données projet'!$A$36&gt;35,N135+M136-V135,IF(A136&lt;'Données projet'!$A$36,$K$205^A136,IF(A136='Données projet'!$A$36,'Données projet'!$B$36,N135+M136-V135)))</f>
        <v>277.09999999999934</v>
      </c>
      <c r="O136" s="14">
        <f>N136*VLOOKUP('Données projet'!$B$9,Paramètres!$A$1:$I$89,3,0)*VLOOKUP('Données projet'!$B$9,Paramètres!$A$1:$I$89,5,0)</f>
        <v>280.97939999999937</v>
      </c>
      <c r="P136" s="14">
        <f t="shared" si="141"/>
        <v>67.173942175199301</v>
      </c>
      <c r="Q136" s="22">
        <f t="shared" si="108"/>
        <v>606.36707095513759</v>
      </c>
      <c r="R136" s="62">
        <f t="shared" si="109"/>
        <v>890.75930263547093</v>
      </c>
      <c r="S136" s="62">
        <f ca="1">AVERAGE(OFFSET($R$3,0,0,'Données projet'!$E$9+1,1))-AVERAGE(OFFSET($H$3,0,0,'Données projet'!$E$9+1,1))</f>
        <v>516.30971934066179</v>
      </c>
      <c r="T136" s="62">
        <f t="shared" si="142"/>
        <v>290.84286505723571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2.7</v>
      </c>
      <c r="AI136" s="14">
        <f>IF('Données projet'!$A$62&gt;35,AI135+AH136-AQ135,IF(A136&lt;'Données projet'!$A$62,$AF$205^A136,IF(A136='Données projet'!$A$62,'Données projet'!$B$62,AI135+AH136-AQ135)))</f>
        <v>277.09999999999934</v>
      </c>
      <c r="AJ136" s="14">
        <f>AI136*VLOOKUP('Données projet'!$B$10,Paramètres!$A$1:$I$89,3,0)*VLOOKUP('Données projet'!$B$10,Paramètres!$A$1:$I$89,5,0)</f>
        <v>298.27043999999927</v>
      </c>
      <c r="AK136" s="14">
        <f t="shared" si="143"/>
        <v>70.813759345855843</v>
      </c>
      <c r="AL136" s="22">
        <f t="shared" si="112"/>
        <v>642.8216471940309</v>
      </c>
      <c r="AM136" s="62">
        <f t="shared" si="113"/>
        <v>927.21387887436435</v>
      </c>
      <c r="AN136" s="62">
        <f ca="1">AVERAGE(OFFSET($AM$3,0,0,'Données projet'!$E$10+1,1))-AVERAGE(OFFSET($H$3,0,0,'Données projet'!$E$10+1,1))</f>
        <v>542.90832990875208</v>
      </c>
      <c r="AO136" s="62">
        <f t="shared" si="144"/>
        <v>304.94365539329362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2.7</v>
      </c>
      <c r="BD136" s="13">
        <f>IF('Données projet'!$A$88&gt;35,BD135+BC136-BL135,IF(A136&lt;'Données projet'!$A$88,$BA$205^A136,IF(A136='Données projet'!$A$88,'Données projet'!$B$88,BD135+BC136-BL135)))</f>
        <v>277.09999999999934</v>
      </c>
      <c r="BE136" s="14">
        <f>BD136*VLOOKUP('Données projet'!$B$11,Paramètres!$A$1:$I$89,3,0)*VLOOKUP('Données projet'!$B$11,Paramètres!$A$1:$I$89,5,0)</f>
        <v>268.01111999999938</v>
      </c>
      <c r="BF136" s="14">
        <f t="shared" si="145"/>
        <v>64.426997301716739</v>
      </c>
      <c r="BG136" s="22">
        <f t="shared" si="115"/>
        <v>578.99638763382234</v>
      </c>
      <c r="BH136" s="62">
        <f t="shared" si="116"/>
        <v>863.38861931415568</v>
      </c>
      <c r="BI136" s="62">
        <f ca="1">AVERAGE(OFFSET($BH$3,0,0,'Données projet'!$E$11+1,1))-AVERAGE(OFFSET($H$3,0,0,'Données projet'!$E$11+1,1))</f>
        <v>496.33873798282525</v>
      </c>
      <c r="BJ136" s="62">
        <f t="shared" si="146"/>
        <v>280.25465074992246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1.7053025658242404E-13</v>
      </c>
      <c r="BZ136" s="14">
        <f>BY136*VLOOKUP('Données projet'!$B$12,Paramètres!$A$1:$I$89,3,0)*VLOOKUP('Données projet'!$B$12,Paramètres!$A$1:$I$89,5,0)</f>
        <v>1.4897523215040567E-13</v>
      </c>
      <c r="CA136" s="14">
        <f t="shared" si="147"/>
        <v>2.136562777003313E-12</v>
      </c>
      <c r="CB136" s="22">
        <f t="shared" si="118"/>
        <v>3.9806453659427267E-12</v>
      </c>
      <c r="CC136" s="62">
        <f t="shared" si="119"/>
        <v>284.39223168033737</v>
      </c>
      <c r="CD136" s="62">
        <f ca="1">AVERAGE(OFFSET($CC$3,0,0,'Données projet'!$E$12+1,1))-AVERAGE(OFFSET($H$3,0,0,'Données projet'!$E$12+1,1))</f>
        <v>298.28891728374822</v>
      </c>
      <c r="CE136" s="62">
        <f t="shared" si="148"/>
        <v>275.07405533331371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1.1368683772161603E-13</v>
      </c>
      <c r="CU136" s="18">
        <f>CT136*VLOOKUP('Données projet'!$B$13,Paramètres!$A$1:$I$89,3,0)*VLOOKUP('Données projet'!$B$13,Paramètres!$A$1:$I$89,5,0)</f>
        <v>6.7984728957526396E-14</v>
      </c>
      <c r="CV136" s="14">
        <f t="shared" si="149"/>
        <v>1.0682447123141398E-12</v>
      </c>
      <c r="CW136" s="22">
        <f t="shared" si="121"/>
        <v>1.978932943548152E-12</v>
      </c>
      <c r="CX136" s="62">
        <f t="shared" si="122"/>
        <v>284.39223168033539</v>
      </c>
      <c r="CY136" s="62">
        <f ca="1">AVERAGE(OFFSET($CX$3,0,0,'Données projet'!$E$13+1,1))-AVERAGE(OFFSET($H$3,0,0,'Données projet'!$E$13+1,1))</f>
        <v>320.46614113586043</v>
      </c>
      <c r="CZ136" s="62">
        <f t="shared" si="150"/>
        <v>250.7806929924491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0</v>
      </c>
      <c r="DG136" s="23">
        <f>EXP(-LN(2)/25)*DG135+(1-EXP(-LN(2)/25))/(LN(2)/25)*Calculateur!DB136*Calculateur!DD136*VLOOKUP('Données projet'!$B$13,Paramètres!$A$1:$I$89,3,0)*0.475*44/12</f>
        <v>0</v>
      </c>
      <c r="DH136" s="23">
        <f>EXP(-LN(2)/2)*DH135+(1-EXP(-LN(2)/2))/(LN(2)/2)*DB136*DE136*VLOOKUP('Données projet'!$B$13,Paramètres!$A$1:$I$89,3,0)*0.475*44/12</f>
        <v>2.9765966056709594E-15</v>
      </c>
      <c r="DI136" s="24">
        <f t="shared" si="123"/>
        <v>2.9765966056709594E-15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-1.1368683772161603E-13</v>
      </c>
      <c r="DP136" s="18">
        <f>DO136*VLOOKUP('Données projet'!$B$14,Paramètres!$A$1:$I$89,3,0)*VLOOKUP('Données projet'!$B$14,Paramètres!$A$1:$I$89,5,0)</f>
        <v>-5.3205440053716299E-14</v>
      </c>
      <c r="DQ136" s="14" t="e">
        <f t="shared" si="151"/>
        <v>#NUM!</v>
      </c>
      <c r="DR136" s="22" t="e">
        <f t="shared" si="124"/>
        <v>#NUM!</v>
      </c>
      <c r="DS136" s="62" t="e">
        <f t="shared" si="125"/>
        <v>#NUM!</v>
      </c>
      <c r="DT136" s="62">
        <f ca="1">AVERAGE(OFFSET($DS$3,0,0,'Données projet'!$E$14+1,1))-AVERAGE(OFFSET($H$3,0,0,'Données projet'!$E$14+1,1))</f>
        <v>429.87867712133851</v>
      </c>
      <c r="DU136" s="62">
        <f t="shared" si="152"/>
        <v>182.81277865988014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0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0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1.1368683772161603E-13</v>
      </c>
      <c r="EK136" s="18">
        <f>EJ136*VLOOKUP('Données projet'!$B$15,Paramètres!$A$1:$I$89,3,0)*VLOOKUP('Données projet'!$B$15,Paramètres!$A$1:$I$89,5,0)</f>
        <v>7.626113074366004E-14</v>
      </c>
      <c r="EL136" s="14">
        <f t="shared" si="153"/>
        <v>1.1823749172251317E-12</v>
      </c>
      <c r="EM136" s="22">
        <f t="shared" si="127"/>
        <v>2.1921244502123119E-12</v>
      </c>
      <c r="EN136" s="62">
        <f t="shared" si="128"/>
        <v>284.39223168033561</v>
      </c>
      <c r="EO136" s="62">
        <f ca="1">AVERAGE(OFFSET($EN$3,0,0,'Données projet'!$E$15+1,1))-AVERAGE(OFFSET($H$3,0,0,'Données projet'!$E$15+1,1))</f>
        <v>296.18088377871669</v>
      </c>
      <c r="EP136" s="62">
        <f t="shared" si="154"/>
        <v>252.23833925792056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0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0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1.1368683772161603E-13</v>
      </c>
      <c r="FF136" s="18">
        <f>FE136*VLOOKUP('Données projet'!$B$16,Paramètres!$A$1:$I$89,3,0)*VLOOKUP('Données projet'!$B$16,Paramètres!$A$1:$I$89,5,0)</f>
        <v>9.7543306765146564E-14</v>
      </c>
      <c r="FG136" s="14">
        <f t="shared" si="155"/>
        <v>1.4696264278629426E-12</v>
      </c>
      <c r="FH136" s="22">
        <f t="shared" si="130"/>
        <v>2.7294872878105889E-12</v>
      </c>
      <c r="FI136" s="62">
        <f t="shared" si="131"/>
        <v>284.39223168033612</v>
      </c>
      <c r="FJ136" s="62">
        <f ca="1">AVERAGE(OFFSET($FI$3,0,0,'Données projet'!$E$16+1,1))-AVERAGE(OFFSET($H$3,0,0,'Données projet'!$E$16+1,1))</f>
        <v>359.20464555327072</v>
      </c>
      <c r="FK136" s="62">
        <f t="shared" si="156"/>
        <v>305.54154052071863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0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0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2.7</v>
      </c>
      <c r="N137" s="14">
        <f>IF('Données projet'!$A$36&gt;35,N136+M137-V136,IF(A137&lt;'Données projet'!$A$36,$K$205^A137,IF(A137='Données projet'!$A$36,'Données projet'!$B$36,N136+M137-V136)))</f>
        <v>279.79999999999933</v>
      </c>
      <c r="O137" s="14">
        <f>N137*VLOOKUP('Données projet'!$B$9,Paramètres!$A$1:$I$89,3,0)*VLOOKUP('Données projet'!$B$9,Paramètres!$A$1:$I$89,5,0)</f>
        <v>283.71719999999937</v>
      </c>
      <c r="P137" s="14">
        <f t="shared" si="141"/>
        <v>67.751956122170526</v>
      </c>
      <c r="Q137" s="22">
        <f t="shared" si="108"/>
        <v>612.14211357944589</v>
      </c>
      <c r="R137" s="62">
        <f t="shared" si="109"/>
        <v>896.68945338415017</v>
      </c>
      <c r="S137" s="62">
        <f ca="1">AVERAGE(OFFSET($R$3,0,0,'Données projet'!$E$9+1,1))-AVERAGE(OFFSET($H$3,0,0,'Données projet'!$E$9+1,1))</f>
        <v>516.30971934066179</v>
      </c>
      <c r="T137" s="62">
        <f t="shared" si="142"/>
        <v>290.84286505723571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2.7</v>
      </c>
      <c r="AI137" s="14">
        <f>IF('Données projet'!$A$62&gt;35,AI136+AH137-AQ136,IF(A137&lt;'Données projet'!$A$62,$AF$205^A137,IF(A137='Données projet'!$A$62,'Données projet'!$B$62,AI136+AH137-AQ136)))</f>
        <v>279.79999999999933</v>
      </c>
      <c r="AJ137" s="14">
        <f>AI137*VLOOKUP('Données projet'!$B$10,Paramètres!$A$1:$I$89,3,0)*VLOOKUP('Données projet'!$B$10,Paramètres!$A$1:$I$89,5,0)</f>
        <v>301.17671999999925</v>
      </c>
      <c r="AK137" s="14">
        <f t="shared" si="143"/>
        <v>71.423092953709514</v>
      </c>
      <c r="AL137" s="22">
        <f t="shared" si="112"/>
        <v>648.94467422770936</v>
      </c>
      <c r="AM137" s="62">
        <f t="shared" si="113"/>
        <v>933.49201403241364</v>
      </c>
      <c r="AN137" s="62">
        <f ca="1">AVERAGE(OFFSET($AM$3,0,0,'Données projet'!$E$10+1,1))-AVERAGE(OFFSET($H$3,0,0,'Données projet'!$E$10+1,1))</f>
        <v>542.90832990875208</v>
      </c>
      <c r="AO137" s="62">
        <f t="shared" si="144"/>
        <v>304.94365539329362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2.7</v>
      </c>
      <c r="BD137" s="13">
        <f>IF('Données projet'!$A$88&gt;35,BD136+BC137-BL136,IF(A137&lt;'Données projet'!$A$88,$BA$205^A137,IF(A137='Données projet'!$A$88,'Données projet'!$B$88,BD136+BC137-BL136)))</f>
        <v>279.79999999999933</v>
      </c>
      <c r="BE137" s="14">
        <f>BD137*VLOOKUP('Données projet'!$B$11,Paramètres!$A$1:$I$89,3,0)*VLOOKUP('Données projet'!$B$11,Paramètres!$A$1:$I$89,5,0)</f>
        <v>270.62255999999934</v>
      </c>
      <c r="BF137" s="14">
        <f t="shared" si="145"/>
        <v>64.981374516987898</v>
      </c>
      <c r="BG137" s="22">
        <f t="shared" si="115"/>
        <v>584.51018595041944</v>
      </c>
      <c r="BH137" s="62">
        <f t="shared" si="116"/>
        <v>869.05752575512372</v>
      </c>
      <c r="BI137" s="62">
        <f ca="1">AVERAGE(OFFSET($BH$3,0,0,'Données projet'!$E$11+1,1))-AVERAGE(OFFSET($H$3,0,0,'Données projet'!$E$11+1,1))</f>
        <v>496.33873798282525</v>
      </c>
      <c r="BJ137" s="62">
        <f t="shared" si="146"/>
        <v>280.25465074992246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1.7053025658242404E-13</v>
      </c>
      <c r="BZ137" s="14">
        <f>BY137*VLOOKUP('Données projet'!$B$12,Paramètres!$A$1:$I$89,3,0)*VLOOKUP('Données projet'!$B$12,Paramètres!$A$1:$I$89,5,0)</f>
        <v>1.4897523215040567E-13</v>
      </c>
      <c r="CA137" s="14">
        <f t="shared" si="147"/>
        <v>2.136562777003313E-12</v>
      </c>
      <c r="CB137" s="22">
        <f t="shared" si="118"/>
        <v>3.9806453659427267E-12</v>
      </c>
      <c r="CC137" s="62">
        <f t="shared" si="119"/>
        <v>284.54733980470826</v>
      </c>
      <c r="CD137" s="62">
        <f ca="1">AVERAGE(OFFSET($CC$3,0,0,'Données projet'!$E$12+1,1))-AVERAGE(OFFSET($H$3,0,0,'Données projet'!$E$12+1,1))</f>
        <v>298.28891728374822</v>
      </c>
      <c r="CE137" s="62">
        <f t="shared" si="148"/>
        <v>275.07405533331371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1.1368683772161603E-13</v>
      </c>
      <c r="CU137" s="18">
        <f>CT137*VLOOKUP('Données projet'!$B$13,Paramètres!$A$1:$I$89,3,0)*VLOOKUP('Données projet'!$B$13,Paramètres!$A$1:$I$89,5,0)</f>
        <v>6.7984728957526396E-14</v>
      </c>
      <c r="CV137" s="14">
        <f t="shared" si="149"/>
        <v>1.0682447123141398E-12</v>
      </c>
      <c r="CW137" s="22">
        <f t="shared" si="121"/>
        <v>1.978932943548152E-12</v>
      </c>
      <c r="CX137" s="62">
        <f t="shared" si="122"/>
        <v>284.54733980470627</v>
      </c>
      <c r="CY137" s="62">
        <f ca="1">AVERAGE(OFFSET($CX$3,0,0,'Données projet'!$E$13+1,1))-AVERAGE(OFFSET($H$3,0,0,'Données projet'!$E$13+1,1))</f>
        <v>320.46614113586043</v>
      </c>
      <c r="CZ137" s="62">
        <f t="shared" si="150"/>
        <v>250.7806929924491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0</v>
      </c>
      <c r="DG137" s="23">
        <f>EXP(-LN(2)/25)*DG136+(1-EXP(-LN(2)/25))/(LN(2)/25)*Calculateur!DB137*Calculateur!DD137*VLOOKUP('Données projet'!$B$13,Paramètres!$A$1:$I$89,3,0)*0.475*44/12</f>
        <v>0</v>
      </c>
      <c r="DH137" s="23">
        <f>EXP(-LN(2)/2)*DH136+(1-EXP(-LN(2)/2))/(LN(2)/2)*DB137*DE137*VLOOKUP('Données projet'!$B$13,Paramètres!$A$1:$I$89,3,0)*0.475*44/12</f>
        <v>2.1047716447267952E-15</v>
      </c>
      <c r="DI137" s="24">
        <f t="shared" si="123"/>
        <v>2.1047716447267952E-15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-1.1368683772161603E-13</v>
      </c>
      <c r="DP137" s="18">
        <f>DO137*VLOOKUP('Données projet'!$B$14,Paramètres!$A$1:$I$89,3,0)*VLOOKUP('Données projet'!$B$14,Paramètres!$A$1:$I$89,5,0)</f>
        <v>-5.3205440053716299E-14</v>
      </c>
      <c r="DQ137" s="14" t="e">
        <f t="shared" si="151"/>
        <v>#NUM!</v>
      </c>
      <c r="DR137" s="22" t="e">
        <f t="shared" si="124"/>
        <v>#NUM!</v>
      </c>
      <c r="DS137" s="62" t="e">
        <f t="shared" si="125"/>
        <v>#NUM!</v>
      </c>
      <c r="DT137" s="62">
        <f ca="1">AVERAGE(OFFSET($DS$3,0,0,'Données projet'!$E$14+1,1))-AVERAGE(OFFSET($H$3,0,0,'Données projet'!$E$14+1,1))</f>
        <v>429.87867712133851</v>
      </c>
      <c r="DU137" s="62">
        <f t="shared" si="152"/>
        <v>182.81277865988014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0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0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1.1368683772161603E-13</v>
      </c>
      <c r="EK137" s="18">
        <f>EJ137*VLOOKUP('Données projet'!$B$15,Paramètres!$A$1:$I$89,3,0)*VLOOKUP('Données projet'!$B$15,Paramètres!$A$1:$I$89,5,0)</f>
        <v>7.626113074366004E-14</v>
      </c>
      <c r="EL137" s="14">
        <f t="shared" si="153"/>
        <v>1.1823749172251317E-12</v>
      </c>
      <c r="EM137" s="22">
        <f t="shared" si="127"/>
        <v>2.1921244502123119E-12</v>
      </c>
      <c r="EN137" s="62">
        <f t="shared" si="128"/>
        <v>284.5473398047065</v>
      </c>
      <c r="EO137" s="62">
        <f ca="1">AVERAGE(OFFSET($EN$3,0,0,'Données projet'!$E$15+1,1))-AVERAGE(OFFSET($H$3,0,0,'Données projet'!$E$15+1,1))</f>
        <v>296.18088377871669</v>
      </c>
      <c r="EP137" s="62">
        <f t="shared" si="154"/>
        <v>252.23833925792056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0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0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1.1368683772161603E-13</v>
      </c>
      <c r="FF137" s="18">
        <f>FE137*VLOOKUP('Données projet'!$B$16,Paramètres!$A$1:$I$89,3,0)*VLOOKUP('Données projet'!$B$16,Paramètres!$A$1:$I$89,5,0)</f>
        <v>9.7543306765146564E-14</v>
      </c>
      <c r="FG137" s="14">
        <f t="shared" si="155"/>
        <v>1.4696264278629426E-12</v>
      </c>
      <c r="FH137" s="22">
        <f t="shared" si="130"/>
        <v>2.7294872878105889E-12</v>
      </c>
      <c r="FI137" s="62">
        <f t="shared" si="131"/>
        <v>284.54733980470701</v>
      </c>
      <c r="FJ137" s="62">
        <f ca="1">AVERAGE(OFFSET($FI$3,0,0,'Données projet'!$E$16+1,1))-AVERAGE(OFFSET($H$3,0,0,'Données projet'!$E$16+1,1))</f>
        <v>359.20464555327072</v>
      </c>
      <c r="FK137" s="62">
        <f t="shared" si="156"/>
        <v>305.54154052071863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0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0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2.7</v>
      </c>
      <c r="N138" s="14">
        <f>IF('Données projet'!$A$36&gt;35,N137+M138-V137,IF(A138&lt;'Données projet'!$A$36,$K$205^A138,IF(A138='Données projet'!$A$36,'Données projet'!$B$36,N137+M138-V137)))</f>
        <v>282.49999999999932</v>
      </c>
      <c r="O138" s="14">
        <f>N138*VLOOKUP('Données projet'!$B$9,Paramètres!$A$1:$I$89,3,0)*VLOOKUP('Données projet'!$B$9,Paramètres!$A$1:$I$89,5,0)</f>
        <v>286.45499999999936</v>
      </c>
      <c r="P138" s="14">
        <f t="shared" si="141"/>
        <v>68.329321179865531</v>
      </c>
      <c r="Q138" s="22">
        <f t="shared" si="108"/>
        <v>617.91602605493142</v>
      </c>
      <c r="R138" s="62">
        <f t="shared" si="109"/>
        <v>902.61578320481863</v>
      </c>
      <c r="S138" s="62">
        <f ca="1">AVERAGE(OFFSET($R$3,0,0,'Données projet'!$E$9+1,1))-AVERAGE(OFFSET($H$3,0,0,'Données projet'!$E$9+1,1))</f>
        <v>516.30971934066179</v>
      </c>
      <c r="T138" s="62">
        <f t="shared" si="142"/>
        <v>290.84286505723571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2.7</v>
      </c>
      <c r="AI138" s="14">
        <f>IF('Données projet'!$A$62&gt;35,AI137+AH138-AQ137,IF(A138&lt;'Données projet'!$A$62,$AF$205^A138,IF(A138='Données projet'!$A$62,'Données projet'!$B$62,AI137+AH138-AQ137)))</f>
        <v>282.49999999999932</v>
      </c>
      <c r="AJ138" s="14">
        <f>AI138*VLOOKUP('Données projet'!$B$10,Paramètres!$A$1:$I$89,3,0)*VLOOKUP('Données projet'!$B$10,Paramètres!$A$1:$I$89,5,0)</f>
        <v>304.08299999999929</v>
      </c>
      <c r="AK138" s="14">
        <f t="shared" si="143"/>
        <v>72.031742512249494</v>
      </c>
      <c r="AL138" s="22">
        <f t="shared" si="112"/>
        <v>655.06650987549995</v>
      </c>
      <c r="AM138" s="62">
        <f t="shared" si="113"/>
        <v>939.76626702538715</v>
      </c>
      <c r="AN138" s="62">
        <f ca="1">AVERAGE(OFFSET($AM$3,0,0,'Données projet'!$E$10+1,1))-AVERAGE(OFFSET($H$3,0,0,'Données projet'!$E$10+1,1))</f>
        <v>542.90832990875208</v>
      </c>
      <c r="AO138" s="62">
        <f t="shared" si="144"/>
        <v>304.94365539329362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2.7</v>
      </c>
      <c r="BD138" s="13">
        <f>IF('Données projet'!$A$88&gt;35,BD137+BC138-BL137,IF(A138&lt;'Données projet'!$A$88,$BA$205^A138,IF(A138='Données projet'!$A$88,'Données projet'!$B$88,BD137+BC138-BL137)))</f>
        <v>282.49999999999932</v>
      </c>
      <c r="BE138" s="14">
        <f>BD138*VLOOKUP('Données projet'!$B$11,Paramètres!$A$1:$I$89,3,0)*VLOOKUP('Données projet'!$B$11,Paramètres!$A$1:$I$89,5,0)</f>
        <v>273.23399999999936</v>
      </c>
      <c r="BF138" s="14">
        <f t="shared" si="145"/>
        <v>65.535129378020301</v>
      </c>
      <c r="BG138" s="22">
        <f t="shared" si="115"/>
        <v>590.0229003333842</v>
      </c>
      <c r="BH138" s="62">
        <f t="shared" si="116"/>
        <v>874.7226574832714</v>
      </c>
      <c r="BI138" s="62">
        <f ca="1">AVERAGE(OFFSET($BH$3,0,0,'Données projet'!$E$11+1,1))-AVERAGE(OFFSET($H$3,0,0,'Données projet'!$E$11+1,1))</f>
        <v>496.33873798282525</v>
      </c>
      <c r="BJ138" s="62">
        <f t="shared" si="146"/>
        <v>280.25465074992246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1.7053025658242404E-13</v>
      </c>
      <c r="BZ138" s="14">
        <f>BY138*VLOOKUP('Données projet'!$B$12,Paramètres!$A$1:$I$89,3,0)*VLOOKUP('Données projet'!$B$12,Paramètres!$A$1:$I$89,5,0)</f>
        <v>1.4897523215040567E-13</v>
      </c>
      <c r="CA138" s="14">
        <f t="shared" si="147"/>
        <v>2.136562777003313E-12</v>
      </c>
      <c r="CB138" s="22">
        <f t="shared" si="118"/>
        <v>3.9806453659427267E-12</v>
      </c>
      <c r="CC138" s="62">
        <f t="shared" si="119"/>
        <v>284.69975714989113</v>
      </c>
      <c r="CD138" s="62">
        <f ca="1">AVERAGE(OFFSET($CC$3,0,0,'Données projet'!$E$12+1,1))-AVERAGE(OFFSET($H$3,0,0,'Données projet'!$E$12+1,1))</f>
        <v>298.28891728374822</v>
      </c>
      <c r="CE138" s="62">
        <f t="shared" si="148"/>
        <v>275.07405533331371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1.1368683772161603E-13</v>
      </c>
      <c r="CU138" s="18">
        <f>CT138*VLOOKUP('Données projet'!$B$13,Paramètres!$A$1:$I$89,3,0)*VLOOKUP('Données projet'!$B$13,Paramètres!$A$1:$I$89,5,0)</f>
        <v>6.7984728957526396E-14</v>
      </c>
      <c r="CV138" s="14">
        <f t="shared" si="149"/>
        <v>1.0682447123141398E-12</v>
      </c>
      <c r="CW138" s="22">
        <f t="shared" si="121"/>
        <v>1.978932943548152E-12</v>
      </c>
      <c r="CX138" s="62">
        <f t="shared" si="122"/>
        <v>284.69975714988914</v>
      </c>
      <c r="CY138" s="62">
        <f ca="1">AVERAGE(OFFSET($CX$3,0,0,'Données projet'!$E$13+1,1))-AVERAGE(OFFSET($H$3,0,0,'Données projet'!$E$13+1,1))</f>
        <v>320.46614113586043</v>
      </c>
      <c r="CZ138" s="62">
        <f t="shared" si="150"/>
        <v>250.7806929924491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0</v>
      </c>
      <c r="DG138" s="23">
        <f>EXP(-LN(2)/25)*DG137+(1-EXP(-LN(2)/25))/(LN(2)/25)*Calculateur!DB138*Calculateur!DD138*VLOOKUP('Données projet'!$B$13,Paramètres!$A$1:$I$89,3,0)*0.475*44/12</f>
        <v>0</v>
      </c>
      <c r="DH138" s="23">
        <f>EXP(-LN(2)/2)*DH137+(1-EXP(-LN(2)/2))/(LN(2)/2)*DB138*DE138*VLOOKUP('Données projet'!$B$13,Paramètres!$A$1:$I$89,3,0)*0.475*44/12</f>
        <v>1.4882983028354797E-15</v>
      </c>
      <c r="DI138" s="24">
        <f t="shared" si="123"/>
        <v>1.4882983028354797E-15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-1.1368683772161603E-13</v>
      </c>
      <c r="DP138" s="18">
        <f>DO138*VLOOKUP('Données projet'!$B$14,Paramètres!$A$1:$I$89,3,0)*VLOOKUP('Données projet'!$B$14,Paramètres!$A$1:$I$89,5,0)</f>
        <v>-5.3205440053716299E-14</v>
      </c>
      <c r="DQ138" s="14" t="e">
        <f t="shared" si="151"/>
        <v>#NUM!</v>
      </c>
      <c r="DR138" s="22" t="e">
        <f t="shared" si="124"/>
        <v>#NUM!</v>
      </c>
      <c r="DS138" s="62" t="e">
        <f t="shared" si="125"/>
        <v>#NUM!</v>
      </c>
      <c r="DT138" s="62">
        <f ca="1">AVERAGE(OFFSET($DS$3,0,0,'Données projet'!$E$14+1,1))-AVERAGE(OFFSET($H$3,0,0,'Données projet'!$E$14+1,1))</f>
        <v>429.87867712133851</v>
      </c>
      <c r="DU138" s="62">
        <f t="shared" si="152"/>
        <v>182.81277865988014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0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0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1.1368683772161603E-13</v>
      </c>
      <c r="EK138" s="18">
        <f>EJ138*VLOOKUP('Données projet'!$B$15,Paramètres!$A$1:$I$89,3,0)*VLOOKUP('Données projet'!$B$15,Paramètres!$A$1:$I$89,5,0)</f>
        <v>7.626113074366004E-14</v>
      </c>
      <c r="EL138" s="14">
        <f t="shared" si="153"/>
        <v>1.1823749172251317E-12</v>
      </c>
      <c r="EM138" s="22">
        <f t="shared" si="127"/>
        <v>2.1921244502123119E-12</v>
      </c>
      <c r="EN138" s="62">
        <f t="shared" si="128"/>
        <v>284.69975714988936</v>
      </c>
      <c r="EO138" s="62">
        <f ca="1">AVERAGE(OFFSET($EN$3,0,0,'Données projet'!$E$15+1,1))-AVERAGE(OFFSET($H$3,0,0,'Données projet'!$E$15+1,1))</f>
        <v>296.18088377871669</v>
      </c>
      <c r="EP138" s="62">
        <f t="shared" si="154"/>
        <v>252.23833925792056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0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0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1.1368683772161603E-13</v>
      </c>
      <c r="FF138" s="18">
        <f>FE138*VLOOKUP('Données projet'!$B$16,Paramètres!$A$1:$I$89,3,0)*VLOOKUP('Données projet'!$B$16,Paramètres!$A$1:$I$89,5,0)</f>
        <v>9.7543306765146564E-14</v>
      </c>
      <c r="FG138" s="14">
        <f t="shared" si="155"/>
        <v>1.4696264278629426E-12</v>
      </c>
      <c r="FH138" s="22">
        <f t="shared" si="130"/>
        <v>2.7294872878105889E-12</v>
      </c>
      <c r="FI138" s="62">
        <f t="shared" si="131"/>
        <v>284.69975714988988</v>
      </c>
      <c r="FJ138" s="62">
        <f ca="1">AVERAGE(OFFSET($FI$3,0,0,'Données projet'!$E$16+1,1))-AVERAGE(OFFSET($H$3,0,0,'Données projet'!$E$16+1,1))</f>
        <v>359.20464555327072</v>
      </c>
      <c r="FK138" s="62">
        <f t="shared" si="156"/>
        <v>305.54154052071863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0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0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2.7</v>
      </c>
      <c r="N139" s="14">
        <f>IF('Données projet'!$A$36&gt;35,N138+M139-V138,IF(A139&lt;'Données projet'!$A$36,$K$205^A139,IF(A139='Données projet'!$A$36,'Données projet'!$B$36,N138+M139-V138)))</f>
        <v>285.19999999999931</v>
      </c>
      <c r="O139" s="14">
        <f>N139*VLOOKUP('Données projet'!$B$9,Paramètres!$A$1:$I$89,3,0)*VLOOKUP('Données projet'!$B$9,Paramètres!$A$1:$I$89,5,0)</f>
        <v>289.19279999999935</v>
      </c>
      <c r="P139" s="14">
        <f t="shared" si="141"/>
        <v>68.906044268306161</v>
      </c>
      <c r="Q139" s="22">
        <f t="shared" si="108"/>
        <v>623.68882043396547</v>
      </c>
      <c r="R139" s="62">
        <f t="shared" si="109"/>
        <v>908.53835082885075</v>
      </c>
      <c r="S139" s="62">
        <f ca="1">AVERAGE(OFFSET($R$3,0,0,'Données projet'!$E$9+1,1))-AVERAGE(OFFSET($H$3,0,0,'Données projet'!$E$9+1,1))</f>
        <v>516.30971934066179</v>
      </c>
      <c r="T139" s="62">
        <f t="shared" si="142"/>
        <v>290.84286505723571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2.7</v>
      </c>
      <c r="AI139" s="14">
        <f>IF('Données projet'!$A$62&gt;35,AI138+AH139-AQ138,IF(A139&lt;'Données projet'!$A$62,$AF$205^A139,IF(A139='Données projet'!$A$62,'Données projet'!$B$62,AI138+AH139-AQ138)))</f>
        <v>285.19999999999931</v>
      </c>
      <c r="AJ139" s="14">
        <f>AI139*VLOOKUP('Données projet'!$B$10,Paramètres!$A$1:$I$89,3,0)*VLOOKUP('Données projet'!$B$10,Paramètres!$A$1:$I$89,5,0)</f>
        <v>306.98927999999921</v>
      </c>
      <c r="AK139" s="14">
        <f t="shared" si="143"/>
        <v>72.639715316458506</v>
      </c>
      <c r="AL139" s="22">
        <f t="shared" si="112"/>
        <v>661.18716684283038</v>
      </c>
      <c r="AM139" s="62">
        <f t="shared" si="113"/>
        <v>946.03669723771554</v>
      </c>
      <c r="AN139" s="62">
        <f ca="1">AVERAGE(OFFSET($AM$3,0,0,'Données projet'!$E$10+1,1))-AVERAGE(OFFSET($H$3,0,0,'Données projet'!$E$10+1,1))</f>
        <v>542.90832990875208</v>
      </c>
      <c r="AO139" s="62">
        <f t="shared" si="144"/>
        <v>304.94365539329362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2.7</v>
      </c>
      <c r="BD139" s="13">
        <f>IF('Données projet'!$A$88&gt;35,BD138+BC139-BL138,IF(A139&lt;'Données projet'!$A$88,$BA$205^A139,IF(A139='Données projet'!$A$88,'Données projet'!$B$88,BD138+BC139-BL138)))</f>
        <v>285.19999999999931</v>
      </c>
      <c r="BE139" s="14">
        <f>BD139*VLOOKUP('Données projet'!$B$11,Paramètres!$A$1:$I$89,3,0)*VLOOKUP('Données projet'!$B$11,Paramètres!$A$1:$I$89,5,0)</f>
        <v>275.84543999999931</v>
      </c>
      <c r="BF139" s="14">
        <f t="shared" si="145"/>
        <v>66.088268521855113</v>
      </c>
      <c r="BG139" s="22">
        <f t="shared" si="115"/>
        <v>595.53454234222977</v>
      </c>
      <c r="BH139" s="62">
        <f t="shared" si="116"/>
        <v>880.38407273711505</v>
      </c>
      <c r="BI139" s="62">
        <f ca="1">AVERAGE(OFFSET($BH$3,0,0,'Données projet'!$E$11+1,1))-AVERAGE(OFFSET($H$3,0,0,'Données projet'!$E$11+1,1))</f>
        <v>496.33873798282525</v>
      </c>
      <c r="BJ139" s="62">
        <f t="shared" si="146"/>
        <v>280.25465074992246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1.7053025658242404E-13</v>
      </c>
      <c r="BZ139" s="14">
        <f>BY139*VLOOKUP('Données projet'!$B$12,Paramètres!$A$1:$I$89,3,0)*VLOOKUP('Données projet'!$B$12,Paramètres!$A$1:$I$89,5,0)</f>
        <v>1.4897523215040567E-13</v>
      </c>
      <c r="CA139" s="14">
        <f t="shared" si="147"/>
        <v>2.136562777003313E-12</v>
      </c>
      <c r="CB139" s="22">
        <f t="shared" si="118"/>
        <v>3.9806453659427267E-12</v>
      </c>
      <c r="CC139" s="62">
        <f t="shared" si="119"/>
        <v>284.8495303948892</v>
      </c>
      <c r="CD139" s="62">
        <f ca="1">AVERAGE(OFFSET($CC$3,0,0,'Données projet'!$E$12+1,1))-AVERAGE(OFFSET($H$3,0,0,'Données projet'!$E$12+1,1))</f>
        <v>298.28891728374822</v>
      </c>
      <c r="CE139" s="62">
        <f t="shared" si="148"/>
        <v>275.07405533331371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1.1368683772161603E-13</v>
      </c>
      <c r="CU139" s="18">
        <f>CT139*VLOOKUP('Données projet'!$B$13,Paramètres!$A$1:$I$89,3,0)*VLOOKUP('Données projet'!$B$13,Paramètres!$A$1:$I$89,5,0)</f>
        <v>6.7984728957526396E-14</v>
      </c>
      <c r="CV139" s="14">
        <f t="shared" si="149"/>
        <v>1.0682447123141398E-12</v>
      </c>
      <c r="CW139" s="22">
        <f t="shared" si="121"/>
        <v>1.978932943548152E-12</v>
      </c>
      <c r="CX139" s="62">
        <f t="shared" si="122"/>
        <v>284.84953039488721</v>
      </c>
      <c r="CY139" s="62">
        <f ca="1">AVERAGE(OFFSET($CX$3,0,0,'Données projet'!$E$13+1,1))-AVERAGE(OFFSET($H$3,0,0,'Données projet'!$E$13+1,1))</f>
        <v>320.46614113586043</v>
      </c>
      <c r="CZ139" s="62">
        <f t="shared" si="150"/>
        <v>250.7806929924491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0</v>
      </c>
      <c r="DG139" s="23">
        <f>EXP(-LN(2)/25)*DG138+(1-EXP(-LN(2)/25))/(LN(2)/25)*Calculateur!DB139*Calculateur!DD139*VLOOKUP('Données projet'!$B$13,Paramètres!$A$1:$I$89,3,0)*0.475*44/12</f>
        <v>0</v>
      </c>
      <c r="DH139" s="23">
        <f>EXP(-LN(2)/2)*DH138+(1-EXP(-LN(2)/2))/(LN(2)/2)*DB139*DE139*VLOOKUP('Données projet'!$B$13,Paramètres!$A$1:$I$89,3,0)*0.475*44/12</f>
        <v>1.0523858223633976E-15</v>
      </c>
      <c r="DI139" s="24">
        <f t="shared" si="123"/>
        <v>1.0523858223633976E-15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-1.1368683772161603E-13</v>
      </c>
      <c r="DP139" s="18">
        <f>DO139*VLOOKUP('Données projet'!$B$14,Paramètres!$A$1:$I$89,3,0)*VLOOKUP('Données projet'!$B$14,Paramètres!$A$1:$I$89,5,0)</f>
        <v>-5.3205440053716299E-14</v>
      </c>
      <c r="DQ139" s="14" t="e">
        <f t="shared" si="151"/>
        <v>#NUM!</v>
      </c>
      <c r="DR139" s="22" t="e">
        <f t="shared" si="124"/>
        <v>#NUM!</v>
      </c>
      <c r="DS139" s="62" t="e">
        <f t="shared" si="125"/>
        <v>#NUM!</v>
      </c>
      <c r="DT139" s="62">
        <f ca="1">AVERAGE(OFFSET($DS$3,0,0,'Données projet'!$E$14+1,1))-AVERAGE(OFFSET($H$3,0,0,'Données projet'!$E$14+1,1))</f>
        <v>429.87867712133851</v>
      </c>
      <c r="DU139" s="62">
        <f t="shared" si="152"/>
        <v>182.81277865988014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0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0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1.1368683772161603E-13</v>
      </c>
      <c r="EK139" s="18">
        <f>EJ139*VLOOKUP('Données projet'!$B$15,Paramètres!$A$1:$I$89,3,0)*VLOOKUP('Données projet'!$B$15,Paramètres!$A$1:$I$89,5,0)</f>
        <v>7.626113074366004E-14</v>
      </c>
      <c r="EL139" s="14">
        <f t="shared" si="153"/>
        <v>1.1823749172251317E-12</v>
      </c>
      <c r="EM139" s="22">
        <f t="shared" si="127"/>
        <v>2.1921244502123119E-12</v>
      </c>
      <c r="EN139" s="62">
        <f t="shared" si="128"/>
        <v>284.84953039488744</v>
      </c>
      <c r="EO139" s="62">
        <f ca="1">AVERAGE(OFFSET($EN$3,0,0,'Données projet'!$E$15+1,1))-AVERAGE(OFFSET($H$3,0,0,'Données projet'!$E$15+1,1))</f>
        <v>296.18088377871669</v>
      </c>
      <c r="EP139" s="62">
        <f t="shared" si="154"/>
        <v>252.23833925792056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0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0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1.1368683772161603E-13</v>
      </c>
      <c r="FF139" s="18">
        <f>FE139*VLOOKUP('Données projet'!$B$16,Paramètres!$A$1:$I$89,3,0)*VLOOKUP('Données projet'!$B$16,Paramètres!$A$1:$I$89,5,0)</f>
        <v>9.7543306765146564E-14</v>
      </c>
      <c r="FG139" s="14">
        <f t="shared" si="155"/>
        <v>1.4696264278629426E-12</v>
      </c>
      <c r="FH139" s="22">
        <f t="shared" si="130"/>
        <v>2.7294872878105889E-12</v>
      </c>
      <c r="FI139" s="62">
        <f t="shared" si="131"/>
        <v>284.84953039488795</v>
      </c>
      <c r="FJ139" s="62">
        <f ca="1">AVERAGE(OFFSET($FI$3,0,0,'Données projet'!$E$16+1,1))-AVERAGE(OFFSET($H$3,0,0,'Données projet'!$E$16+1,1))</f>
        <v>359.20464555327072</v>
      </c>
      <c r="FK139" s="62">
        <f t="shared" si="156"/>
        <v>305.54154052071863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0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0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2.7</v>
      </c>
      <c r="N140" s="14">
        <f>IF('Données projet'!$A$36&gt;35,N139+M140-V139,IF(A140&lt;'Données projet'!$A$36,$K$205^A140,IF(A140='Données projet'!$A$36,'Données projet'!$B$36,N139+M140-V139)))</f>
        <v>287.8999999999993</v>
      </c>
      <c r="O140" s="14">
        <f>N140*VLOOKUP('Données projet'!$B$9,Paramètres!$A$1:$I$89,3,0)*VLOOKUP('Données projet'!$B$9,Paramètres!$A$1:$I$89,5,0)</f>
        <v>291.93059999999929</v>
      </c>
      <c r="P140" s="14">
        <f t="shared" si="141"/>
        <v>69.482132168934584</v>
      </c>
      <c r="Q140" s="22">
        <f t="shared" si="108"/>
        <v>629.4605085275598</v>
      </c>
      <c r="R140" s="62">
        <f t="shared" si="109"/>
        <v>914.45721393648523</v>
      </c>
      <c r="S140" s="62">
        <f ca="1">AVERAGE(OFFSET($R$3,0,0,'Données projet'!$E$9+1,1))-AVERAGE(OFFSET($H$3,0,0,'Données projet'!$E$9+1,1))</f>
        <v>516.30971934066179</v>
      </c>
      <c r="T140" s="62">
        <f t="shared" si="142"/>
        <v>290.84286505723571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2.7</v>
      </c>
      <c r="AI140" s="14">
        <f>IF('Données projet'!$A$62&gt;35,AI139+AH140-AQ139,IF(A140&lt;'Données projet'!$A$62,$AF$205^A140,IF(A140='Données projet'!$A$62,'Données projet'!$B$62,AI139+AH140-AQ139)))</f>
        <v>287.8999999999993</v>
      </c>
      <c r="AJ140" s="14">
        <f>AI140*VLOOKUP('Données projet'!$B$10,Paramètres!$A$1:$I$89,3,0)*VLOOKUP('Données projet'!$B$10,Paramètres!$A$1:$I$89,5,0)</f>
        <v>309.89555999999925</v>
      </c>
      <c r="AK140" s="14">
        <f t="shared" si="143"/>
        <v>73.247018515231034</v>
      </c>
      <c r="AL140" s="22">
        <f t="shared" si="112"/>
        <v>667.30665758069279</v>
      </c>
      <c r="AM140" s="62">
        <f t="shared" si="113"/>
        <v>952.30336298961811</v>
      </c>
      <c r="AN140" s="62">
        <f ca="1">AVERAGE(OFFSET($AM$3,0,0,'Données projet'!$E$10+1,1))-AVERAGE(OFFSET($H$3,0,0,'Données projet'!$E$10+1,1))</f>
        <v>542.90832990875208</v>
      </c>
      <c r="AO140" s="62">
        <f t="shared" si="144"/>
        <v>304.94365539329362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2.7</v>
      </c>
      <c r="BD140" s="13">
        <f>IF('Données projet'!$A$88&gt;35,BD139+BC140-BL139,IF(A140&lt;'Données projet'!$A$88,$BA$205^A140,IF(A140='Données projet'!$A$88,'Données projet'!$B$88,BD139+BC140-BL139)))</f>
        <v>287.8999999999993</v>
      </c>
      <c r="BE140" s="14">
        <f>BD140*VLOOKUP('Données projet'!$B$11,Paramètres!$A$1:$I$89,3,0)*VLOOKUP('Données projet'!$B$11,Paramètres!$A$1:$I$89,5,0)</f>
        <v>278.45687999999933</v>
      </c>
      <c r="BF140" s="14">
        <f t="shared" si="145"/>
        <v>66.640798452620999</v>
      </c>
      <c r="BG140" s="22">
        <f t="shared" si="115"/>
        <v>601.04512330498039</v>
      </c>
      <c r="BH140" s="62">
        <f t="shared" si="116"/>
        <v>886.04182871390572</v>
      </c>
      <c r="BI140" s="62">
        <f ca="1">AVERAGE(OFFSET($BH$3,0,0,'Données projet'!$E$11+1,1))-AVERAGE(OFFSET($H$3,0,0,'Données projet'!$E$11+1,1))</f>
        <v>496.33873798282525</v>
      </c>
      <c r="BJ140" s="62">
        <f t="shared" si="146"/>
        <v>280.25465074992246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1.7053025658242404E-13</v>
      </c>
      <c r="BZ140" s="14">
        <f>BY140*VLOOKUP('Données projet'!$B$12,Paramètres!$A$1:$I$89,3,0)*VLOOKUP('Données projet'!$B$12,Paramètres!$A$1:$I$89,5,0)</f>
        <v>1.4897523215040567E-13</v>
      </c>
      <c r="CA140" s="14">
        <f t="shared" si="147"/>
        <v>2.136562777003313E-12</v>
      </c>
      <c r="CB140" s="22">
        <f t="shared" si="118"/>
        <v>3.9806453659427267E-12</v>
      </c>
      <c r="CC140" s="62">
        <f t="shared" si="119"/>
        <v>284.99670540892936</v>
      </c>
      <c r="CD140" s="62">
        <f ca="1">AVERAGE(OFFSET($CC$3,0,0,'Données projet'!$E$12+1,1))-AVERAGE(OFFSET($H$3,0,0,'Données projet'!$E$12+1,1))</f>
        <v>298.28891728374822</v>
      </c>
      <c r="CE140" s="62">
        <f t="shared" si="148"/>
        <v>275.07405533331371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1.1368683772161603E-13</v>
      </c>
      <c r="CU140" s="18">
        <f>CT140*VLOOKUP('Données projet'!$B$13,Paramètres!$A$1:$I$89,3,0)*VLOOKUP('Données projet'!$B$13,Paramètres!$A$1:$I$89,5,0)</f>
        <v>6.7984728957526396E-14</v>
      </c>
      <c r="CV140" s="14">
        <f t="shared" si="149"/>
        <v>1.0682447123141398E-12</v>
      </c>
      <c r="CW140" s="22">
        <f t="shared" si="121"/>
        <v>1.978932943548152E-12</v>
      </c>
      <c r="CX140" s="62">
        <f t="shared" si="122"/>
        <v>284.99670540892737</v>
      </c>
      <c r="CY140" s="62">
        <f ca="1">AVERAGE(OFFSET($CX$3,0,0,'Données projet'!$E$13+1,1))-AVERAGE(OFFSET($H$3,0,0,'Données projet'!$E$13+1,1))</f>
        <v>320.46614113586043</v>
      </c>
      <c r="CZ140" s="62">
        <f t="shared" si="150"/>
        <v>250.7806929924491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0</v>
      </c>
      <c r="DG140" s="23">
        <f>EXP(-LN(2)/25)*DG139+(1-EXP(-LN(2)/25))/(LN(2)/25)*Calculateur!DB140*Calculateur!DD140*VLOOKUP('Données projet'!$B$13,Paramètres!$A$1:$I$89,3,0)*0.475*44/12</f>
        <v>0</v>
      </c>
      <c r="DH140" s="23">
        <f>EXP(-LN(2)/2)*DH139+(1-EXP(-LN(2)/2))/(LN(2)/2)*DB140*DE140*VLOOKUP('Données projet'!$B$13,Paramètres!$A$1:$I$89,3,0)*0.475*44/12</f>
        <v>7.4414915141773986E-16</v>
      </c>
      <c r="DI140" s="24">
        <f t="shared" si="123"/>
        <v>7.4414915141773986E-16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-1.1368683772161603E-13</v>
      </c>
      <c r="DP140" s="18">
        <f>DO140*VLOOKUP('Données projet'!$B$14,Paramètres!$A$1:$I$89,3,0)*VLOOKUP('Données projet'!$B$14,Paramètres!$A$1:$I$89,5,0)</f>
        <v>-5.3205440053716299E-14</v>
      </c>
      <c r="DQ140" s="14" t="e">
        <f t="shared" si="151"/>
        <v>#NUM!</v>
      </c>
      <c r="DR140" s="22" t="e">
        <f t="shared" si="124"/>
        <v>#NUM!</v>
      </c>
      <c r="DS140" s="62" t="e">
        <f t="shared" si="125"/>
        <v>#NUM!</v>
      </c>
      <c r="DT140" s="62">
        <f ca="1">AVERAGE(OFFSET($DS$3,0,0,'Données projet'!$E$14+1,1))-AVERAGE(OFFSET($H$3,0,0,'Données projet'!$E$14+1,1))</f>
        <v>429.87867712133851</v>
      </c>
      <c r="DU140" s="62">
        <f t="shared" si="152"/>
        <v>182.81277865988014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0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0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1.1368683772161603E-13</v>
      </c>
      <c r="EK140" s="18">
        <f>EJ140*VLOOKUP('Données projet'!$B$15,Paramètres!$A$1:$I$89,3,0)*VLOOKUP('Données projet'!$B$15,Paramètres!$A$1:$I$89,5,0)</f>
        <v>7.626113074366004E-14</v>
      </c>
      <c r="EL140" s="14">
        <f t="shared" si="153"/>
        <v>1.1823749172251317E-12</v>
      </c>
      <c r="EM140" s="22">
        <f t="shared" si="127"/>
        <v>2.1921244502123119E-12</v>
      </c>
      <c r="EN140" s="62">
        <f t="shared" si="128"/>
        <v>284.9967054089276</v>
      </c>
      <c r="EO140" s="62">
        <f ca="1">AVERAGE(OFFSET($EN$3,0,0,'Données projet'!$E$15+1,1))-AVERAGE(OFFSET($H$3,0,0,'Données projet'!$E$15+1,1))</f>
        <v>296.18088377871669</v>
      </c>
      <c r="EP140" s="62">
        <f t="shared" si="154"/>
        <v>252.23833925792056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0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0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1.1368683772161603E-13</v>
      </c>
      <c r="FF140" s="18">
        <f>FE140*VLOOKUP('Données projet'!$B$16,Paramètres!$A$1:$I$89,3,0)*VLOOKUP('Données projet'!$B$16,Paramètres!$A$1:$I$89,5,0)</f>
        <v>9.7543306765146564E-14</v>
      </c>
      <c r="FG140" s="14">
        <f t="shared" si="155"/>
        <v>1.4696264278629426E-12</v>
      </c>
      <c r="FH140" s="22">
        <f t="shared" si="130"/>
        <v>2.7294872878105889E-12</v>
      </c>
      <c r="FI140" s="62">
        <f t="shared" si="131"/>
        <v>284.99670540892811</v>
      </c>
      <c r="FJ140" s="62">
        <f ca="1">AVERAGE(OFFSET($FI$3,0,0,'Données projet'!$E$16+1,1))-AVERAGE(OFFSET($H$3,0,0,'Données projet'!$E$16+1,1))</f>
        <v>359.20464555327072</v>
      </c>
      <c r="FK140" s="62">
        <f t="shared" si="156"/>
        <v>305.54154052071863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0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0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2.7</v>
      </c>
      <c r="N141" s="14">
        <f>IF('Données projet'!$A$36&gt;35,N140+M141-V140,IF(A141&lt;'Données projet'!$A$36,$K$205^A141,IF(A141='Données projet'!$A$36,'Données projet'!$B$36,N140+M141-V140)))</f>
        <v>290.59999999999928</v>
      </c>
      <c r="O141" s="14">
        <f>N141*VLOOKUP('Données projet'!$B$9,Paramètres!$A$1:$I$89,3,0)*VLOOKUP('Données projet'!$B$9,Paramètres!$A$1:$I$89,5,0)</f>
        <v>294.66839999999928</v>
      </c>
      <c r="P141" s="14">
        <f t="shared" si="141"/>
        <v>70.057591528661433</v>
      </c>
      <c r="Q141" s="22">
        <f t="shared" si="108"/>
        <v>635.23110191241733</v>
      </c>
      <c r="R141" s="62">
        <f t="shared" si="109"/>
        <v>920.37242917792332</v>
      </c>
      <c r="S141" s="62">
        <f ca="1">AVERAGE(OFFSET($R$3,0,0,'Données projet'!$E$9+1,1))-AVERAGE(OFFSET($H$3,0,0,'Données projet'!$E$9+1,1))</f>
        <v>516.30971934066179</v>
      </c>
      <c r="T141" s="62">
        <f t="shared" si="142"/>
        <v>290.84286505723571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2.7</v>
      </c>
      <c r="AI141" s="14">
        <f>IF('Données projet'!$A$62&gt;35,AI140+AH141-AQ140,IF(A141&lt;'Données projet'!$A$62,$AF$205^A141,IF(A141='Données projet'!$A$62,'Données projet'!$B$62,AI140+AH141-AQ140)))</f>
        <v>290.59999999999928</v>
      </c>
      <c r="AJ141" s="14">
        <f>AI141*VLOOKUP('Données projet'!$B$10,Paramètres!$A$1:$I$89,3,0)*VLOOKUP('Données projet'!$B$10,Paramètres!$A$1:$I$89,5,0)</f>
        <v>312.80183999999923</v>
      </c>
      <c r="AK141" s="14">
        <f t="shared" si="143"/>
        <v>73.853659115640255</v>
      </c>
      <c r="AL141" s="22">
        <f t="shared" si="112"/>
        <v>673.42499429307202</v>
      </c>
      <c r="AM141" s="62">
        <f t="shared" si="113"/>
        <v>958.56632155857801</v>
      </c>
      <c r="AN141" s="62">
        <f ca="1">AVERAGE(OFFSET($AM$3,0,0,'Données projet'!$E$10+1,1))-AVERAGE(OFFSET($H$3,0,0,'Données projet'!$E$10+1,1))</f>
        <v>542.90832990875208</v>
      </c>
      <c r="AO141" s="62">
        <f t="shared" si="144"/>
        <v>304.94365539329362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2.7</v>
      </c>
      <c r="BD141" s="13">
        <f>IF('Données projet'!$A$88&gt;35,BD140+BC141-BL140,IF(A141&lt;'Données projet'!$A$88,$BA$205^A141,IF(A141='Données projet'!$A$88,'Données projet'!$B$88,BD140+BC141-BL140)))</f>
        <v>290.59999999999928</v>
      </c>
      <c r="BE141" s="14">
        <f>BD141*VLOOKUP('Données projet'!$B$11,Paramètres!$A$1:$I$89,3,0)*VLOOKUP('Données projet'!$B$11,Paramètres!$A$1:$I$89,5,0)</f>
        <v>281.06831999999929</v>
      </c>
      <c r="BF141" s="14">
        <f t="shared" si="145"/>
        <v>67.192725545416536</v>
      </c>
      <c r="BG141" s="22">
        <f t="shared" si="115"/>
        <v>606.55465432493247</v>
      </c>
      <c r="BH141" s="62">
        <f t="shared" si="116"/>
        <v>891.69598159043835</v>
      </c>
      <c r="BI141" s="62">
        <f ca="1">AVERAGE(OFFSET($BH$3,0,0,'Données projet'!$E$11+1,1))-AVERAGE(OFFSET($H$3,0,0,'Données projet'!$E$11+1,1))</f>
        <v>496.33873798282525</v>
      </c>
      <c r="BJ141" s="62">
        <f t="shared" si="146"/>
        <v>280.25465074992246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1.7053025658242404E-13</v>
      </c>
      <c r="BZ141" s="14">
        <f>BY141*VLOOKUP('Données projet'!$B$12,Paramètres!$A$1:$I$89,3,0)*VLOOKUP('Données projet'!$B$12,Paramètres!$A$1:$I$89,5,0)</f>
        <v>1.4897523215040567E-13</v>
      </c>
      <c r="CA141" s="14">
        <f t="shared" si="147"/>
        <v>2.136562777003313E-12</v>
      </c>
      <c r="CB141" s="22">
        <f t="shared" si="118"/>
        <v>3.9806453659427267E-12</v>
      </c>
      <c r="CC141" s="62">
        <f t="shared" si="119"/>
        <v>285.14132726550991</v>
      </c>
      <c r="CD141" s="62">
        <f ca="1">AVERAGE(OFFSET($CC$3,0,0,'Données projet'!$E$12+1,1))-AVERAGE(OFFSET($H$3,0,0,'Données projet'!$E$12+1,1))</f>
        <v>298.28891728374822</v>
      </c>
      <c r="CE141" s="62">
        <f t="shared" si="148"/>
        <v>275.07405533331371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1.1368683772161603E-13</v>
      </c>
      <c r="CU141" s="18">
        <f>CT141*VLOOKUP('Données projet'!$B$13,Paramètres!$A$1:$I$89,3,0)*VLOOKUP('Données projet'!$B$13,Paramètres!$A$1:$I$89,5,0)</f>
        <v>6.7984728957526396E-14</v>
      </c>
      <c r="CV141" s="14">
        <f t="shared" si="149"/>
        <v>1.0682447123141398E-12</v>
      </c>
      <c r="CW141" s="22">
        <f t="shared" si="121"/>
        <v>1.978932943548152E-12</v>
      </c>
      <c r="CX141" s="62">
        <f t="shared" si="122"/>
        <v>285.14132726550793</v>
      </c>
      <c r="CY141" s="62">
        <f ca="1">AVERAGE(OFFSET($CX$3,0,0,'Données projet'!$E$13+1,1))-AVERAGE(OFFSET($H$3,0,0,'Données projet'!$E$13+1,1))</f>
        <v>320.46614113586043</v>
      </c>
      <c r="CZ141" s="62">
        <f t="shared" si="150"/>
        <v>250.7806929924491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0</v>
      </c>
      <c r="DG141" s="23">
        <f>EXP(-LN(2)/25)*DG140+(1-EXP(-LN(2)/25))/(LN(2)/25)*Calculateur!DB141*Calculateur!DD141*VLOOKUP('Données projet'!$B$13,Paramètres!$A$1:$I$89,3,0)*0.475*44/12</f>
        <v>0</v>
      </c>
      <c r="DH141" s="23">
        <f>EXP(-LN(2)/2)*DH140+(1-EXP(-LN(2)/2))/(LN(2)/2)*DB141*DE141*VLOOKUP('Données projet'!$B$13,Paramètres!$A$1:$I$89,3,0)*0.475*44/12</f>
        <v>5.2619291118169879E-16</v>
      </c>
      <c r="DI141" s="24">
        <f t="shared" si="123"/>
        <v>5.2619291118169879E-16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-1.1368683772161603E-13</v>
      </c>
      <c r="DP141" s="18">
        <f>DO141*VLOOKUP('Données projet'!$B$14,Paramètres!$A$1:$I$89,3,0)*VLOOKUP('Données projet'!$B$14,Paramètres!$A$1:$I$89,5,0)</f>
        <v>-5.3205440053716299E-14</v>
      </c>
      <c r="DQ141" s="14" t="e">
        <f t="shared" si="151"/>
        <v>#NUM!</v>
      </c>
      <c r="DR141" s="22" t="e">
        <f t="shared" si="124"/>
        <v>#NUM!</v>
      </c>
      <c r="DS141" s="62" t="e">
        <f t="shared" si="125"/>
        <v>#NUM!</v>
      </c>
      <c r="DT141" s="62">
        <f ca="1">AVERAGE(OFFSET($DS$3,0,0,'Données projet'!$E$14+1,1))-AVERAGE(OFFSET($H$3,0,0,'Données projet'!$E$14+1,1))</f>
        <v>429.87867712133851</v>
      </c>
      <c r="DU141" s="62">
        <f t="shared" si="152"/>
        <v>182.81277865988014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0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0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1.1368683772161603E-13</v>
      </c>
      <c r="EK141" s="18">
        <f>EJ141*VLOOKUP('Données projet'!$B$15,Paramètres!$A$1:$I$89,3,0)*VLOOKUP('Données projet'!$B$15,Paramètres!$A$1:$I$89,5,0)</f>
        <v>7.626113074366004E-14</v>
      </c>
      <c r="EL141" s="14">
        <f t="shared" si="153"/>
        <v>1.1823749172251317E-12</v>
      </c>
      <c r="EM141" s="22">
        <f t="shared" si="127"/>
        <v>2.1921244502123119E-12</v>
      </c>
      <c r="EN141" s="62">
        <f t="shared" si="128"/>
        <v>285.14132726550815</v>
      </c>
      <c r="EO141" s="62">
        <f ca="1">AVERAGE(OFFSET($EN$3,0,0,'Données projet'!$E$15+1,1))-AVERAGE(OFFSET($H$3,0,0,'Données projet'!$E$15+1,1))</f>
        <v>296.18088377871669</v>
      </c>
      <c r="EP141" s="62">
        <f t="shared" si="154"/>
        <v>252.23833925792056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0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0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1.1368683772161603E-13</v>
      </c>
      <c r="FF141" s="18">
        <f>FE141*VLOOKUP('Données projet'!$B$16,Paramètres!$A$1:$I$89,3,0)*VLOOKUP('Données projet'!$B$16,Paramètres!$A$1:$I$89,5,0)</f>
        <v>9.7543306765146564E-14</v>
      </c>
      <c r="FG141" s="14">
        <f t="shared" si="155"/>
        <v>1.4696264278629426E-12</v>
      </c>
      <c r="FH141" s="22">
        <f t="shared" si="130"/>
        <v>2.7294872878105889E-12</v>
      </c>
      <c r="FI141" s="62">
        <f t="shared" si="131"/>
        <v>285.14132726550866</v>
      </c>
      <c r="FJ141" s="62">
        <f ca="1">AVERAGE(OFFSET($FI$3,0,0,'Données projet'!$E$16+1,1))-AVERAGE(OFFSET($H$3,0,0,'Données projet'!$E$16+1,1))</f>
        <v>359.20464555327072</v>
      </c>
      <c r="FK141" s="62">
        <f t="shared" si="156"/>
        <v>305.54154052071863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0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0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2.7</v>
      </c>
      <c r="N142" s="14">
        <f>IF('Données projet'!$A$36&gt;35,N141+M142-V141,IF(A142&lt;'Données projet'!$A$36,$K$205^A142,IF(A142='Données projet'!$A$36,'Données projet'!$B$36,N141+M142-V141)))</f>
        <v>293.29999999999927</v>
      </c>
      <c r="O142" s="14">
        <f>N142*VLOOKUP('Données projet'!$B$9,Paramètres!$A$1:$I$89,3,0)*VLOOKUP('Données projet'!$B$9,Paramètres!$A$1:$I$89,5,0)</f>
        <v>297.40619999999927</v>
      </c>
      <c r="P142" s="14">
        <f t="shared" si="141"/>
        <v>70.632428863759543</v>
      </c>
      <c r="Q142" s="22">
        <f t="shared" si="108"/>
        <v>641.0006119377133</v>
      </c>
      <c r="R142" s="62">
        <f t="shared" si="109"/>
        <v>926.28405219391425</v>
      </c>
      <c r="S142" s="62">
        <f ca="1">AVERAGE(OFFSET($R$3,0,0,'Données projet'!$E$9+1,1))-AVERAGE(OFFSET($H$3,0,0,'Données projet'!$E$9+1,1))</f>
        <v>516.30971934066179</v>
      </c>
      <c r="T142" s="62">
        <f t="shared" si="142"/>
        <v>290.84286505723571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2.7</v>
      </c>
      <c r="AI142" s="14">
        <f>IF('Données projet'!$A$62&gt;35,AI141+AH142-AQ141,IF(A142&lt;'Données projet'!$A$62,$AF$205^A142,IF(A142='Données projet'!$A$62,'Données projet'!$B$62,AI141+AH142-AQ141)))</f>
        <v>293.29999999999927</v>
      </c>
      <c r="AJ142" s="14">
        <f>AI142*VLOOKUP('Données projet'!$B$10,Paramètres!$A$1:$I$89,3,0)*VLOOKUP('Données projet'!$B$10,Paramètres!$A$1:$I$89,5,0)</f>
        <v>315.70811999999916</v>
      </c>
      <c r="AK142" s="14">
        <f t="shared" si="143"/>
        <v>74.459643987042966</v>
      </c>
      <c r="AL142" s="22">
        <f t="shared" si="112"/>
        <v>679.54218894409837</v>
      </c>
      <c r="AM142" s="62">
        <f t="shared" si="113"/>
        <v>964.82562920029932</v>
      </c>
      <c r="AN142" s="62">
        <f ca="1">AVERAGE(OFFSET($AM$3,0,0,'Données projet'!$E$10+1,1))-AVERAGE(OFFSET($H$3,0,0,'Données projet'!$E$10+1,1))</f>
        <v>542.90832990875208</v>
      </c>
      <c r="AO142" s="62">
        <f t="shared" si="144"/>
        <v>304.94365539329362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2.7</v>
      </c>
      <c r="BD142" s="13">
        <f>IF('Données projet'!$A$88&gt;35,BD141+BC142-BL141,IF(A142&lt;'Données projet'!$A$88,$BA$205^A142,IF(A142='Données projet'!$A$88,'Données projet'!$B$88,BD141+BC142-BL141)))</f>
        <v>293.29999999999927</v>
      </c>
      <c r="BE142" s="14">
        <f>BD142*VLOOKUP('Données projet'!$B$11,Paramètres!$A$1:$I$89,3,0)*VLOOKUP('Données projet'!$B$11,Paramètres!$A$1:$I$89,5,0)</f>
        <v>283.67975999999931</v>
      </c>
      <c r="BF142" s="14">
        <f t="shared" si="145"/>
        <v>67.74405605004435</v>
      </c>
      <c r="BG142" s="22">
        <f t="shared" si="115"/>
        <v>612.06314628715938</v>
      </c>
      <c r="BH142" s="62">
        <f t="shared" si="116"/>
        <v>897.34658654336022</v>
      </c>
      <c r="BI142" s="62">
        <f ca="1">AVERAGE(OFFSET($BH$3,0,0,'Données projet'!$E$11+1,1))-AVERAGE(OFFSET($H$3,0,0,'Données projet'!$E$11+1,1))</f>
        <v>496.33873798282525</v>
      </c>
      <c r="BJ142" s="62">
        <f t="shared" si="146"/>
        <v>280.25465074992246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1.7053025658242404E-13</v>
      </c>
      <c r="BZ142" s="14">
        <f>BY142*VLOOKUP('Données projet'!$B$12,Paramètres!$A$1:$I$89,3,0)*VLOOKUP('Données projet'!$B$12,Paramètres!$A$1:$I$89,5,0)</f>
        <v>1.4897523215040567E-13</v>
      </c>
      <c r="CA142" s="14">
        <f t="shared" si="147"/>
        <v>2.136562777003313E-12</v>
      </c>
      <c r="CB142" s="22">
        <f t="shared" si="118"/>
        <v>3.9806453659427267E-12</v>
      </c>
      <c r="CC142" s="62">
        <f t="shared" si="119"/>
        <v>285.28344025620487</v>
      </c>
      <c r="CD142" s="62">
        <f ca="1">AVERAGE(OFFSET($CC$3,0,0,'Données projet'!$E$12+1,1))-AVERAGE(OFFSET($H$3,0,0,'Données projet'!$E$12+1,1))</f>
        <v>298.28891728374822</v>
      </c>
      <c r="CE142" s="62">
        <f t="shared" si="148"/>
        <v>275.07405533331371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1.1368683772161603E-13</v>
      </c>
      <c r="CU142" s="18">
        <f>CT142*VLOOKUP('Données projet'!$B$13,Paramètres!$A$1:$I$89,3,0)*VLOOKUP('Données projet'!$B$13,Paramètres!$A$1:$I$89,5,0)</f>
        <v>6.7984728957526396E-14</v>
      </c>
      <c r="CV142" s="14">
        <f t="shared" si="149"/>
        <v>1.0682447123141398E-12</v>
      </c>
      <c r="CW142" s="22">
        <f t="shared" si="121"/>
        <v>1.978932943548152E-12</v>
      </c>
      <c r="CX142" s="62">
        <f t="shared" si="122"/>
        <v>285.28344025620288</v>
      </c>
      <c r="CY142" s="62">
        <f ca="1">AVERAGE(OFFSET($CX$3,0,0,'Données projet'!$E$13+1,1))-AVERAGE(OFFSET($H$3,0,0,'Données projet'!$E$13+1,1))</f>
        <v>320.46614113586043</v>
      </c>
      <c r="CZ142" s="62">
        <f t="shared" si="150"/>
        <v>250.7806929924491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0</v>
      </c>
      <c r="DG142" s="23">
        <f>EXP(-LN(2)/25)*DG141+(1-EXP(-LN(2)/25))/(LN(2)/25)*Calculateur!DB142*Calculateur!DD142*VLOOKUP('Données projet'!$B$13,Paramètres!$A$1:$I$89,3,0)*0.475*44/12</f>
        <v>0</v>
      </c>
      <c r="DH142" s="23">
        <f>EXP(-LN(2)/2)*DH141+(1-EXP(-LN(2)/2))/(LN(2)/2)*DB142*DE142*VLOOKUP('Données projet'!$B$13,Paramètres!$A$1:$I$89,3,0)*0.475*44/12</f>
        <v>3.7207457570886993E-16</v>
      </c>
      <c r="DI142" s="24">
        <f t="shared" si="123"/>
        <v>3.7207457570886993E-16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-1.1368683772161603E-13</v>
      </c>
      <c r="DP142" s="18">
        <f>DO142*VLOOKUP('Données projet'!$B$14,Paramètres!$A$1:$I$89,3,0)*VLOOKUP('Données projet'!$B$14,Paramètres!$A$1:$I$89,5,0)</f>
        <v>-5.3205440053716299E-14</v>
      </c>
      <c r="DQ142" s="14" t="e">
        <f t="shared" si="151"/>
        <v>#NUM!</v>
      </c>
      <c r="DR142" s="22" t="e">
        <f t="shared" si="124"/>
        <v>#NUM!</v>
      </c>
      <c r="DS142" s="62" t="e">
        <f t="shared" si="125"/>
        <v>#NUM!</v>
      </c>
      <c r="DT142" s="62">
        <f ca="1">AVERAGE(OFFSET($DS$3,0,0,'Données projet'!$E$14+1,1))-AVERAGE(OFFSET($H$3,0,0,'Données projet'!$E$14+1,1))</f>
        <v>429.87867712133851</v>
      </c>
      <c r="DU142" s="62">
        <f t="shared" si="152"/>
        <v>182.81277865988014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0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0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1.1368683772161603E-13</v>
      </c>
      <c r="EK142" s="18">
        <f>EJ142*VLOOKUP('Données projet'!$B$15,Paramètres!$A$1:$I$89,3,0)*VLOOKUP('Données projet'!$B$15,Paramètres!$A$1:$I$89,5,0)</f>
        <v>7.626113074366004E-14</v>
      </c>
      <c r="EL142" s="14">
        <f t="shared" si="153"/>
        <v>1.1823749172251317E-12</v>
      </c>
      <c r="EM142" s="22">
        <f t="shared" si="127"/>
        <v>2.1921244502123119E-12</v>
      </c>
      <c r="EN142" s="62">
        <f t="shared" si="128"/>
        <v>285.28344025620311</v>
      </c>
      <c r="EO142" s="62">
        <f ca="1">AVERAGE(OFFSET($EN$3,0,0,'Données projet'!$E$15+1,1))-AVERAGE(OFFSET($H$3,0,0,'Données projet'!$E$15+1,1))</f>
        <v>296.18088377871669</v>
      </c>
      <c r="EP142" s="62">
        <f t="shared" si="154"/>
        <v>252.23833925792056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0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0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1.1368683772161603E-13</v>
      </c>
      <c r="FF142" s="18">
        <f>FE142*VLOOKUP('Données projet'!$B$16,Paramètres!$A$1:$I$89,3,0)*VLOOKUP('Données projet'!$B$16,Paramètres!$A$1:$I$89,5,0)</f>
        <v>9.7543306765146564E-14</v>
      </c>
      <c r="FG142" s="14">
        <f t="shared" si="155"/>
        <v>1.4696264278629426E-12</v>
      </c>
      <c r="FH142" s="22">
        <f t="shared" si="130"/>
        <v>2.7294872878105889E-12</v>
      </c>
      <c r="FI142" s="62">
        <f t="shared" si="131"/>
        <v>285.28344025620362</v>
      </c>
      <c r="FJ142" s="62">
        <f ca="1">AVERAGE(OFFSET($FI$3,0,0,'Données projet'!$E$16+1,1))-AVERAGE(OFFSET($H$3,0,0,'Données projet'!$E$16+1,1))</f>
        <v>359.20464555327072</v>
      </c>
      <c r="FK142" s="62">
        <f t="shared" si="156"/>
        <v>305.54154052071863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0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0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>
        <f>VLOOKUP(A143,'Données projet'!$A$35:$I$55,2,0)</f>
        <v>296</v>
      </c>
      <c r="L143" s="13">
        <f>VLOOKUP(A143,'Données projet'!$A$35:$I$55,9,0)</f>
        <v>2.7</v>
      </c>
      <c r="M143" s="13">
        <f t="array" ref="M143">INDEX(L:L,MIN(IF(ISNUMBER(L143:L339),ROW(L143:L339),"")))</f>
        <v>2.7</v>
      </c>
      <c r="N143" s="14">
        <f>IF('Données projet'!$A$36&gt;35,N142+M143-V142,IF(A143&lt;'Données projet'!$A$36,$K$205^A143,IF(A143='Données projet'!$A$36,'Données projet'!$B$36,N142+M143-V142)))</f>
        <v>295.99999999999926</v>
      </c>
      <c r="O143" s="14">
        <f>N143*VLOOKUP('Données projet'!$B$9,Paramètres!$A$1:$I$89,3,0)*VLOOKUP('Données projet'!$B$9,Paramètres!$A$1:$I$89,5,0)</f>
        <v>300.14399999999927</v>
      </c>
      <c r="P143" s="14">
        <f t="shared" si="141"/>
        <v>71.206650563609728</v>
      </c>
      <c r="Q143" s="22">
        <f t="shared" si="108"/>
        <v>646.76904973161891</v>
      </c>
      <c r="R143" s="62">
        <f t="shared" si="109"/>
        <v>932.19213763584321</v>
      </c>
      <c r="S143" s="62">
        <f ca="1">AVERAGE(OFFSET($R$3,0,0,'Données projet'!$E$9+1,1))-AVERAGE(OFFSET($H$3,0,0,'Données projet'!$E$9+1,1))</f>
        <v>516.30971934066179</v>
      </c>
      <c r="T143" s="62">
        <f t="shared" si="142"/>
        <v>290.84286505723571</v>
      </c>
      <c r="U143" s="16">
        <f>IF(ISNA(VLOOKUP(A143,'Données projet'!$A$35:$I$55,3,0)),0,VLOOKUP(A143,'Données projet'!$A$35:$I$55,3,0))</f>
        <v>12</v>
      </c>
      <c r="V143" s="16">
        <f>IF(ISNA(VLOOKUP(A143,'Données projet'!$A$35:$I$55,4,0)),0,VLOOKUP(A143,'Données projet'!$A$35:$I$55,4,0))</f>
        <v>27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>
        <f>VLOOKUP(A143,'Données projet'!$A$61:$I$81,2,0)</f>
        <v>296</v>
      </c>
      <c r="AG143" s="13">
        <f>VLOOKUP(A143,'Données projet'!$A$61:$I$81,9,0)</f>
        <v>2.7</v>
      </c>
      <c r="AH143" s="13">
        <f t="array" ref="AH143">INDEX(AG:AG,MIN(IF(ISNUMBER(AG143:AG339),ROW(AG143:AG339),"")))</f>
        <v>2.7</v>
      </c>
      <c r="AI143" s="14">
        <f>IF('Données projet'!$A$62&gt;35,AI142+AH143-AQ142,IF(A143&lt;'Données projet'!$A$62,$AF$205^A143,IF(A143='Données projet'!$A$62,'Données projet'!$B$62,AI142+AH143-AQ142)))</f>
        <v>295.99999999999926</v>
      </c>
      <c r="AJ143" s="14">
        <f>AI143*VLOOKUP('Données projet'!$B$10,Paramètres!$A$1:$I$89,3,0)*VLOOKUP('Données projet'!$B$10,Paramètres!$A$1:$I$89,5,0)</f>
        <v>318.61439999999919</v>
      </c>
      <c r="AK143" s="14">
        <f t="shared" si="143"/>
        <v>75.064979865028292</v>
      </c>
      <c r="AL143" s="22">
        <f t="shared" si="112"/>
        <v>685.65825326492302</v>
      </c>
      <c r="AM143" s="62">
        <f t="shared" si="113"/>
        <v>971.08134116914744</v>
      </c>
      <c r="AN143" s="62">
        <f ca="1">AVERAGE(OFFSET($AM$3,0,0,'Données projet'!$E$10+1,1))-AVERAGE(OFFSET($H$3,0,0,'Données projet'!$E$10+1,1))</f>
        <v>542.90832990875208</v>
      </c>
      <c r="AO143" s="62">
        <f t="shared" si="144"/>
        <v>304.94365539329362</v>
      </c>
      <c r="AP143" s="16">
        <f>IF(ISNA(VLOOKUP(A143,'Données projet'!$A$61:$I$81,3,0)),0,VLOOKUP(A143,'Données projet'!$A$61:$I$81,3,0))</f>
        <v>12</v>
      </c>
      <c r="AQ143" s="16">
        <f>IF(ISNA(VLOOKUP(A143,'Données projet'!$A$61:$I$81,4,0)),0,VLOOKUP(A143,'Données projet'!$A$61:$I$81,4,0))</f>
        <v>27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>
        <f>VLOOKUP(A143,'Données projet'!$A$87:$I$107,2,0)</f>
        <v>296</v>
      </c>
      <c r="BB143" s="13">
        <f>VLOOKUP(A143,'Données projet'!$A$87:$I$107,9,0)</f>
        <v>2.7</v>
      </c>
      <c r="BC143" s="13">
        <f t="array" ref="BC143">INDEX(BB:BB,MIN(IF(ISNUMBER(BB143:BB339),ROW(BB143:BB339),"")))</f>
        <v>2.7</v>
      </c>
      <c r="BD143" s="13">
        <f>IF('Données projet'!$A$88&gt;35,BD142+BC143-BL142,IF(A143&lt;'Données projet'!$A$88,$BA$205^A143,IF(A143='Données projet'!$A$88,'Données projet'!$B$88,BD142+BC143-BL142)))</f>
        <v>295.99999999999926</v>
      </c>
      <c r="BE143" s="14">
        <f>BD143*VLOOKUP('Données projet'!$B$11,Paramètres!$A$1:$I$89,3,0)*VLOOKUP('Données projet'!$B$11,Paramètres!$A$1:$I$89,5,0)</f>
        <v>286.29119999999926</v>
      </c>
      <c r="BF143" s="14">
        <f t="shared" si="145"/>
        <v>68.294796094604223</v>
      </c>
      <c r="BG143" s="22">
        <f t="shared" si="115"/>
        <v>617.57060986476779</v>
      </c>
      <c r="BH143" s="62">
        <f t="shared" si="116"/>
        <v>902.99369776899221</v>
      </c>
      <c r="BI143" s="62">
        <f ca="1">AVERAGE(OFFSET($BH$3,0,0,'Données projet'!$E$11+1,1))-AVERAGE(OFFSET($H$3,0,0,'Données projet'!$E$11+1,1))</f>
        <v>496.33873798282525</v>
      </c>
      <c r="BJ143" s="62">
        <f t="shared" si="146"/>
        <v>280.25465074992246</v>
      </c>
      <c r="BK143" s="16">
        <f>IF(ISNA(VLOOKUP(A143,'Données projet'!$A$87:$I$107,3,0)),0,VLOOKUP(A143,'Données projet'!$A$87:$I$107,3,0))</f>
        <v>12</v>
      </c>
      <c r="BL143" s="16">
        <f>IF(ISNA(VLOOKUP(A143,'Données projet'!$A$87:$I$107,4,0)),0,VLOOKUP(A143,'Données projet'!$A$87:$I$107,4,0))</f>
        <v>27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1.7053025658242404E-13</v>
      </c>
      <c r="BZ143" s="14">
        <f>BY143*VLOOKUP('Données projet'!$B$12,Paramètres!$A$1:$I$89,3,0)*VLOOKUP('Données projet'!$B$12,Paramètres!$A$1:$I$89,5,0)</f>
        <v>1.4897523215040567E-13</v>
      </c>
      <c r="CA143" s="14">
        <f t="shared" si="147"/>
        <v>2.136562777003313E-12</v>
      </c>
      <c r="CB143" s="22">
        <f t="shared" si="118"/>
        <v>3.9806453659427267E-12</v>
      </c>
      <c r="CC143" s="62">
        <f t="shared" si="119"/>
        <v>285.42308790422834</v>
      </c>
      <c r="CD143" s="62">
        <f ca="1">AVERAGE(OFFSET($CC$3,0,0,'Données projet'!$E$12+1,1))-AVERAGE(OFFSET($H$3,0,0,'Données projet'!$E$12+1,1))</f>
        <v>298.28891728374822</v>
      </c>
      <c r="CE143" s="62">
        <f t="shared" si="148"/>
        <v>275.07405533331371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1.1368683772161603E-13</v>
      </c>
      <c r="CU143" s="18">
        <f>CT143*VLOOKUP('Données projet'!$B$13,Paramètres!$A$1:$I$89,3,0)*VLOOKUP('Données projet'!$B$13,Paramètres!$A$1:$I$89,5,0)</f>
        <v>6.7984728957526396E-14</v>
      </c>
      <c r="CV143" s="14">
        <f t="shared" si="149"/>
        <v>1.0682447123141398E-12</v>
      </c>
      <c r="CW143" s="22">
        <f t="shared" si="121"/>
        <v>1.978932943548152E-12</v>
      </c>
      <c r="CX143" s="62">
        <f t="shared" si="122"/>
        <v>285.42308790422635</v>
      </c>
      <c r="CY143" s="62">
        <f ca="1">AVERAGE(OFFSET($CX$3,0,0,'Données projet'!$E$13+1,1))-AVERAGE(OFFSET($H$3,0,0,'Données projet'!$E$13+1,1))</f>
        <v>320.46614113586043</v>
      </c>
      <c r="CZ143" s="62">
        <f t="shared" si="150"/>
        <v>250.7806929924491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0</v>
      </c>
      <c r="DG143" s="23">
        <f>EXP(-LN(2)/25)*DG142+(1-EXP(-LN(2)/25))/(LN(2)/25)*Calculateur!DB143*Calculateur!DD143*VLOOKUP('Données projet'!$B$13,Paramètres!$A$1:$I$89,3,0)*0.475*44/12</f>
        <v>0</v>
      </c>
      <c r="DH143" s="23">
        <f>EXP(-LN(2)/2)*DH142+(1-EXP(-LN(2)/2))/(LN(2)/2)*DB143*DE143*VLOOKUP('Données projet'!$B$13,Paramètres!$A$1:$I$89,3,0)*0.475*44/12</f>
        <v>2.630964555908494E-16</v>
      </c>
      <c r="DI143" s="24">
        <f t="shared" si="123"/>
        <v>2.630964555908494E-16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-1.1368683772161603E-13</v>
      </c>
      <c r="DP143" s="18">
        <f>DO143*VLOOKUP('Données projet'!$B$14,Paramètres!$A$1:$I$89,3,0)*VLOOKUP('Données projet'!$B$14,Paramètres!$A$1:$I$89,5,0)</f>
        <v>-5.3205440053716299E-14</v>
      </c>
      <c r="DQ143" s="14" t="e">
        <f t="shared" si="151"/>
        <v>#NUM!</v>
      </c>
      <c r="DR143" s="22" t="e">
        <f t="shared" si="124"/>
        <v>#NUM!</v>
      </c>
      <c r="DS143" s="62" t="e">
        <f t="shared" si="125"/>
        <v>#NUM!</v>
      </c>
      <c r="DT143" s="62">
        <f ca="1">AVERAGE(OFFSET($DS$3,0,0,'Données projet'!$E$14+1,1))-AVERAGE(OFFSET($H$3,0,0,'Données projet'!$E$14+1,1))</f>
        <v>429.87867712133851</v>
      </c>
      <c r="DU143" s="62">
        <f t="shared" si="152"/>
        <v>182.81277865988014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0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0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1.1368683772161603E-13</v>
      </c>
      <c r="EK143" s="18">
        <f>EJ143*VLOOKUP('Données projet'!$B$15,Paramètres!$A$1:$I$89,3,0)*VLOOKUP('Données projet'!$B$15,Paramètres!$A$1:$I$89,5,0)</f>
        <v>7.626113074366004E-14</v>
      </c>
      <c r="EL143" s="14">
        <f t="shared" si="153"/>
        <v>1.1823749172251317E-12</v>
      </c>
      <c r="EM143" s="22">
        <f t="shared" si="127"/>
        <v>2.1921244502123119E-12</v>
      </c>
      <c r="EN143" s="62">
        <f t="shared" si="128"/>
        <v>285.42308790422658</v>
      </c>
      <c r="EO143" s="62">
        <f ca="1">AVERAGE(OFFSET($EN$3,0,0,'Données projet'!$E$15+1,1))-AVERAGE(OFFSET($H$3,0,0,'Données projet'!$E$15+1,1))</f>
        <v>296.18088377871669</v>
      </c>
      <c r="EP143" s="62">
        <f t="shared" si="154"/>
        <v>252.23833925792056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0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0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1.1368683772161603E-13</v>
      </c>
      <c r="FF143" s="18">
        <f>FE143*VLOOKUP('Données projet'!$B$16,Paramètres!$A$1:$I$89,3,0)*VLOOKUP('Données projet'!$B$16,Paramètres!$A$1:$I$89,5,0)</f>
        <v>9.7543306765146564E-14</v>
      </c>
      <c r="FG143" s="14">
        <f t="shared" si="155"/>
        <v>1.4696264278629426E-12</v>
      </c>
      <c r="FH143" s="22">
        <f t="shared" si="130"/>
        <v>2.7294872878105889E-12</v>
      </c>
      <c r="FI143" s="62">
        <f t="shared" si="131"/>
        <v>285.42308790422709</v>
      </c>
      <c r="FJ143" s="62">
        <f ca="1">AVERAGE(OFFSET($FI$3,0,0,'Données projet'!$E$16+1,1))-AVERAGE(OFFSET($H$3,0,0,'Données projet'!$E$16+1,1))</f>
        <v>359.20464555327072</v>
      </c>
      <c r="FK143" s="62">
        <f t="shared" si="156"/>
        <v>305.54154052071863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0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0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2.4</v>
      </c>
      <c r="N144" s="14">
        <f>IF('Données projet'!$A$36&gt;35,N143+M144-V143,IF(A144&lt;'Données projet'!$A$36,$K$205^A144,IF(A144='Données projet'!$A$36,'Données projet'!$B$36,N143+M144-V143)))</f>
        <v>271.39999999999924</v>
      </c>
      <c r="O144" s="14">
        <f>N144*VLOOKUP('Données projet'!$B$9,Paramètres!$A$1:$I$89,3,0)*VLOOKUP('Données projet'!$B$9,Paramètres!$A$1:$I$89,5,0)</f>
        <v>275.19959999999924</v>
      </c>
      <c r="P144" s="14">
        <f t="shared" si="141"/>
        <v>65.951527620662489</v>
      </c>
      <c r="Q144" s="22">
        <f t="shared" si="108"/>
        <v>594.17154727265245</v>
      </c>
      <c r="R144" s="62">
        <f t="shared" si="109"/>
        <v>879.73186025041241</v>
      </c>
      <c r="S144" s="62">
        <f ca="1">AVERAGE(OFFSET($R$3,0,0,'Données projet'!$E$9+1,1))-AVERAGE(OFFSET($H$3,0,0,'Données projet'!$E$9+1,1))</f>
        <v>516.30971934066179</v>
      </c>
      <c r="T144" s="62">
        <f t="shared" si="142"/>
        <v>290.84286505723571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2.4</v>
      </c>
      <c r="AI144" s="14">
        <f>IF('Données projet'!$A$62&gt;35,AI143+AH144-AQ143,IF(A144&lt;'Données projet'!$A$62,$AF$205^A144,IF(A144='Données projet'!$A$62,'Données projet'!$B$62,AI143+AH144-AQ143)))</f>
        <v>271.39999999999924</v>
      </c>
      <c r="AJ144" s="14">
        <f>AI144*VLOOKUP('Données projet'!$B$10,Paramètres!$A$1:$I$89,3,0)*VLOOKUP('Données projet'!$B$10,Paramètres!$A$1:$I$89,5,0)</f>
        <v>292.13495999999913</v>
      </c>
      <c r="AK144" s="14">
        <f t="shared" si="143"/>
        <v>69.525108311202104</v>
      </c>
      <c r="AL144" s="22">
        <f t="shared" si="112"/>
        <v>629.89128564200882</v>
      </c>
      <c r="AM144" s="62">
        <f t="shared" si="113"/>
        <v>915.4515986197689</v>
      </c>
      <c r="AN144" s="62">
        <f ca="1">AVERAGE(OFFSET($AM$3,0,0,'Données projet'!$E$10+1,1))-AVERAGE(OFFSET($H$3,0,0,'Données projet'!$E$10+1,1))</f>
        <v>542.90832990875208</v>
      </c>
      <c r="AO144" s="62">
        <f t="shared" si="144"/>
        <v>304.94365539329362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2.4</v>
      </c>
      <c r="BD144" s="13">
        <f>IF('Données projet'!$A$88&gt;35,BD143+BC144-BL143,IF(A144&lt;'Données projet'!$A$88,$BA$205^A144,IF(A144='Données projet'!$A$88,'Données projet'!$B$88,BD143+BC144-BL143)))</f>
        <v>271.39999999999924</v>
      </c>
      <c r="BE144" s="14">
        <f>BD144*VLOOKUP('Données projet'!$B$11,Paramètres!$A$1:$I$89,3,0)*VLOOKUP('Données projet'!$B$11,Paramètres!$A$1:$I$89,5,0)</f>
        <v>262.49807999999928</v>
      </c>
      <c r="BF144" s="14">
        <f t="shared" si="145"/>
        <v>63.254570961137979</v>
      </c>
      <c r="BG144" s="22">
        <f t="shared" si="115"/>
        <v>567.35253375731406</v>
      </c>
      <c r="BH144" s="62">
        <f t="shared" si="116"/>
        <v>852.91284673507403</v>
      </c>
      <c r="BI144" s="62">
        <f ca="1">AVERAGE(OFFSET($BH$3,0,0,'Données projet'!$E$11+1,1))-AVERAGE(OFFSET($H$3,0,0,'Données projet'!$E$11+1,1))</f>
        <v>496.33873798282525</v>
      </c>
      <c r="BJ144" s="62">
        <f t="shared" si="146"/>
        <v>280.25465074992246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1.7053025658242404E-13</v>
      </c>
      <c r="BZ144" s="14">
        <f>BY144*VLOOKUP('Données projet'!$B$12,Paramètres!$A$1:$I$89,3,0)*VLOOKUP('Données projet'!$B$12,Paramètres!$A$1:$I$89,5,0)</f>
        <v>1.4897523215040567E-13</v>
      </c>
      <c r="CA144" s="14">
        <f t="shared" si="147"/>
        <v>2.136562777003313E-12</v>
      </c>
      <c r="CB144" s="22">
        <f t="shared" si="118"/>
        <v>3.9806453659427267E-12</v>
      </c>
      <c r="CC144" s="62">
        <f t="shared" si="119"/>
        <v>285.560312977764</v>
      </c>
      <c r="CD144" s="62">
        <f ca="1">AVERAGE(OFFSET($CC$3,0,0,'Données projet'!$E$12+1,1))-AVERAGE(OFFSET($H$3,0,0,'Données projet'!$E$12+1,1))</f>
        <v>298.28891728374822</v>
      </c>
      <c r="CE144" s="62">
        <f t="shared" si="148"/>
        <v>275.07405533331371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1.1368683772161603E-13</v>
      </c>
      <c r="CU144" s="18">
        <f>CT144*VLOOKUP('Données projet'!$B$13,Paramètres!$A$1:$I$89,3,0)*VLOOKUP('Données projet'!$B$13,Paramètres!$A$1:$I$89,5,0)</f>
        <v>6.7984728957526396E-14</v>
      </c>
      <c r="CV144" s="14">
        <f t="shared" si="149"/>
        <v>1.0682447123141398E-12</v>
      </c>
      <c r="CW144" s="22">
        <f t="shared" si="121"/>
        <v>1.978932943548152E-12</v>
      </c>
      <c r="CX144" s="62">
        <f t="shared" si="122"/>
        <v>285.56031297776201</v>
      </c>
      <c r="CY144" s="62">
        <f ca="1">AVERAGE(OFFSET($CX$3,0,0,'Données projet'!$E$13+1,1))-AVERAGE(OFFSET($H$3,0,0,'Données projet'!$E$13+1,1))</f>
        <v>320.46614113586043</v>
      </c>
      <c r="CZ144" s="62">
        <f t="shared" si="150"/>
        <v>250.7806929924491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0</v>
      </c>
      <c r="DG144" s="23">
        <f>EXP(-LN(2)/25)*DG143+(1-EXP(-LN(2)/25))/(LN(2)/25)*Calculateur!DB144*Calculateur!DD144*VLOOKUP('Données projet'!$B$13,Paramètres!$A$1:$I$89,3,0)*0.475*44/12</f>
        <v>0</v>
      </c>
      <c r="DH144" s="23">
        <f>EXP(-LN(2)/2)*DH143+(1-EXP(-LN(2)/2))/(LN(2)/2)*DB144*DE144*VLOOKUP('Données projet'!$B$13,Paramètres!$A$1:$I$89,3,0)*0.475*44/12</f>
        <v>1.8603728785443497E-16</v>
      </c>
      <c r="DI144" s="24">
        <f t="shared" si="123"/>
        <v>1.8603728785443497E-16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-1.1368683772161603E-13</v>
      </c>
      <c r="DP144" s="18">
        <f>DO144*VLOOKUP('Données projet'!$B$14,Paramètres!$A$1:$I$89,3,0)*VLOOKUP('Données projet'!$B$14,Paramètres!$A$1:$I$89,5,0)</f>
        <v>-5.3205440053716299E-14</v>
      </c>
      <c r="DQ144" s="14" t="e">
        <f t="shared" si="151"/>
        <v>#NUM!</v>
      </c>
      <c r="DR144" s="22" t="e">
        <f t="shared" si="124"/>
        <v>#NUM!</v>
      </c>
      <c r="DS144" s="62" t="e">
        <f t="shared" si="125"/>
        <v>#NUM!</v>
      </c>
      <c r="DT144" s="62">
        <f ca="1">AVERAGE(OFFSET($DS$3,0,0,'Données projet'!$E$14+1,1))-AVERAGE(OFFSET($H$3,0,0,'Données projet'!$E$14+1,1))</f>
        <v>429.87867712133851</v>
      </c>
      <c r="DU144" s="62">
        <f t="shared" si="152"/>
        <v>182.81277865988014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0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0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1.1368683772161603E-13</v>
      </c>
      <c r="EK144" s="18">
        <f>EJ144*VLOOKUP('Données projet'!$B$15,Paramètres!$A$1:$I$89,3,0)*VLOOKUP('Données projet'!$B$15,Paramètres!$A$1:$I$89,5,0)</f>
        <v>7.626113074366004E-14</v>
      </c>
      <c r="EL144" s="14">
        <f t="shared" si="153"/>
        <v>1.1823749172251317E-12</v>
      </c>
      <c r="EM144" s="22">
        <f t="shared" si="127"/>
        <v>2.1921244502123119E-12</v>
      </c>
      <c r="EN144" s="62">
        <f t="shared" si="128"/>
        <v>285.56031297776224</v>
      </c>
      <c r="EO144" s="62">
        <f ca="1">AVERAGE(OFFSET($EN$3,0,0,'Données projet'!$E$15+1,1))-AVERAGE(OFFSET($H$3,0,0,'Données projet'!$E$15+1,1))</f>
        <v>296.18088377871669</v>
      </c>
      <c r="EP144" s="62">
        <f t="shared" si="154"/>
        <v>252.23833925792056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0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0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1.1368683772161603E-13</v>
      </c>
      <c r="FF144" s="18">
        <f>FE144*VLOOKUP('Données projet'!$B$16,Paramètres!$A$1:$I$89,3,0)*VLOOKUP('Données projet'!$B$16,Paramètres!$A$1:$I$89,5,0)</f>
        <v>9.7543306765146564E-14</v>
      </c>
      <c r="FG144" s="14">
        <f t="shared" si="155"/>
        <v>1.4696264278629426E-12</v>
      </c>
      <c r="FH144" s="22">
        <f t="shared" si="130"/>
        <v>2.7294872878105889E-12</v>
      </c>
      <c r="FI144" s="62">
        <f t="shared" si="131"/>
        <v>285.56031297776275</v>
      </c>
      <c r="FJ144" s="62">
        <f ca="1">AVERAGE(OFFSET($FI$3,0,0,'Données projet'!$E$16+1,1))-AVERAGE(OFFSET($H$3,0,0,'Données projet'!$E$16+1,1))</f>
        <v>359.20464555327072</v>
      </c>
      <c r="FK144" s="62">
        <f t="shared" si="156"/>
        <v>305.54154052071863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0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0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2.4</v>
      </c>
      <c r="N145" s="14">
        <f>IF('Données projet'!$A$36&gt;35,N144+M145-V144,IF(A145&lt;'Données projet'!$A$36,$K$205^A145,IF(A145='Données projet'!$A$36,'Données projet'!$B$36,N144+M145-V144)))</f>
        <v>273.79999999999922</v>
      </c>
      <c r="O145" s="14">
        <f>N145*VLOOKUP('Données projet'!$B$9,Paramètres!$A$1:$I$89,3,0)*VLOOKUP('Données projet'!$B$9,Paramètres!$A$1:$I$89,5,0)</f>
        <v>277.63319999999919</v>
      </c>
      <c r="P145" s="14">
        <f t="shared" si="141"/>
        <v>66.466589162975524</v>
      </c>
      <c r="Q145" s="22">
        <f t="shared" si="108"/>
        <v>599.30713279218094</v>
      </c>
      <c r="R145" s="62">
        <f t="shared" si="109"/>
        <v>885.00229029524007</v>
      </c>
      <c r="S145" s="62">
        <f ca="1">AVERAGE(OFFSET($R$3,0,0,'Données projet'!$E$9+1,1))-AVERAGE(OFFSET($H$3,0,0,'Données projet'!$E$9+1,1))</f>
        <v>516.30971934066179</v>
      </c>
      <c r="T145" s="62">
        <f t="shared" si="142"/>
        <v>290.84286505723571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2.4</v>
      </c>
      <c r="AI145" s="14">
        <f>IF('Données projet'!$A$62&gt;35,AI144+AH145-AQ144,IF(A145&lt;'Données projet'!$A$62,$AF$205^A145,IF(A145='Données projet'!$A$62,'Données projet'!$B$62,AI144+AH145-AQ144)))</f>
        <v>273.79999999999922</v>
      </c>
      <c r="AJ145" s="14">
        <f>AI145*VLOOKUP('Données projet'!$B$10,Paramètres!$A$1:$I$89,3,0)*VLOOKUP('Données projet'!$B$10,Paramètres!$A$1:$I$89,5,0)</f>
        <v>294.71831999999915</v>
      </c>
      <c r="AK145" s="14">
        <f t="shared" si="143"/>
        <v>70.068078441055917</v>
      </c>
      <c r="AL145" s="22">
        <f t="shared" si="112"/>
        <v>635.33631061817096</v>
      </c>
      <c r="AM145" s="62">
        <f t="shared" si="113"/>
        <v>921.03146812123009</v>
      </c>
      <c r="AN145" s="62">
        <f ca="1">AVERAGE(OFFSET($AM$3,0,0,'Données projet'!$E$10+1,1))-AVERAGE(OFFSET($H$3,0,0,'Données projet'!$E$10+1,1))</f>
        <v>542.90832990875208</v>
      </c>
      <c r="AO145" s="62">
        <f t="shared" si="144"/>
        <v>304.94365539329362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2.4</v>
      </c>
      <c r="BD145" s="13">
        <f>IF('Données projet'!$A$88&gt;35,BD144+BC145-BL144,IF(A145&lt;'Données projet'!$A$88,$BA$205^A145,IF(A145='Données projet'!$A$88,'Données projet'!$B$88,BD144+BC145-BL144)))</f>
        <v>273.79999999999922</v>
      </c>
      <c r="BE145" s="14">
        <f>BD145*VLOOKUP('Données projet'!$B$11,Paramètres!$A$1:$I$89,3,0)*VLOOKUP('Données projet'!$B$11,Paramètres!$A$1:$I$89,5,0)</f>
        <v>264.81935999999928</v>
      </c>
      <c r="BF145" s="14">
        <f t="shared" si="145"/>
        <v>63.748570085236892</v>
      </c>
      <c r="BG145" s="22">
        <f t="shared" si="115"/>
        <v>572.25581156511964</v>
      </c>
      <c r="BH145" s="62">
        <f t="shared" si="116"/>
        <v>857.95096906817867</v>
      </c>
      <c r="BI145" s="62">
        <f ca="1">AVERAGE(OFFSET($BH$3,0,0,'Données projet'!$E$11+1,1))-AVERAGE(OFFSET($H$3,0,0,'Données projet'!$E$11+1,1))</f>
        <v>496.33873798282525</v>
      </c>
      <c r="BJ145" s="62">
        <f t="shared" si="146"/>
        <v>280.25465074992246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1.7053025658242404E-13</v>
      </c>
      <c r="BZ145" s="14">
        <f>BY145*VLOOKUP('Données projet'!$B$12,Paramètres!$A$1:$I$89,3,0)*VLOOKUP('Données projet'!$B$12,Paramètres!$A$1:$I$89,5,0)</f>
        <v>1.4897523215040567E-13</v>
      </c>
      <c r="CA145" s="14">
        <f t="shared" si="147"/>
        <v>2.136562777003313E-12</v>
      </c>
      <c r="CB145" s="22">
        <f t="shared" si="118"/>
        <v>3.9806453659427267E-12</v>
      </c>
      <c r="CC145" s="62">
        <f t="shared" si="119"/>
        <v>285.69515750306306</v>
      </c>
      <c r="CD145" s="62">
        <f ca="1">AVERAGE(OFFSET($CC$3,0,0,'Données projet'!$E$12+1,1))-AVERAGE(OFFSET($H$3,0,0,'Données projet'!$E$12+1,1))</f>
        <v>298.28891728374822</v>
      </c>
      <c r="CE145" s="62">
        <f t="shared" si="148"/>
        <v>275.07405533331371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1.1368683772161603E-13</v>
      </c>
      <c r="CU145" s="18">
        <f>CT145*VLOOKUP('Données projet'!$B$13,Paramètres!$A$1:$I$89,3,0)*VLOOKUP('Données projet'!$B$13,Paramètres!$A$1:$I$89,5,0)</f>
        <v>6.7984728957526396E-14</v>
      </c>
      <c r="CV145" s="14">
        <f t="shared" si="149"/>
        <v>1.0682447123141398E-12</v>
      </c>
      <c r="CW145" s="22">
        <f t="shared" si="121"/>
        <v>1.978932943548152E-12</v>
      </c>
      <c r="CX145" s="62">
        <f t="shared" si="122"/>
        <v>285.69515750306107</v>
      </c>
      <c r="CY145" s="62">
        <f ca="1">AVERAGE(OFFSET($CX$3,0,0,'Données projet'!$E$13+1,1))-AVERAGE(OFFSET($H$3,0,0,'Données projet'!$E$13+1,1))</f>
        <v>320.46614113586043</v>
      </c>
      <c r="CZ145" s="62">
        <f t="shared" si="150"/>
        <v>250.7806929924491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0</v>
      </c>
      <c r="DG145" s="23">
        <f>EXP(-LN(2)/25)*DG144+(1-EXP(-LN(2)/25))/(LN(2)/25)*Calculateur!DB145*Calculateur!DD145*VLOOKUP('Données projet'!$B$13,Paramètres!$A$1:$I$89,3,0)*0.475*44/12</f>
        <v>0</v>
      </c>
      <c r="DH145" s="23">
        <f>EXP(-LN(2)/2)*DH144+(1-EXP(-LN(2)/2))/(LN(2)/2)*DB145*DE145*VLOOKUP('Données projet'!$B$13,Paramètres!$A$1:$I$89,3,0)*0.475*44/12</f>
        <v>1.315482277954247E-16</v>
      </c>
      <c r="DI145" s="24">
        <f t="shared" si="123"/>
        <v>1.315482277954247E-16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-1.1368683772161603E-13</v>
      </c>
      <c r="DP145" s="18">
        <f>DO145*VLOOKUP('Données projet'!$B$14,Paramètres!$A$1:$I$89,3,0)*VLOOKUP('Données projet'!$B$14,Paramètres!$A$1:$I$89,5,0)</f>
        <v>-5.3205440053716299E-14</v>
      </c>
      <c r="DQ145" s="14" t="e">
        <f t="shared" si="151"/>
        <v>#NUM!</v>
      </c>
      <c r="DR145" s="22" t="e">
        <f t="shared" si="124"/>
        <v>#NUM!</v>
      </c>
      <c r="DS145" s="62" t="e">
        <f t="shared" si="125"/>
        <v>#NUM!</v>
      </c>
      <c r="DT145" s="62">
        <f ca="1">AVERAGE(OFFSET($DS$3,0,0,'Données projet'!$E$14+1,1))-AVERAGE(OFFSET($H$3,0,0,'Données projet'!$E$14+1,1))</f>
        <v>429.87867712133851</v>
      </c>
      <c r="DU145" s="62">
        <f t="shared" si="152"/>
        <v>182.81277865988014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0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0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1.1368683772161603E-13</v>
      </c>
      <c r="EK145" s="18">
        <f>EJ145*VLOOKUP('Données projet'!$B$15,Paramètres!$A$1:$I$89,3,0)*VLOOKUP('Données projet'!$B$15,Paramètres!$A$1:$I$89,5,0)</f>
        <v>7.626113074366004E-14</v>
      </c>
      <c r="EL145" s="14">
        <f t="shared" si="153"/>
        <v>1.1823749172251317E-12</v>
      </c>
      <c r="EM145" s="22">
        <f t="shared" si="127"/>
        <v>2.1921244502123119E-12</v>
      </c>
      <c r="EN145" s="62">
        <f t="shared" si="128"/>
        <v>285.6951575030613</v>
      </c>
      <c r="EO145" s="62">
        <f ca="1">AVERAGE(OFFSET($EN$3,0,0,'Données projet'!$E$15+1,1))-AVERAGE(OFFSET($H$3,0,0,'Données projet'!$E$15+1,1))</f>
        <v>296.18088377871669</v>
      </c>
      <c r="EP145" s="62">
        <f t="shared" si="154"/>
        <v>252.23833925792056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0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0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1.1368683772161603E-13</v>
      </c>
      <c r="FF145" s="18">
        <f>FE145*VLOOKUP('Données projet'!$B$16,Paramètres!$A$1:$I$89,3,0)*VLOOKUP('Données projet'!$B$16,Paramètres!$A$1:$I$89,5,0)</f>
        <v>9.7543306765146564E-14</v>
      </c>
      <c r="FG145" s="14">
        <f t="shared" si="155"/>
        <v>1.4696264278629426E-12</v>
      </c>
      <c r="FH145" s="22">
        <f t="shared" si="130"/>
        <v>2.7294872878105889E-12</v>
      </c>
      <c r="FI145" s="62">
        <f t="shared" si="131"/>
        <v>285.69515750306181</v>
      </c>
      <c r="FJ145" s="62">
        <f ca="1">AVERAGE(OFFSET($FI$3,0,0,'Données projet'!$E$16+1,1))-AVERAGE(OFFSET($H$3,0,0,'Données projet'!$E$16+1,1))</f>
        <v>359.20464555327072</v>
      </c>
      <c r="FK145" s="62">
        <f t="shared" si="156"/>
        <v>305.54154052071863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0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0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2.4</v>
      </c>
      <c r="N146" s="14">
        <f>IF('Données projet'!$A$36&gt;35,N145+M146-V145,IF(A146&lt;'Données projet'!$A$36,$K$205^A146,IF(A146='Données projet'!$A$36,'Données projet'!$B$36,N145+M146-V145)))</f>
        <v>276.19999999999919</v>
      </c>
      <c r="O146" s="14">
        <f>N146*VLOOKUP('Données projet'!$B$9,Paramètres!$A$1:$I$89,3,0)*VLOOKUP('Données projet'!$B$9,Paramètres!$A$1:$I$89,5,0)</f>
        <v>280.0667999999992</v>
      </c>
      <c r="P146" s="14">
        <f t="shared" si="141"/>
        <v>66.981125445388756</v>
      </c>
      <c r="Q146" s="22">
        <f t="shared" si="108"/>
        <v>604.44180348405064</v>
      </c>
      <c r="R146" s="62">
        <f t="shared" si="109"/>
        <v>890.26946626136214</v>
      </c>
      <c r="S146" s="62">
        <f ca="1">AVERAGE(OFFSET($R$3,0,0,'Données projet'!$E$9+1,1))-AVERAGE(OFFSET($H$3,0,0,'Données projet'!$E$9+1,1))</f>
        <v>516.30971934066179</v>
      </c>
      <c r="T146" s="62">
        <f t="shared" si="142"/>
        <v>290.84286505723571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2.4</v>
      </c>
      <c r="AI146" s="14">
        <f>IF('Données projet'!$A$62&gt;35,AI145+AH146-AQ145,IF(A146&lt;'Données projet'!$A$62,$AF$205^A146,IF(A146='Données projet'!$A$62,'Données projet'!$B$62,AI145+AH146-AQ145)))</f>
        <v>276.19999999999919</v>
      </c>
      <c r="AJ146" s="14">
        <f>AI146*VLOOKUP('Données projet'!$B$10,Paramètres!$A$1:$I$89,3,0)*VLOOKUP('Données projet'!$B$10,Paramètres!$A$1:$I$89,5,0)</f>
        <v>297.30167999999912</v>
      </c>
      <c r="AK146" s="14">
        <f t="shared" si="143"/>
        <v>70.610494849824818</v>
      </c>
      <c r="AL146" s="22">
        <f t="shared" si="112"/>
        <v>640.78037119677663</v>
      </c>
      <c r="AM146" s="62">
        <f t="shared" si="113"/>
        <v>926.60803397408813</v>
      </c>
      <c r="AN146" s="62">
        <f ca="1">AVERAGE(OFFSET($AM$3,0,0,'Données projet'!$E$10+1,1))-AVERAGE(OFFSET($H$3,0,0,'Données projet'!$E$10+1,1))</f>
        <v>542.90832990875208</v>
      </c>
      <c r="AO146" s="62">
        <f t="shared" si="144"/>
        <v>304.94365539329362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2.4</v>
      </c>
      <c r="BD146" s="13">
        <f>IF('Données projet'!$A$88&gt;35,BD145+BC146-BL145,IF(A146&lt;'Données projet'!$A$88,$BA$205^A146,IF(A146='Données projet'!$A$88,'Données projet'!$B$88,BD145+BC146-BL145)))</f>
        <v>276.19999999999919</v>
      </c>
      <c r="BE146" s="14">
        <f>BD146*VLOOKUP('Données projet'!$B$11,Paramètres!$A$1:$I$89,3,0)*VLOOKUP('Données projet'!$B$11,Paramètres!$A$1:$I$89,5,0)</f>
        <v>267.14063999999922</v>
      </c>
      <c r="BF146" s="14">
        <f t="shared" si="145"/>
        <v>64.242065428895785</v>
      </c>
      <c r="BG146" s="22">
        <f t="shared" si="115"/>
        <v>577.15821195532533</v>
      </c>
      <c r="BH146" s="62">
        <f t="shared" si="116"/>
        <v>862.98587473263683</v>
      </c>
      <c r="BI146" s="62">
        <f ca="1">AVERAGE(OFFSET($BH$3,0,0,'Données projet'!$E$11+1,1))-AVERAGE(OFFSET($H$3,0,0,'Données projet'!$E$11+1,1))</f>
        <v>496.33873798282525</v>
      </c>
      <c r="BJ146" s="62">
        <f t="shared" si="146"/>
        <v>280.25465074992246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1.7053025658242404E-13</v>
      </c>
      <c r="BZ146" s="14">
        <f>BY146*VLOOKUP('Données projet'!$B$12,Paramètres!$A$1:$I$89,3,0)*VLOOKUP('Données projet'!$B$12,Paramètres!$A$1:$I$89,5,0)</f>
        <v>1.4897523215040567E-13</v>
      </c>
      <c r="CA146" s="14">
        <f t="shared" si="147"/>
        <v>2.136562777003313E-12</v>
      </c>
      <c r="CB146" s="22">
        <f t="shared" si="118"/>
        <v>3.9806453659427267E-12</v>
      </c>
      <c r="CC146" s="62">
        <f t="shared" si="119"/>
        <v>285.82766277731542</v>
      </c>
      <c r="CD146" s="62">
        <f ca="1">AVERAGE(OFFSET($CC$3,0,0,'Données projet'!$E$12+1,1))-AVERAGE(OFFSET($H$3,0,0,'Données projet'!$E$12+1,1))</f>
        <v>298.28891728374822</v>
      </c>
      <c r="CE146" s="62">
        <f t="shared" si="148"/>
        <v>275.07405533331371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1.1368683772161603E-13</v>
      </c>
      <c r="CU146" s="18">
        <f>CT146*VLOOKUP('Données projet'!$B$13,Paramètres!$A$1:$I$89,3,0)*VLOOKUP('Données projet'!$B$13,Paramètres!$A$1:$I$89,5,0)</f>
        <v>6.7984728957526396E-14</v>
      </c>
      <c r="CV146" s="14">
        <f t="shared" si="149"/>
        <v>1.0682447123141398E-12</v>
      </c>
      <c r="CW146" s="22">
        <f t="shared" si="121"/>
        <v>1.978932943548152E-12</v>
      </c>
      <c r="CX146" s="62">
        <f t="shared" si="122"/>
        <v>285.82766277731344</v>
      </c>
      <c r="CY146" s="62">
        <f ca="1">AVERAGE(OFFSET($CX$3,0,0,'Données projet'!$E$13+1,1))-AVERAGE(OFFSET($H$3,0,0,'Données projet'!$E$13+1,1))</f>
        <v>320.46614113586043</v>
      </c>
      <c r="CZ146" s="62">
        <f t="shared" si="150"/>
        <v>250.7806929924491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0</v>
      </c>
      <c r="DG146" s="23">
        <f>EXP(-LN(2)/25)*DG145+(1-EXP(-LN(2)/25))/(LN(2)/25)*Calculateur!DB146*Calculateur!DD146*VLOOKUP('Données projet'!$B$13,Paramètres!$A$1:$I$89,3,0)*0.475*44/12</f>
        <v>0</v>
      </c>
      <c r="DH146" s="23">
        <f>EXP(-LN(2)/2)*DH145+(1-EXP(-LN(2)/2))/(LN(2)/2)*DB146*DE146*VLOOKUP('Données projet'!$B$13,Paramètres!$A$1:$I$89,3,0)*0.475*44/12</f>
        <v>9.3018643927217483E-17</v>
      </c>
      <c r="DI146" s="24">
        <f t="shared" si="123"/>
        <v>9.3018643927217483E-17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-1.1368683772161603E-13</v>
      </c>
      <c r="DP146" s="18">
        <f>DO146*VLOOKUP('Données projet'!$B$14,Paramètres!$A$1:$I$89,3,0)*VLOOKUP('Données projet'!$B$14,Paramètres!$A$1:$I$89,5,0)</f>
        <v>-5.3205440053716299E-14</v>
      </c>
      <c r="DQ146" s="14" t="e">
        <f t="shared" si="151"/>
        <v>#NUM!</v>
      </c>
      <c r="DR146" s="22" t="e">
        <f t="shared" si="124"/>
        <v>#NUM!</v>
      </c>
      <c r="DS146" s="62" t="e">
        <f t="shared" si="125"/>
        <v>#NUM!</v>
      </c>
      <c r="DT146" s="62">
        <f ca="1">AVERAGE(OFFSET($DS$3,0,0,'Données projet'!$E$14+1,1))-AVERAGE(OFFSET($H$3,0,0,'Données projet'!$E$14+1,1))</f>
        <v>429.87867712133851</v>
      </c>
      <c r="DU146" s="62">
        <f t="shared" si="152"/>
        <v>182.81277865988014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0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0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1.1368683772161603E-13</v>
      </c>
      <c r="EK146" s="18">
        <f>EJ146*VLOOKUP('Données projet'!$B$15,Paramètres!$A$1:$I$89,3,0)*VLOOKUP('Données projet'!$B$15,Paramètres!$A$1:$I$89,5,0)</f>
        <v>7.626113074366004E-14</v>
      </c>
      <c r="EL146" s="14">
        <f t="shared" si="153"/>
        <v>1.1823749172251317E-12</v>
      </c>
      <c r="EM146" s="22">
        <f t="shared" si="127"/>
        <v>2.1921244502123119E-12</v>
      </c>
      <c r="EN146" s="62">
        <f t="shared" si="128"/>
        <v>285.82766277731366</v>
      </c>
      <c r="EO146" s="62">
        <f ca="1">AVERAGE(OFFSET($EN$3,0,0,'Données projet'!$E$15+1,1))-AVERAGE(OFFSET($H$3,0,0,'Données projet'!$E$15+1,1))</f>
        <v>296.18088377871669</v>
      </c>
      <c r="EP146" s="62">
        <f t="shared" si="154"/>
        <v>252.23833925792056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0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0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1.1368683772161603E-13</v>
      </c>
      <c r="FF146" s="18">
        <f>FE146*VLOOKUP('Données projet'!$B$16,Paramètres!$A$1:$I$89,3,0)*VLOOKUP('Données projet'!$B$16,Paramètres!$A$1:$I$89,5,0)</f>
        <v>9.7543306765146564E-14</v>
      </c>
      <c r="FG146" s="14">
        <f t="shared" si="155"/>
        <v>1.4696264278629426E-12</v>
      </c>
      <c r="FH146" s="22">
        <f t="shared" si="130"/>
        <v>2.7294872878105889E-12</v>
      </c>
      <c r="FI146" s="62">
        <f t="shared" si="131"/>
        <v>285.82766277731417</v>
      </c>
      <c r="FJ146" s="62">
        <f ca="1">AVERAGE(OFFSET($FI$3,0,0,'Données projet'!$E$16+1,1))-AVERAGE(OFFSET($H$3,0,0,'Données projet'!$E$16+1,1))</f>
        <v>359.20464555327072</v>
      </c>
      <c r="FK146" s="62">
        <f t="shared" si="156"/>
        <v>305.54154052071863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0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0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2.4</v>
      </c>
      <c r="N147" s="14">
        <f>IF('Données projet'!$A$36&gt;35,N146+M147-V146,IF(A147&lt;'Données projet'!$A$36,$K$205^A147,IF(A147='Données projet'!$A$36,'Données projet'!$B$36,N146+M147-V146)))</f>
        <v>278.59999999999917</v>
      </c>
      <c r="O147" s="14">
        <f>N147*VLOOKUP('Données projet'!$B$9,Paramètres!$A$1:$I$89,3,0)*VLOOKUP('Données projet'!$B$9,Paramètres!$A$1:$I$89,5,0)</f>
        <v>282.50039999999916</v>
      </c>
      <c r="P147" s="14">
        <f t="shared" si="141"/>
        <v>67.495141560894254</v>
      </c>
      <c r="Q147" s="22">
        <f t="shared" si="108"/>
        <v>609.57556821855599</v>
      </c>
      <c r="R147" s="62">
        <f t="shared" si="109"/>
        <v>895.53343759984887</v>
      </c>
      <c r="S147" s="62">
        <f ca="1">AVERAGE(OFFSET($R$3,0,0,'Données projet'!$E$9+1,1))-AVERAGE(OFFSET($H$3,0,0,'Données projet'!$E$9+1,1))</f>
        <v>516.30971934066179</v>
      </c>
      <c r="T147" s="62">
        <f t="shared" si="142"/>
        <v>290.84286505723571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2.4</v>
      </c>
      <c r="AI147" s="14">
        <f>IF('Données projet'!$A$62&gt;35,AI146+AH147-AQ146,IF(A147&lt;'Données projet'!$A$62,$AF$205^A147,IF(A147='Données projet'!$A$62,'Données projet'!$B$62,AI146+AH147-AQ146)))</f>
        <v>278.59999999999917</v>
      </c>
      <c r="AJ147" s="14">
        <f>AI147*VLOOKUP('Données projet'!$B$10,Paramètres!$A$1:$I$89,3,0)*VLOOKUP('Données projet'!$B$10,Paramètres!$A$1:$I$89,5,0)</f>
        <v>299.88503999999909</v>
      </c>
      <c r="AK147" s="14">
        <f t="shared" si="143"/>
        <v>71.152362906464447</v>
      </c>
      <c r="AL147" s="22">
        <f t="shared" si="112"/>
        <v>646.2234767287573</v>
      </c>
      <c r="AM147" s="62">
        <f t="shared" si="113"/>
        <v>932.18134611005019</v>
      </c>
      <c r="AN147" s="62">
        <f ca="1">AVERAGE(OFFSET($AM$3,0,0,'Données projet'!$E$10+1,1))-AVERAGE(OFFSET($H$3,0,0,'Données projet'!$E$10+1,1))</f>
        <v>542.90832990875208</v>
      </c>
      <c r="AO147" s="62">
        <f t="shared" si="144"/>
        <v>304.94365539329362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2.4</v>
      </c>
      <c r="BD147" s="13">
        <f>IF('Données projet'!$A$88&gt;35,BD146+BC147-BL146,IF(A147&lt;'Données projet'!$A$88,$BA$205^A147,IF(A147='Données projet'!$A$88,'Données projet'!$B$88,BD146+BC147-BL146)))</f>
        <v>278.59999999999917</v>
      </c>
      <c r="BE147" s="14">
        <f>BD147*VLOOKUP('Données projet'!$B$11,Paramètres!$A$1:$I$89,3,0)*VLOOKUP('Données projet'!$B$11,Paramètres!$A$1:$I$89,5,0)</f>
        <v>269.46191999999922</v>
      </c>
      <c r="BF147" s="14">
        <f t="shared" si="145"/>
        <v>64.735061876838927</v>
      </c>
      <c r="BG147" s="22">
        <f t="shared" si="115"/>
        <v>582.05974343549315</v>
      </c>
      <c r="BH147" s="62">
        <f t="shared" si="116"/>
        <v>868.01761281678603</v>
      </c>
      <c r="BI147" s="62">
        <f ca="1">AVERAGE(OFFSET($BH$3,0,0,'Données projet'!$E$11+1,1))-AVERAGE(OFFSET($H$3,0,0,'Données projet'!$E$11+1,1))</f>
        <v>496.33873798282525</v>
      </c>
      <c r="BJ147" s="62">
        <f t="shared" si="146"/>
        <v>280.25465074992246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1.7053025658242404E-13</v>
      </c>
      <c r="BZ147" s="14">
        <f>BY147*VLOOKUP('Données projet'!$B$12,Paramètres!$A$1:$I$89,3,0)*VLOOKUP('Données projet'!$B$12,Paramètres!$A$1:$I$89,5,0)</f>
        <v>1.4897523215040567E-13</v>
      </c>
      <c r="CA147" s="14">
        <f t="shared" si="147"/>
        <v>2.136562777003313E-12</v>
      </c>
      <c r="CB147" s="22">
        <f t="shared" si="118"/>
        <v>3.9806453659427267E-12</v>
      </c>
      <c r="CC147" s="62">
        <f t="shared" si="119"/>
        <v>285.95786938129686</v>
      </c>
      <c r="CD147" s="62">
        <f ca="1">AVERAGE(OFFSET($CC$3,0,0,'Données projet'!$E$12+1,1))-AVERAGE(OFFSET($H$3,0,0,'Données projet'!$E$12+1,1))</f>
        <v>298.28891728374822</v>
      </c>
      <c r="CE147" s="62">
        <f t="shared" si="148"/>
        <v>275.07405533331371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1.1368683772161603E-13</v>
      </c>
      <c r="CU147" s="18">
        <f>CT147*VLOOKUP('Données projet'!$B$13,Paramètres!$A$1:$I$89,3,0)*VLOOKUP('Données projet'!$B$13,Paramètres!$A$1:$I$89,5,0)</f>
        <v>6.7984728957526396E-14</v>
      </c>
      <c r="CV147" s="14">
        <f t="shared" si="149"/>
        <v>1.0682447123141398E-12</v>
      </c>
      <c r="CW147" s="22">
        <f t="shared" si="121"/>
        <v>1.978932943548152E-12</v>
      </c>
      <c r="CX147" s="62">
        <f t="shared" si="122"/>
        <v>285.95786938129487</v>
      </c>
      <c r="CY147" s="62">
        <f ca="1">AVERAGE(OFFSET($CX$3,0,0,'Données projet'!$E$13+1,1))-AVERAGE(OFFSET($H$3,0,0,'Données projet'!$E$13+1,1))</f>
        <v>320.46614113586043</v>
      </c>
      <c r="CZ147" s="62">
        <f t="shared" si="150"/>
        <v>250.7806929924491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0</v>
      </c>
      <c r="DG147" s="23">
        <f>EXP(-LN(2)/25)*DG146+(1-EXP(-LN(2)/25))/(LN(2)/25)*Calculateur!DB147*Calculateur!DD147*VLOOKUP('Données projet'!$B$13,Paramètres!$A$1:$I$89,3,0)*0.475*44/12</f>
        <v>0</v>
      </c>
      <c r="DH147" s="23">
        <f>EXP(-LN(2)/2)*DH146+(1-EXP(-LN(2)/2))/(LN(2)/2)*DB147*DE147*VLOOKUP('Données projet'!$B$13,Paramètres!$A$1:$I$89,3,0)*0.475*44/12</f>
        <v>6.5774113897712349E-17</v>
      </c>
      <c r="DI147" s="24">
        <f t="shared" si="123"/>
        <v>6.5774113897712349E-17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-1.1368683772161603E-13</v>
      </c>
      <c r="DP147" s="18">
        <f>DO147*VLOOKUP('Données projet'!$B$14,Paramètres!$A$1:$I$89,3,0)*VLOOKUP('Données projet'!$B$14,Paramètres!$A$1:$I$89,5,0)</f>
        <v>-5.3205440053716299E-14</v>
      </c>
      <c r="DQ147" s="14" t="e">
        <f t="shared" si="151"/>
        <v>#NUM!</v>
      </c>
      <c r="DR147" s="22" t="e">
        <f t="shared" si="124"/>
        <v>#NUM!</v>
      </c>
      <c r="DS147" s="62" t="e">
        <f t="shared" si="125"/>
        <v>#NUM!</v>
      </c>
      <c r="DT147" s="62">
        <f ca="1">AVERAGE(OFFSET($DS$3,0,0,'Données projet'!$E$14+1,1))-AVERAGE(OFFSET($H$3,0,0,'Données projet'!$E$14+1,1))</f>
        <v>429.87867712133851</v>
      </c>
      <c r="DU147" s="62">
        <f t="shared" si="152"/>
        <v>182.81277865988014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0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0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1.1368683772161603E-13</v>
      </c>
      <c r="EK147" s="18">
        <f>EJ147*VLOOKUP('Données projet'!$B$15,Paramètres!$A$1:$I$89,3,0)*VLOOKUP('Données projet'!$B$15,Paramètres!$A$1:$I$89,5,0)</f>
        <v>7.626113074366004E-14</v>
      </c>
      <c r="EL147" s="14">
        <f t="shared" si="153"/>
        <v>1.1823749172251317E-12</v>
      </c>
      <c r="EM147" s="22">
        <f t="shared" si="127"/>
        <v>2.1921244502123119E-12</v>
      </c>
      <c r="EN147" s="62">
        <f t="shared" si="128"/>
        <v>285.9578693812951</v>
      </c>
      <c r="EO147" s="62">
        <f ca="1">AVERAGE(OFFSET($EN$3,0,0,'Données projet'!$E$15+1,1))-AVERAGE(OFFSET($H$3,0,0,'Données projet'!$E$15+1,1))</f>
        <v>296.18088377871669</v>
      </c>
      <c r="EP147" s="62">
        <f t="shared" si="154"/>
        <v>252.23833925792056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0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0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1.1368683772161603E-13</v>
      </c>
      <c r="FF147" s="18">
        <f>FE147*VLOOKUP('Données projet'!$B$16,Paramètres!$A$1:$I$89,3,0)*VLOOKUP('Données projet'!$B$16,Paramètres!$A$1:$I$89,5,0)</f>
        <v>9.7543306765146564E-14</v>
      </c>
      <c r="FG147" s="14">
        <f t="shared" si="155"/>
        <v>1.4696264278629426E-12</v>
      </c>
      <c r="FH147" s="22">
        <f t="shared" si="130"/>
        <v>2.7294872878105889E-12</v>
      </c>
      <c r="FI147" s="62">
        <f t="shared" si="131"/>
        <v>285.95786938129561</v>
      </c>
      <c r="FJ147" s="62">
        <f ca="1">AVERAGE(OFFSET($FI$3,0,0,'Données projet'!$E$16+1,1))-AVERAGE(OFFSET($H$3,0,0,'Données projet'!$E$16+1,1))</f>
        <v>359.20464555327072</v>
      </c>
      <c r="FK147" s="62">
        <f t="shared" si="156"/>
        <v>305.54154052071863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0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0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2.4</v>
      </c>
      <c r="N148" s="14">
        <f>IF('Données projet'!$A$36&gt;35,N147+M148-V147,IF(A148&lt;'Données projet'!$A$36,$K$205^A148,IF(A148='Données projet'!$A$36,'Données projet'!$B$36,N147+M148-V147)))</f>
        <v>280.99999999999915</v>
      </c>
      <c r="O148" s="14">
        <f>N148*VLOOKUP('Données projet'!$B$9,Paramètres!$A$1:$I$89,3,0)*VLOOKUP('Données projet'!$B$9,Paramètres!$A$1:$I$89,5,0)</f>
        <v>284.93399999999917</v>
      </c>
      <c r="P148" s="14">
        <f t="shared" si="141"/>
        <v>68.008642509673109</v>
      </c>
      <c r="Q148" s="22">
        <f t="shared" si="108"/>
        <v>614.7084357043459</v>
      </c>
      <c r="R148" s="62">
        <f t="shared" si="109"/>
        <v>900.79425289613948</v>
      </c>
      <c r="S148" s="62">
        <f ca="1">AVERAGE(OFFSET($R$3,0,0,'Données projet'!$E$9+1,1))-AVERAGE(OFFSET($H$3,0,0,'Données projet'!$E$9+1,1))</f>
        <v>516.30971934066179</v>
      </c>
      <c r="T148" s="62">
        <f t="shared" si="142"/>
        <v>290.84286505723571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2.4</v>
      </c>
      <c r="AI148" s="14">
        <f>IF('Données projet'!$A$62&gt;35,AI147+AH148-AQ147,IF(A148&lt;'Données projet'!$A$62,$AF$205^A148,IF(A148='Données projet'!$A$62,'Données projet'!$B$62,AI147+AH148-AQ147)))</f>
        <v>280.99999999999915</v>
      </c>
      <c r="AJ148" s="14">
        <f>AI148*VLOOKUP('Données projet'!$B$10,Paramètres!$A$1:$I$89,3,0)*VLOOKUP('Données projet'!$B$10,Paramètres!$A$1:$I$89,5,0)</f>
        <v>302.46839999999906</v>
      </c>
      <c r="AK148" s="14">
        <f t="shared" si="143"/>
        <v>71.693687882090543</v>
      </c>
      <c r="AL148" s="22">
        <f t="shared" si="112"/>
        <v>651.66563639463936</v>
      </c>
      <c r="AM148" s="62">
        <f t="shared" si="113"/>
        <v>937.75145358643294</v>
      </c>
      <c r="AN148" s="62">
        <f ca="1">AVERAGE(OFFSET($AM$3,0,0,'Données projet'!$E$10+1,1))-AVERAGE(OFFSET($H$3,0,0,'Données projet'!$E$10+1,1))</f>
        <v>542.90832990875208</v>
      </c>
      <c r="AO148" s="62">
        <f t="shared" si="144"/>
        <v>304.94365539329362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2.4</v>
      </c>
      <c r="BD148" s="13">
        <f>IF('Données projet'!$A$88&gt;35,BD147+BC148-BL147,IF(A148&lt;'Données projet'!$A$88,$BA$205^A148,IF(A148='Données projet'!$A$88,'Données projet'!$B$88,BD147+BC148-BL147)))</f>
        <v>280.99999999999915</v>
      </c>
      <c r="BE148" s="14">
        <f>BD148*VLOOKUP('Données projet'!$B$11,Paramètres!$A$1:$I$89,3,0)*VLOOKUP('Données projet'!$B$11,Paramètres!$A$1:$I$89,5,0)</f>
        <v>271.78319999999917</v>
      </c>
      <c r="BF148" s="14">
        <f t="shared" si="145"/>
        <v>65.227564224775008</v>
      </c>
      <c r="BG148" s="22">
        <f t="shared" si="115"/>
        <v>586.96041435814834</v>
      </c>
      <c r="BH148" s="62">
        <f t="shared" si="116"/>
        <v>873.04623154994192</v>
      </c>
      <c r="BI148" s="62">
        <f ca="1">AVERAGE(OFFSET($BH$3,0,0,'Données projet'!$E$11+1,1))-AVERAGE(OFFSET($H$3,0,0,'Données projet'!$E$11+1,1))</f>
        <v>496.33873798282525</v>
      </c>
      <c r="BJ148" s="62">
        <f t="shared" si="146"/>
        <v>280.25465074992246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1.7053025658242404E-13</v>
      </c>
      <c r="BZ148" s="14">
        <f>BY148*VLOOKUP('Données projet'!$B$12,Paramètres!$A$1:$I$89,3,0)*VLOOKUP('Données projet'!$B$12,Paramètres!$A$1:$I$89,5,0)</f>
        <v>1.4897523215040567E-13</v>
      </c>
      <c r="CA148" s="14">
        <f t="shared" si="147"/>
        <v>2.136562777003313E-12</v>
      </c>
      <c r="CB148" s="22">
        <f t="shared" si="118"/>
        <v>3.9806453659427267E-12</v>
      </c>
      <c r="CC148" s="62">
        <f t="shared" si="119"/>
        <v>286.08581719179756</v>
      </c>
      <c r="CD148" s="62">
        <f ca="1">AVERAGE(OFFSET($CC$3,0,0,'Données projet'!$E$12+1,1))-AVERAGE(OFFSET($H$3,0,0,'Données projet'!$E$12+1,1))</f>
        <v>298.28891728374822</v>
      </c>
      <c r="CE148" s="62">
        <f t="shared" si="148"/>
        <v>275.07405533331371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1.1368683772161603E-13</v>
      </c>
      <c r="CU148" s="18">
        <f>CT148*VLOOKUP('Données projet'!$B$13,Paramètres!$A$1:$I$89,3,0)*VLOOKUP('Données projet'!$B$13,Paramètres!$A$1:$I$89,5,0)</f>
        <v>6.7984728957526396E-14</v>
      </c>
      <c r="CV148" s="14">
        <f t="shared" si="149"/>
        <v>1.0682447123141398E-12</v>
      </c>
      <c r="CW148" s="22">
        <f t="shared" si="121"/>
        <v>1.978932943548152E-12</v>
      </c>
      <c r="CX148" s="62">
        <f t="shared" si="122"/>
        <v>286.08581719179557</v>
      </c>
      <c r="CY148" s="62">
        <f ca="1">AVERAGE(OFFSET($CX$3,0,0,'Données projet'!$E$13+1,1))-AVERAGE(OFFSET($H$3,0,0,'Données projet'!$E$13+1,1))</f>
        <v>320.46614113586043</v>
      </c>
      <c r="CZ148" s="62">
        <f t="shared" si="150"/>
        <v>250.7806929924491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0</v>
      </c>
      <c r="DG148" s="23">
        <f>EXP(-LN(2)/25)*DG147+(1-EXP(-LN(2)/25))/(LN(2)/25)*Calculateur!DB148*Calculateur!DD148*VLOOKUP('Données projet'!$B$13,Paramètres!$A$1:$I$89,3,0)*0.475*44/12</f>
        <v>0</v>
      </c>
      <c r="DH148" s="23">
        <f>EXP(-LN(2)/2)*DH147+(1-EXP(-LN(2)/2))/(LN(2)/2)*DB148*DE148*VLOOKUP('Données projet'!$B$13,Paramètres!$A$1:$I$89,3,0)*0.475*44/12</f>
        <v>4.6509321963608741E-17</v>
      </c>
      <c r="DI148" s="24">
        <f t="shared" si="123"/>
        <v>4.6509321963608741E-17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-1.1368683772161603E-13</v>
      </c>
      <c r="DP148" s="18">
        <f>DO148*VLOOKUP('Données projet'!$B$14,Paramètres!$A$1:$I$89,3,0)*VLOOKUP('Données projet'!$B$14,Paramètres!$A$1:$I$89,5,0)</f>
        <v>-5.3205440053716299E-14</v>
      </c>
      <c r="DQ148" s="14" t="e">
        <f t="shared" si="151"/>
        <v>#NUM!</v>
      </c>
      <c r="DR148" s="22" t="e">
        <f t="shared" si="124"/>
        <v>#NUM!</v>
      </c>
      <c r="DS148" s="62" t="e">
        <f t="shared" si="125"/>
        <v>#NUM!</v>
      </c>
      <c r="DT148" s="62">
        <f ca="1">AVERAGE(OFFSET($DS$3,0,0,'Données projet'!$E$14+1,1))-AVERAGE(OFFSET($H$3,0,0,'Données projet'!$E$14+1,1))</f>
        <v>429.87867712133851</v>
      </c>
      <c r="DU148" s="62">
        <f t="shared" si="152"/>
        <v>182.81277865988014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0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0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1.1368683772161603E-13</v>
      </c>
      <c r="EK148" s="18">
        <f>EJ148*VLOOKUP('Données projet'!$B$15,Paramètres!$A$1:$I$89,3,0)*VLOOKUP('Données projet'!$B$15,Paramètres!$A$1:$I$89,5,0)</f>
        <v>7.626113074366004E-14</v>
      </c>
      <c r="EL148" s="14">
        <f t="shared" si="153"/>
        <v>1.1823749172251317E-12</v>
      </c>
      <c r="EM148" s="22">
        <f t="shared" si="127"/>
        <v>2.1921244502123119E-12</v>
      </c>
      <c r="EN148" s="62">
        <f t="shared" si="128"/>
        <v>286.0858171917958</v>
      </c>
      <c r="EO148" s="62">
        <f ca="1">AVERAGE(OFFSET($EN$3,0,0,'Données projet'!$E$15+1,1))-AVERAGE(OFFSET($H$3,0,0,'Données projet'!$E$15+1,1))</f>
        <v>296.18088377871669</v>
      </c>
      <c r="EP148" s="62">
        <f t="shared" si="154"/>
        <v>252.23833925792056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0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0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1.1368683772161603E-13</v>
      </c>
      <c r="FF148" s="18">
        <f>FE148*VLOOKUP('Données projet'!$B$16,Paramètres!$A$1:$I$89,3,0)*VLOOKUP('Données projet'!$B$16,Paramètres!$A$1:$I$89,5,0)</f>
        <v>9.7543306765146564E-14</v>
      </c>
      <c r="FG148" s="14">
        <f t="shared" si="155"/>
        <v>1.4696264278629426E-12</v>
      </c>
      <c r="FH148" s="22">
        <f t="shared" si="130"/>
        <v>2.7294872878105889E-12</v>
      </c>
      <c r="FI148" s="62">
        <f t="shared" si="131"/>
        <v>286.08581719179631</v>
      </c>
      <c r="FJ148" s="62">
        <f ca="1">AVERAGE(OFFSET($FI$3,0,0,'Données projet'!$E$16+1,1))-AVERAGE(OFFSET($H$3,0,0,'Données projet'!$E$16+1,1))</f>
        <v>359.20464555327072</v>
      </c>
      <c r="FK148" s="62">
        <f t="shared" si="156"/>
        <v>305.54154052071863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0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0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2.4</v>
      </c>
      <c r="N149" s="14">
        <f>IF('Données projet'!$A$36&gt;35,N148+M149-V148,IF(A149&lt;'Données projet'!$A$36,$K$205^A149,IF(A149='Données projet'!$A$36,'Données projet'!$B$36,N148+M149-V148)))</f>
        <v>283.39999999999912</v>
      </c>
      <c r="O149" s="14">
        <f>N149*VLOOKUP('Données projet'!$B$9,Paramètres!$A$1:$I$89,3,0)*VLOOKUP('Données projet'!$B$9,Paramètres!$A$1:$I$89,5,0)</f>
        <v>287.36759999999913</v>
      </c>
      <c r="P149" s="14">
        <f t="shared" si="141"/>
        <v>68.521633201564995</v>
      </c>
      <c r="Q149" s="22">
        <f t="shared" si="108"/>
        <v>619.84041449272411</v>
      </c>
      <c r="R149" s="62">
        <f t="shared" si="109"/>
        <v>906.05195988655476</v>
      </c>
      <c r="S149" s="62">
        <f ca="1">AVERAGE(OFFSET($R$3,0,0,'Données projet'!$E$9+1,1))-AVERAGE(OFFSET($H$3,0,0,'Données projet'!$E$9+1,1))</f>
        <v>516.30971934066179</v>
      </c>
      <c r="T149" s="62">
        <f t="shared" si="142"/>
        <v>290.84286505723571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2.4</v>
      </c>
      <c r="AI149" s="14">
        <f>IF('Données projet'!$A$62&gt;35,AI148+AH149-AQ148,IF(A149&lt;'Données projet'!$A$62,$AF$205^A149,IF(A149='Données projet'!$A$62,'Données projet'!$B$62,AI148+AH149-AQ148)))</f>
        <v>283.39999999999912</v>
      </c>
      <c r="AJ149" s="14">
        <f>AI149*VLOOKUP('Données projet'!$B$10,Paramètres!$A$1:$I$89,3,0)*VLOOKUP('Données projet'!$B$10,Paramètres!$A$1:$I$89,5,0)</f>
        <v>305.05175999999904</v>
      </c>
      <c r="AK149" s="14">
        <f t="shared" si="143"/>
        <v>72.234474952581991</v>
      </c>
      <c r="AL149" s="22">
        <f t="shared" si="112"/>
        <v>657.10685920907861</v>
      </c>
      <c r="AM149" s="62">
        <f t="shared" si="113"/>
        <v>943.31840460290925</v>
      </c>
      <c r="AN149" s="62">
        <f ca="1">AVERAGE(OFFSET($AM$3,0,0,'Données projet'!$E$10+1,1))-AVERAGE(OFFSET($H$3,0,0,'Données projet'!$E$10+1,1))</f>
        <v>542.90832990875208</v>
      </c>
      <c r="AO149" s="62">
        <f t="shared" si="144"/>
        <v>304.94365539329362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2.4</v>
      </c>
      <c r="BD149" s="13">
        <f>IF('Données projet'!$A$88&gt;35,BD148+BC149-BL148,IF(A149&lt;'Données projet'!$A$88,$BA$205^A149,IF(A149='Données projet'!$A$88,'Données projet'!$B$88,BD148+BC149-BL148)))</f>
        <v>283.39999999999912</v>
      </c>
      <c r="BE149" s="14">
        <f>BD149*VLOOKUP('Données projet'!$B$11,Paramètres!$A$1:$I$89,3,0)*VLOOKUP('Données projet'!$B$11,Paramètres!$A$1:$I$89,5,0)</f>
        <v>274.10447999999917</v>
      </c>
      <c r="BF149" s="14">
        <f t="shared" si="145"/>
        <v>65.719577181765331</v>
      </c>
      <c r="BG149" s="22">
        <f t="shared" si="115"/>
        <v>591.86023292490643</v>
      </c>
      <c r="BH149" s="62">
        <f t="shared" si="116"/>
        <v>878.07177831873707</v>
      </c>
      <c r="BI149" s="62">
        <f ca="1">AVERAGE(OFFSET($BH$3,0,0,'Données projet'!$E$11+1,1))-AVERAGE(OFFSET($H$3,0,0,'Données projet'!$E$11+1,1))</f>
        <v>496.33873798282525</v>
      </c>
      <c r="BJ149" s="62">
        <f t="shared" si="146"/>
        <v>280.25465074992246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1.7053025658242404E-13</v>
      </c>
      <c r="BZ149" s="14">
        <f>BY149*VLOOKUP('Données projet'!$B$12,Paramètres!$A$1:$I$89,3,0)*VLOOKUP('Données projet'!$B$12,Paramètres!$A$1:$I$89,5,0)</f>
        <v>1.4897523215040567E-13</v>
      </c>
      <c r="CA149" s="14">
        <f t="shared" si="147"/>
        <v>2.136562777003313E-12</v>
      </c>
      <c r="CB149" s="22">
        <f t="shared" si="118"/>
        <v>3.9806453659427267E-12</v>
      </c>
      <c r="CC149" s="62">
        <f t="shared" si="119"/>
        <v>286.21154539383463</v>
      </c>
      <c r="CD149" s="62">
        <f ca="1">AVERAGE(OFFSET($CC$3,0,0,'Données projet'!$E$12+1,1))-AVERAGE(OFFSET($H$3,0,0,'Données projet'!$E$12+1,1))</f>
        <v>298.28891728374822</v>
      </c>
      <c r="CE149" s="62">
        <f t="shared" si="148"/>
        <v>275.07405533331371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1.1368683772161603E-13</v>
      </c>
      <c r="CU149" s="18">
        <f>CT149*VLOOKUP('Données projet'!$B$13,Paramètres!$A$1:$I$89,3,0)*VLOOKUP('Données projet'!$B$13,Paramètres!$A$1:$I$89,5,0)</f>
        <v>6.7984728957526396E-14</v>
      </c>
      <c r="CV149" s="14">
        <f t="shared" si="149"/>
        <v>1.0682447123141398E-12</v>
      </c>
      <c r="CW149" s="22">
        <f t="shared" si="121"/>
        <v>1.978932943548152E-12</v>
      </c>
      <c r="CX149" s="62">
        <f t="shared" si="122"/>
        <v>286.21154539383264</v>
      </c>
      <c r="CY149" s="62">
        <f ca="1">AVERAGE(OFFSET($CX$3,0,0,'Données projet'!$E$13+1,1))-AVERAGE(OFFSET($H$3,0,0,'Données projet'!$E$13+1,1))</f>
        <v>320.46614113586043</v>
      </c>
      <c r="CZ149" s="62">
        <f t="shared" si="150"/>
        <v>250.7806929924491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0</v>
      </c>
      <c r="DG149" s="23">
        <f>EXP(-LN(2)/25)*DG148+(1-EXP(-LN(2)/25))/(LN(2)/25)*Calculateur!DB149*Calculateur!DD149*VLOOKUP('Données projet'!$B$13,Paramètres!$A$1:$I$89,3,0)*0.475*44/12</f>
        <v>0</v>
      </c>
      <c r="DH149" s="23">
        <f>EXP(-LN(2)/2)*DH148+(1-EXP(-LN(2)/2))/(LN(2)/2)*DB149*DE149*VLOOKUP('Données projet'!$B$13,Paramètres!$A$1:$I$89,3,0)*0.475*44/12</f>
        <v>3.2887056948856174E-17</v>
      </c>
      <c r="DI149" s="24">
        <f t="shared" si="123"/>
        <v>3.2887056948856174E-17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-1.1368683772161603E-13</v>
      </c>
      <c r="DP149" s="18">
        <f>DO149*VLOOKUP('Données projet'!$B$14,Paramètres!$A$1:$I$89,3,0)*VLOOKUP('Données projet'!$B$14,Paramètres!$A$1:$I$89,5,0)</f>
        <v>-5.3205440053716299E-14</v>
      </c>
      <c r="DQ149" s="14" t="e">
        <f t="shared" si="151"/>
        <v>#NUM!</v>
      </c>
      <c r="DR149" s="22" t="e">
        <f t="shared" si="124"/>
        <v>#NUM!</v>
      </c>
      <c r="DS149" s="62" t="e">
        <f t="shared" si="125"/>
        <v>#NUM!</v>
      </c>
      <c r="DT149" s="62">
        <f ca="1">AVERAGE(OFFSET($DS$3,0,0,'Données projet'!$E$14+1,1))-AVERAGE(OFFSET($H$3,0,0,'Données projet'!$E$14+1,1))</f>
        <v>429.87867712133851</v>
      </c>
      <c r="DU149" s="62">
        <f t="shared" si="152"/>
        <v>182.81277865988014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0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0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1.1368683772161603E-13</v>
      </c>
      <c r="EK149" s="18">
        <f>EJ149*VLOOKUP('Données projet'!$B$15,Paramètres!$A$1:$I$89,3,0)*VLOOKUP('Données projet'!$B$15,Paramètres!$A$1:$I$89,5,0)</f>
        <v>7.626113074366004E-14</v>
      </c>
      <c r="EL149" s="14">
        <f t="shared" si="153"/>
        <v>1.1823749172251317E-12</v>
      </c>
      <c r="EM149" s="22">
        <f t="shared" si="127"/>
        <v>2.1921244502123119E-12</v>
      </c>
      <c r="EN149" s="62">
        <f t="shared" si="128"/>
        <v>286.21154539383286</v>
      </c>
      <c r="EO149" s="62">
        <f ca="1">AVERAGE(OFFSET($EN$3,0,0,'Données projet'!$E$15+1,1))-AVERAGE(OFFSET($H$3,0,0,'Données projet'!$E$15+1,1))</f>
        <v>296.18088377871669</v>
      </c>
      <c r="EP149" s="62">
        <f t="shared" si="154"/>
        <v>252.23833925792056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0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0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1.1368683772161603E-13</v>
      </c>
      <c r="FF149" s="18">
        <f>FE149*VLOOKUP('Données projet'!$B$16,Paramètres!$A$1:$I$89,3,0)*VLOOKUP('Données projet'!$B$16,Paramètres!$A$1:$I$89,5,0)</f>
        <v>9.7543306765146564E-14</v>
      </c>
      <c r="FG149" s="14">
        <f t="shared" si="155"/>
        <v>1.4696264278629426E-12</v>
      </c>
      <c r="FH149" s="22">
        <f t="shared" si="130"/>
        <v>2.7294872878105889E-12</v>
      </c>
      <c r="FI149" s="62">
        <f t="shared" si="131"/>
        <v>286.21154539383338</v>
      </c>
      <c r="FJ149" s="62">
        <f ca="1">AVERAGE(OFFSET($FI$3,0,0,'Données projet'!$E$16+1,1))-AVERAGE(OFFSET($H$3,0,0,'Données projet'!$E$16+1,1))</f>
        <v>359.20464555327072</v>
      </c>
      <c r="FK149" s="62">
        <f t="shared" si="156"/>
        <v>305.54154052071863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0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0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2.4</v>
      </c>
      <c r="N150" s="14">
        <f>IF('Données projet'!$A$36&gt;35,N149+M150-V149,IF(A150&lt;'Données projet'!$A$36,$K$205^A150,IF(A150='Données projet'!$A$36,'Données projet'!$B$36,N149+M150-V149)))</f>
        <v>285.7999999999991</v>
      </c>
      <c r="O150" s="14">
        <f>N150*VLOOKUP('Données projet'!$B$9,Paramètres!$A$1:$I$89,3,0)*VLOOKUP('Données projet'!$B$9,Paramètres!$A$1:$I$89,5,0)</f>
        <v>289.80119999999908</v>
      </c>
      <c r="P150" s="14">
        <f t="shared" si="141"/>
        <v>69.034118458450664</v>
      </c>
      <c r="Q150" s="22">
        <f t="shared" si="108"/>
        <v>624.97151298179995</v>
      </c>
      <c r="R150" s="62">
        <f t="shared" si="109"/>
        <v>911.30660547444836</v>
      </c>
      <c r="S150" s="62">
        <f ca="1">AVERAGE(OFFSET($R$3,0,0,'Données projet'!$E$9+1,1))-AVERAGE(OFFSET($H$3,0,0,'Données projet'!$E$9+1,1))</f>
        <v>516.30971934066179</v>
      </c>
      <c r="T150" s="62">
        <f t="shared" si="142"/>
        <v>290.84286505723571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2.4</v>
      </c>
      <c r="AI150" s="14">
        <f>IF('Données projet'!$A$62&gt;35,AI149+AH150-AQ149,IF(A150&lt;'Données projet'!$A$62,$AF$205^A150,IF(A150='Données projet'!$A$62,'Données projet'!$B$62,AI149+AH150-AQ149)))</f>
        <v>285.7999999999991</v>
      </c>
      <c r="AJ150" s="14">
        <f>AI150*VLOOKUP('Données projet'!$B$10,Paramètres!$A$1:$I$89,3,0)*VLOOKUP('Données projet'!$B$10,Paramètres!$A$1:$I$89,5,0)</f>
        <v>307.63511999999901</v>
      </c>
      <c r="AK150" s="14">
        <f t="shared" si="143"/>
        <v>72.774729201093322</v>
      </c>
      <c r="AL150" s="22">
        <f t="shared" si="112"/>
        <v>662.54715402523584</v>
      </c>
      <c r="AM150" s="62">
        <f t="shared" si="113"/>
        <v>948.88224651788425</v>
      </c>
      <c r="AN150" s="62">
        <f ca="1">AVERAGE(OFFSET($AM$3,0,0,'Données projet'!$E$10+1,1))-AVERAGE(OFFSET($H$3,0,0,'Données projet'!$E$10+1,1))</f>
        <v>542.90832990875208</v>
      </c>
      <c r="AO150" s="62">
        <f t="shared" si="144"/>
        <v>304.94365539329362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2.4</v>
      </c>
      <c r="BD150" s="13">
        <f>IF('Données projet'!$A$88&gt;35,BD149+BC150-BL149,IF(A150&lt;'Données projet'!$A$88,$BA$205^A150,IF(A150='Données projet'!$A$88,'Données projet'!$B$88,BD149+BC150-BL149)))</f>
        <v>285.7999999999991</v>
      </c>
      <c r="BE150" s="14">
        <f>BD150*VLOOKUP('Données projet'!$B$11,Paramètres!$A$1:$I$89,3,0)*VLOOKUP('Données projet'!$B$11,Paramètres!$A$1:$I$89,5,0)</f>
        <v>276.42575999999912</v>
      </c>
      <c r="BF150" s="14">
        <f t="shared" si="145"/>
        <v>66.211105372509707</v>
      </c>
      <c r="BG150" s="22">
        <f t="shared" si="115"/>
        <v>596.75920719045291</v>
      </c>
      <c r="BH150" s="62">
        <f t="shared" si="116"/>
        <v>883.09429968310133</v>
      </c>
      <c r="BI150" s="62">
        <f ca="1">AVERAGE(OFFSET($BH$3,0,0,'Données projet'!$E$11+1,1))-AVERAGE(OFFSET($H$3,0,0,'Données projet'!$E$11+1,1))</f>
        <v>496.33873798282525</v>
      </c>
      <c r="BJ150" s="62">
        <f t="shared" si="146"/>
        <v>280.25465074992246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1.7053025658242404E-13</v>
      </c>
      <c r="BZ150" s="14">
        <f>BY150*VLOOKUP('Données projet'!$B$12,Paramètres!$A$1:$I$89,3,0)*VLOOKUP('Données projet'!$B$12,Paramètres!$A$1:$I$89,5,0)</f>
        <v>1.4897523215040567E-13</v>
      </c>
      <c r="CA150" s="14">
        <f t="shared" si="147"/>
        <v>2.136562777003313E-12</v>
      </c>
      <c r="CB150" s="22">
        <f t="shared" si="118"/>
        <v>3.9806453659427267E-12</v>
      </c>
      <c r="CC150" s="62">
        <f t="shared" si="119"/>
        <v>286.33509249265239</v>
      </c>
      <c r="CD150" s="62">
        <f ca="1">AVERAGE(OFFSET($CC$3,0,0,'Données projet'!$E$12+1,1))-AVERAGE(OFFSET($H$3,0,0,'Données projet'!$E$12+1,1))</f>
        <v>298.28891728374822</v>
      </c>
      <c r="CE150" s="62">
        <f t="shared" si="148"/>
        <v>275.07405533331371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1.1368683772161603E-13</v>
      </c>
      <c r="CU150" s="18">
        <f>CT150*VLOOKUP('Données projet'!$B$13,Paramètres!$A$1:$I$89,3,0)*VLOOKUP('Données projet'!$B$13,Paramètres!$A$1:$I$89,5,0)</f>
        <v>6.7984728957526396E-14</v>
      </c>
      <c r="CV150" s="14">
        <f t="shared" si="149"/>
        <v>1.0682447123141398E-12</v>
      </c>
      <c r="CW150" s="22">
        <f t="shared" si="121"/>
        <v>1.978932943548152E-12</v>
      </c>
      <c r="CX150" s="62">
        <f t="shared" si="122"/>
        <v>286.3350924926504</v>
      </c>
      <c r="CY150" s="62">
        <f ca="1">AVERAGE(OFFSET($CX$3,0,0,'Données projet'!$E$13+1,1))-AVERAGE(OFFSET($H$3,0,0,'Données projet'!$E$13+1,1))</f>
        <v>320.46614113586043</v>
      </c>
      <c r="CZ150" s="62">
        <f t="shared" si="150"/>
        <v>250.7806929924491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0</v>
      </c>
      <c r="DG150" s="23">
        <f>EXP(-LN(2)/25)*DG149+(1-EXP(-LN(2)/25))/(LN(2)/25)*Calculateur!DB150*Calculateur!DD150*VLOOKUP('Données projet'!$B$13,Paramètres!$A$1:$I$89,3,0)*0.475*44/12</f>
        <v>0</v>
      </c>
      <c r="DH150" s="23">
        <f>EXP(-LN(2)/2)*DH149+(1-EXP(-LN(2)/2))/(LN(2)/2)*DB150*DE150*VLOOKUP('Données projet'!$B$13,Paramètres!$A$1:$I$89,3,0)*0.475*44/12</f>
        <v>2.3254660981804371E-17</v>
      </c>
      <c r="DI150" s="24">
        <f t="shared" si="123"/>
        <v>2.3254660981804371E-17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-1.1368683772161603E-13</v>
      </c>
      <c r="DP150" s="18">
        <f>DO150*VLOOKUP('Données projet'!$B$14,Paramètres!$A$1:$I$89,3,0)*VLOOKUP('Données projet'!$B$14,Paramètres!$A$1:$I$89,5,0)</f>
        <v>-5.3205440053716299E-14</v>
      </c>
      <c r="DQ150" s="14" t="e">
        <f t="shared" si="151"/>
        <v>#NUM!</v>
      </c>
      <c r="DR150" s="22" t="e">
        <f t="shared" si="124"/>
        <v>#NUM!</v>
      </c>
      <c r="DS150" s="62" t="e">
        <f t="shared" si="125"/>
        <v>#NUM!</v>
      </c>
      <c r="DT150" s="62">
        <f ca="1">AVERAGE(OFFSET($DS$3,0,0,'Données projet'!$E$14+1,1))-AVERAGE(OFFSET($H$3,0,0,'Données projet'!$E$14+1,1))</f>
        <v>429.87867712133851</v>
      </c>
      <c r="DU150" s="62">
        <f t="shared" si="152"/>
        <v>182.81277865988014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0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0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1.1368683772161603E-13</v>
      </c>
      <c r="EK150" s="18">
        <f>EJ150*VLOOKUP('Données projet'!$B$15,Paramètres!$A$1:$I$89,3,0)*VLOOKUP('Données projet'!$B$15,Paramètres!$A$1:$I$89,5,0)</f>
        <v>7.626113074366004E-14</v>
      </c>
      <c r="EL150" s="14">
        <f t="shared" si="153"/>
        <v>1.1823749172251317E-12</v>
      </c>
      <c r="EM150" s="22">
        <f t="shared" si="127"/>
        <v>2.1921244502123119E-12</v>
      </c>
      <c r="EN150" s="62">
        <f t="shared" si="128"/>
        <v>286.33509249265063</v>
      </c>
      <c r="EO150" s="62">
        <f ca="1">AVERAGE(OFFSET($EN$3,0,0,'Données projet'!$E$15+1,1))-AVERAGE(OFFSET($H$3,0,0,'Données projet'!$E$15+1,1))</f>
        <v>296.18088377871669</v>
      </c>
      <c r="EP150" s="62">
        <f t="shared" si="154"/>
        <v>252.23833925792056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0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0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1.1368683772161603E-13</v>
      </c>
      <c r="FF150" s="18">
        <f>FE150*VLOOKUP('Données projet'!$B$16,Paramètres!$A$1:$I$89,3,0)*VLOOKUP('Données projet'!$B$16,Paramètres!$A$1:$I$89,5,0)</f>
        <v>9.7543306765146564E-14</v>
      </c>
      <c r="FG150" s="14">
        <f t="shared" si="155"/>
        <v>1.4696264278629426E-12</v>
      </c>
      <c r="FH150" s="22">
        <f t="shared" si="130"/>
        <v>2.7294872878105889E-12</v>
      </c>
      <c r="FI150" s="62">
        <f t="shared" si="131"/>
        <v>286.33509249265114</v>
      </c>
      <c r="FJ150" s="62">
        <f ca="1">AVERAGE(OFFSET($FI$3,0,0,'Données projet'!$E$16+1,1))-AVERAGE(OFFSET($H$3,0,0,'Données projet'!$E$16+1,1))</f>
        <v>359.20464555327072</v>
      </c>
      <c r="FK150" s="62">
        <f t="shared" si="156"/>
        <v>305.54154052071863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0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0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2.4</v>
      </c>
      <c r="N151" s="14">
        <f>IF('Données projet'!$A$36&gt;35,N150+M151-V150,IF(A151&lt;'Données projet'!$A$36,$K$205^A151,IF(A151='Données projet'!$A$36,'Données projet'!$B$36,N150+M151-V150)))</f>
        <v>288.19999999999908</v>
      </c>
      <c r="O151" s="14">
        <f>N151*VLOOKUP('Données projet'!$B$9,Paramètres!$A$1:$I$89,3,0)*VLOOKUP('Données projet'!$B$9,Paramètres!$A$1:$I$89,5,0)</f>
        <v>292.2347999999991</v>
      </c>
      <c r="P151" s="14">
        <f t="shared" si="141"/>
        <v>69.546103016553573</v>
      </c>
      <c r="Q151" s="22">
        <f t="shared" si="108"/>
        <v>630.10173942049585</v>
      </c>
      <c r="R151" s="62">
        <f t="shared" si="109"/>
        <v>916.55823574600754</v>
      </c>
      <c r="S151" s="62">
        <f ca="1">AVERAGE(OFFSET($R$3,0,0,'Données projet'!$E$9+1,1))-AVERAGE(OFFSET($H$3,0,0,'Données projet'!$E$9+1,1))</f>
        <v>516.30971934066179</v>
      </c>
      <c r="T151" s="62">
        <f t="shared" si="142"/>
        <v>290.84286505723571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2.4</v>
      </c>
      <c r="AI151" s="14">
        <f>IF('Données projet'!$A$62&gt;35,AI150+AH151-AQ150,IF(A151&lt;'Données projet'!$A$62,$AF$205^A151,IF(A151='Données projet'!$A$62,'Données projet'!$B$62,AI150+AH151-AQ150)))</f>
        <v>288.19999999999908</v>
      </c>
      <c r="AJ151" s="14">
        <f>AI151*VLOOKUP('Données projet'!$B$10,Paramètres!$A$1:$I$89,3,0)*VLOOKUP('Données projet'!$B$10,Paramètres!$A$1:$I$89,5,0)</f>
        <v>310.21847999999898</v>
      </c>
      <c r="AK151" s="14">
        <f t="shared" si="143"/>
        <v>73.314455620479777</v>
      </c>
      <c r="AL151" s="22">
        <f t="shared" si="112"/>
        <v>667.98652953900034</v>
      </c>
      <c r="AM151" s="62">
        <f t="shared" si="113"/>
        <v>954.44302586451204</v>
      </c>
      <c r="AN151" s="62">
        <f ca="1">AVERAGE(OFFSET($AM$3,0,0,'Données projet'!$E$10+1,1))-AVERAGE(OFFSET($H$3,0,0,'Données projet'!$E$10+1,1))</f>
        <v>542.90832990875208</v>
      </c>
      <c r="AO151" s="62">
        <f t="shared" si="144"/>
        <v>304.94365539329362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2.4</v>
      </c>
      <c r="BD151" s="13">
        <f>IF('Données projet'!$A$88&gt;35,BD150+BC151-BL150,IF(A151&lt;'Données projet'!$A$88,$BA$205^A151,IF(A151='Données projet'!$A$88,'Données projet'!$B$88,BD150+BC151-BL150)))</f>
        <v>288.19999999999908</v>
      </c>
      <c r="BE151" s="14">
        <f>BD151*VLOOKUP('Données projet'!$B$11,Paramètres!$A$1:$I$89,3,0)*VLOOKUP('Données projet'!$B$11,Paramètres!$A$1:$I$89,5,0)</f>
        <v>278.74703999999912</v>
      </c>
      <c r="BF151" s="14">
        <f t="shared" si="145"/>
        <v>66.702153339553078</v>
      </c>
      <c r="BG151" s="22">
        <f t="shared" si="115"/>
        <v>601.65734506638671</v>
      </c>
      <c r="BH151" s="62">
        <f t="shared" si="116"/>
        <v>888.1138413918984</v>
      </c>
      <c r="BI151" s="62">
        <f ca="1">AVERAGE(OFFSET($BH$3,0,0,'Données projet'!$E$11+1,1))-AVERAGE(OFFSET($H$3,0,0,'Données projet'!$E$11+1,1))</f>
        <v>496.33873798282525</v>
      </c>
      <c r="BJ151" s="62">
        <f t="shared" si="146"/>
        <v>280.25465074992246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1.7053025658242404E-13</v>
      </c>
      <c r="BZ151" s="14">
        <f>BY151*VLOOKUP('Données projet'!$B$12,Paramètres!$A$1:$I$89,3,0)*VLOOKUP('Données projet'!$B$12,Paramètres!$A$1:$I$89,5,0)</f>
        <v>1.4897523215040567E-13</v>
      </c>
      <c r="CA151" s="14">
        <f t="shared" si="147"/>
        <v>2.136562777003313E-12</v>
      </c>
      <c r="CB151" s="22">
        <f t="shared" si="118"/>
        <v>3.9806453659427267E-12</v>
      </c>
      <c r="CC151" s="62">
        <f t="shared" si="119"/>
        <v>286.45649632551567</v>
      </c>
      <c r="CD151" s="62">
        <f ca="1">AVERAGE(OFFSET($CC$3,0,0,'Données projet'!$E$12+1,1))-AVERAGE(OFFSET($H$3,0,0,'Données projet'!$E$12+1,1))</f>
        <v>298.28891728374822</v>
      </c>
      <c r="CE151" s="62">
        <f t="shared" si="148"/>
        <v>275.07405533331371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1.1368683772161603E-13</v>
      </c>
      <c r="CU151" s="18">
        <f>CT151*VLOOKUP('Données projet'!$B$13,Paramètres!$A$1:$I$89,3,0)*VLOOKUP('Données projet'!$B$13,Paramètres!$A$1:$I$89,5,0)</f>
        <v>6.7984728957526396E-14</v>
      </c>
      <c r="CV151" s="14">
        <f t="shared" si="149"/>
        <v>1.0682447123141398E-12</v>
      </c>
      <c r="CW151" s="22">
        <f t="shared" si="121"/>
        <v>1.978932943548152E-12</v>
      </c>
      <c r="CX151" s="62">
        <f t="shared" si="122"/>
        <v>286.45649632551368</v>
      </c>
      <c r="CY151" s="62">
        <f ca="1">AVERAGE(OFFSET($CX$3,0,0,'Données projet'!$E$13+1,1))-AVERAGE(OFFSET($H$3,0,0,'Données projet'!$E$13+1,1))</f>
        <v>320.46614113586043</v>
      </c>
      <c r="CZ151" s="62">
        <f t="shared" si="150"/>
        <v>250.7806929924491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0</v>
      </c>
      <c r="DG151" s="23">
        <f>EXP(-LN(2)/25)*DG150+(1-EXP(-LN(2)/25))/(LN(2)/25)*Calculateur!DB151*Calculateur!DD151*VLOOKUP('Données projet'!$B$13,Paramètres!$A$1:$I$89,3,0)*0.475*44/12</f>
        <v>0</v>
      </c>
      <c r="DH151" s="23">
        <f>EXP(-LN(2)/2)*DH150+(1-EXP(-LN(2)/2))/(LN(2)/2)*DB151*DE151*VLOOKUP('Données projet'!$B$13,Paramètres!$A$1:$I$89,3,0)*0.475*44/12</f>
        <v>1.6443528474428087E-17</v>
      </c>
      <c r="DI151" s="24">
        <f t="shared" si="123"/>
        <v>1.6443528474428087E-17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-1.1368683772161603E-13</v>
      </c>
      <c r="DP151" s="18">
        <f>DO151*VLOOKUP('Données projet'!$B$14,Paramètres!$A$1:$I$89,3,0)*VLOOKUP('Données projet'!$B$14,Paramètres!$A$1:$I$89,5,0)</f>
        <v>-5.3205440053716299E-14</v>
      </c>
      <c r="DQ151" s="14" t="e">
        <f t="shared" si="151"/>
        <v>#NUM!</v>
      </c>
      <c r="DR151" s="22" t="e">
        <f t="shared" si="124"/>
        <v>#NUM!</v>
      </c>
      <c r="DS151" s="62" t="e">
        <f t="shared" si="125"/>
        <v>#NUM!</v>
      </c>
      <c r="DT151" s="62">
        <f ca="1">AVERAGE(OFFSET($DS$3,0,0,'Données projet'!$E$14+1,1))-AVERAGE(OFFSET($H$3,0,0,'Données projet'!$E$14+1,1))</f>
        <v>429.87867712133851</v>
      </c>
      <c r="DU151" s="62">
        <f t="shared" si="152"/>
        <v>182.81277865988014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0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0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1.1368683772161603E-13</v>
      </c>
      <c r="EK151" s="18">
        <f>EJ151*VLOOKUP('Données projet'!$B$15,Paramètres!$A$1:$I$89,3,0)*VLOOKUP('Données projet'!$B$15,Paramètres!$A$1:$I$89,5,0)</f>
        <v>7.626113074366004E-14</v>
      </c>
      <c r="EL151" s="14">
        <f t="shared" si="153"/>
        <v>1.1823749172251317E-12</v>
      </c>
      <c r="EM151" s="22">
        <f t="shared" si="127"/>
        <v>2.1921244502123119E-12</v>
      </c>
      <c r="EN151" s="62">
        <f t="shared" si="128"/>
        <v>286.45649632551391</v>
      </c>
      <c r="EO151" s="62">
        <f ca="1">AVERAGE(OFFSET($EN$3,0,0,'Données projet'!$E$15+1,1))-AVERAGE(OFFSET($H$3,0,0,'Données projet'!$E$15+1,1))</f>
        <v>296.18088377871669</v>
      </c>
      <c r="EP151" s="62">
        <f t="shared" si="154"/>
        <v>252.23833925792056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0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0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1.1368683772161603E-13</v>
      </c>
      <c r="FF151" s="18">
        <f>FE151*VLOOKUP('Données projet'!$B$16,Paramètres!$A$1:$I$89,3,0)*VLOOKUP('Données projet'!$B$16,Paramètres!$A$1:$I$89,5,0)</f>
        <v>9.7543306765146564E-14</v>
      </c>
      <c r="FG151" s="14">
        <f t="shared" si="155"/>
        <v>1.4696264278629426E-12</v>
      </c>
      <c r="FH151" s="22">
        <f t="shared" si="130"/>
        <v>2.7294872878105889E-12</v>
      </c>
      <c r="FI151" s="62">
        <f t="shared" si="131"/>
        <v>286.45649632551442</v>
      </c>
      <c r="FJ151" s="62">
        <f ca="1">AVERAGE(OFFSET($FI$3,0,0,'Données projet'!$E$16+1,1))-AVERAGE(OFFSET($H$3,0,0,'Données projet'!$E$16+1,1))</f>
        <v>359.20464555327072</v>
      </c>
      <c r="FK151" s="62">
        <f t="shared" si="156"/>
        <v>305.54154052071863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0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0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2.4</v>
      </c>
      <c r="N152" s="14">
        <f>IF('Données projet'!$A$36&gt;35,N151+M152-V151,IF(A152&lt;'Données projet'!$A$36,$K$205^A152,IF(A152='Données projet'!$A$36,'Données projet'!$B$36,N151+M152-V151)))</f>
        <v>290.59999999999906</v>
      </c>
      <c r="O152" s="14">
        <f>N152*VLOOKUP('Données projet'!$B$9,Paramètres!$A$1:$I$89,3,0)*VLOOKUP('Données projet'!$B$9,Paramètres!$A$1:$I$89,5,0)</f>
        <v>294.66839999999905</v>
      </c>
      <c r="P152" s="14">
        <f t="shared" si="141"/>
        <v>70.057591528661362</v>
      </c>
      <c r="Q152" s="22">
        <f t="shared" si="108"/>
        <v>635.23110191241688</v>
      </c>
      <c r="R152" s="62">
        <f t="shared" si="109"/>
        <v>921.80689598570996</v>
      </c>
      <c r="S152" s="62">
        <f ca="1">AVERAGE(OFFSET($R$3,0,0,'Données projet'!$E$9+1,1))-AVERAGE(OFFSET($H$3,0,0,'Données projet'!$E$9+1,1))</f>
        <v>516.30971934066179</v>
      </c>
      <c r="T152" s="62">
        <f t="shared" si="142"/>
        <v>290.84286505723571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2.4</v>
      </c>
      <c r="AI152" s="14">
        <f>IF('Données projet'!$A$62&gt;35,AI151+AH152-AQ151,IF(A152&lt;'Données projet'!$A$62,$AF$205^A152,IF(A152='Données projet'!$A$62,'Données projet'!$B$62,AI151+AH152-AQ151)))</f>
        <v>290.59999999999906</v>
      </c>
      <c r="AJ152" s="14">
        <f>AI152*VLOOKUP('Données projet'!$B$10,Paramètres!$A$1:$I$89,3,0)*VLOOKUP('Données projet'!$B$10,Paramètres!$A$1:$I$89,5,0)</f>
        <v>312.80183999999895</v>
      </c>
      <c r="AK152" s="14">
        <f t="shared" si="143"/>
        <v>73.853659115640198</v>
      </c>
      <c r="AL152" s="22">
        <f t="shared" si="112"/>
        <v>673.42499429307145</v>
      </c>
      <c r="AM152" s="62">
        <f t="shared" si="113"/>
        <v>960.00078836636453</v>
      </c>
      <c r="AN152" s="62">
        <f ca="1">AVERAGE(OFFSET($AM$3,0,0,'Données projet'!$E$10+1,1))-AVERAGE(OFFSET($H$3,0,0,'Données projet'!$E$10+1,1))</f>
        <v>542.90832990875208</v>
      </c>
      <c r="AO152" s="62">
        <f t="shared" si="144"/>
        <v>304.94365539329362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2.4</v>
      </c>
      <c r="BD152" s="13">
        <f>IF('Données projet'!$A$88&gt;35,BD151+BC152-BL151,IF(A152&lt;'Données projet'!$A$88,$BA$205^A152,IF(A152='Données projet'!$A$88,'Données projet'!$B$88,BD151+BC152-BL151)))</f>
        <v>290.59999999999906</v>
      </c>
      <c r="BE152" s="14">
        <f>BD152*VLOOKUP('Données projet'!$B$11,Paramètres!$A$1:$I$89,3,0)*VLOOKUP('Données projet'!$B$11,Paramètres!$A$1:$I$89,5,0)</f>
        <v>281.06831999999906</v>
      </c>
      <c r="BF152" s="14">
        <f t="shared" si="145"/>
        <v>67.192725545416479</v>
      </c>
      <c r="BG152" s="22">
        <f t="shared" si="115"/>
        <v>606.55465432493213</v>
      </c>
      <c r="BH152" s="62">
        <f t="shared" si="116"/>
        <v>893.13044839822521</v>
      </c>
      <c r="BI152" s="62">
        <f ca="1">AVERAGE(OFFSET($BH$3,0,0,'Données projet'!$E$11+1,1))-AVERAGE(OFFSET($H$3,0,0,'Données projet'!$E$11+1,1))</f>
        <v>496.33873798282525</v>
      </c>
      <c r="BJ152" s="62">
        <f t="shared" si="146"/>
        <v>280.25465074992246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1.7053025658242404E-13</v>
      </c>
      <c r="BZ152" s="14">
        <f>BY152*VLOOKUP('Données projet'!$B$12,Paramètres!$A$1:$I$89,3,0)*VLOOKUP('Données projet'!$B$12,Paramètres!$A$1:$I$89,5,0)</f>
        <v>1.4897523215040567E-13</v>
      </c>
      <c r="CA152" s="14">
        <f t="shared" si="147"/>
        <v>2.136562777003313E-12</v>
      </c>
      <c r="CB152" s="22">
        <f t="shared" si="118"/>
        <v>3.9806453659427267E-12</v>
      </c>
      <c r="CC152" s="62">
        <f t="shared" si="119"/>
        <v>286.57579407329706</v>
      </c>
      <c r="CD152" s="62">
        <f ca="1">AVERAGE(OFFSET($CC$3,0,0,'Données projet'!$E$12+1,1))-AVERAGE(OFFSET($H$3,0,0,'Données projet'!$E$12+1,1))</f>
        <v>298.28891728374822</v>
      </c>
      <c r="CE152" s="62">
        <f t="shared" si="148"/>
        <v>275.07405533331371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1.1368683772161603E-13</v>
      </c>
      <c r="CU152" s="18">
        <f>CT152*VLOOKUP('Données projet'!$B$13,Paramètres!$A$1:$I$89,3,0)*VLOOKUP('Données projet'!$B$13,Paramètres!$A$1:$I$89,5,0)</f>
        <v>6.7984728957526396E-14</v>
      </c>
      <c r="CV152" s="14">
        <f t="shared" si="149"/>
        <v>1.0682447123141398E-12</v>
      </c>
      <c r="CW152" s="22">
        <f t="shared" si="121"/>
        <v>1.978932943548152E-12</v>
      </c>
      <c r="CX152" s="62">
        <f t="shared" si="122"/>
        <v>286.57579407329507</v>
      </c>
      <c r="CY152" s="62">
        <f ca="1">AVERAGE(OFFSET($CX$3,0,0,'Données projet'!$E$13+1,1))-AVERAGE(OFFSET($H$3,0,0,'Données projet'!$E$13+1,1))</f>
        <v>320.46614113586043</v>
      </c>
      <c r="CZ152" s="62">
        <f t="shared" si="150"/>
        <v>250.7806929924491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0</v>
      </c>
      <c r="DG152" s="23">
        <f>EXP(-LN(2)/25)*DG151+(1-EXP(-LN(2)/25))/(LN(2)/25)*Calculateur!DB152*Calculateur!DD152*VLOOKUP('Données projet'!$B$13,Paramètres!$A$1:$I$89,3,0)*0.475*44/12</f>
        <v>0</v>
      </c>
      <c r="DH152" s="23">
        <f>EXP(-LN(2)/2)*DH151+(1-EXP(-LN(2)/2))/(LN(2)/2)*DB152*DE152*VLOOKUP('Données projet'!$B$13,Paramètres!$A$1:$I$89,3,0)*0.475*44/12</f>
        <v>1.1627330490902185E-17</v>
      </c>
      <c r="DI152" s="24">
        <f t="shared" si="123"/>
        <v>1.1627330490902185E-17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-1.1368683772161603E-13</v>
      </c>
      <c r="DP152" s="18">
        <f>DO152*VLOOKUP('Données projet'!$B$14,Paramètres!$A$1:$I$89,3,0)*VLOOKUP('Données projet'!$B$14,Paramètres!$A$1:$I$89,5,0)</f>
        <v>-5.3205440053716299E-14</v>
      </c>
      <c r="DQ152" s="14" t="e">
        <f t="shared" si="151"/>
        <v>#NUM!</v>
      </c>
      <c r="DR152" s="22" t="e">
        <f t="shared" si="124"/>
        <v>#NUM!</v>
      </c>
      <c r="DS152" s="62" t="e">
        <f t="shared" si="125"/>
        <v>#NUM!</v>
      </c>
      <c r="DT152" s="62">
        <f ca="1">AVERAGE(OFFSET($DS$3,0,0,'Données projet'!$E$14+1,1))-AVERAGE(OFFSET($H$3,0,0,'Données projet'!$E$14+1,1))</f>
        <v>429.87867712133851</v>
      </c>
      <c r="DU152" s="62">
        <f t="shared" si="152"/>
        <v>182.81277865988014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0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0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1.1368683772161603E-13</v>
      </c>
      <c r="EK152" s="18">
        <f>EJ152*VLOOKUP('Données projet'!$B$15,Paramètres!$A$1:$I$89,3,0)*VLOOKUP('Données projet'!$B$15,Paramètres!$A$1:$I$89,5,0)</f>
        <v>7.626113074366004E-14</v>
      </c>
      <c r="EL152" s="14">
        <f t="shared" si="153"/>
        <v>1.1823749172251317E-12</v>
      </c>
      <c r="EM152" s="22">
        <f t="shared" si="127"/>
        <v>2.1921244502123119E-12</v>
      </c>
      <c r="EN152" s="62">
        <f t="shared" si="128"/>
        <v>286.5757940732953</v>
      </c>
      <c r="EO152" s="62">
        <f ca="1">AVERAGE(OFFSET($EN$3,0,0,'Données projet'!$E$15+1,1))-AVERAGE(OFFSET($H$3,0,0,'Données projet'!$E$15+1,1))</f>
        <v>296.18088377871669</v>
      </c>
      <c r="EP152" s="62">
        <f t="shared" si="154"/>
        <v>252.23833925792056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0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0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1.1368683772161603E-13</v>
      </c>
      <c r="FF152" s="18">
        <f>FE152*VLOOKUP('Données projet'!$B$16,Paramètres!$A$1:$I$89,3,0)*VLOOKUP('Données projet'!$B$16,Paramètres!$A$1:$I$89,5,0)</f>
        <v>9.7543306765146564E-14</v>
      </c>
      <c r="FG152" s="14">
        <f t="shared" si="155"/>
        <v>1.4696264278629426E-12</v>
      </c>
      <c r="FH152" s="22">
        <f t="shared" si="130"/>
        <v>2.7294872878105889E-12</v>
      </c>
      <c r="FI152" s="62">
        <f t="shared" si="131"/>
        <v>286.57579407329581</v>
      </c>
      <c r="FJ152" s="62">
        <f ca="1">AVERAGE(OFFSET($FI$3,0,0,'Données projet'!$E$16+1,1))-AVERAGE(OFFSET($H$3,0,0,'Données projet'!$E$16+1,1))</f>
        <v>359.20464555327072</v>
      </c>
      <c r="FK152" s="62">
        <f t="shared" si="156"/>
        <v>305.54154052071863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0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0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>
        <f>VLOOKUP(A153,'Données projet'!$A$35:$I$55,2,0)</f>
        <v>293</v>
      </c>
      <c r="L153" s="13">
        <f>VLOOKUP(A153,'Données projet'!$A$35:$I$55,9,0)</f>
        <v>2.4</v>
      </c>
      <c r="M153" s="13">
        <f t="array" ref="M153">INDEX(L:L,MIN(IF(ISNUMBER(L153:L349),ROW(L153:L349),"")))</f>
        <v>2.4</v>
      </c>
      <c r="N153" s="14">
        <f>IF('Données projet'!$A$36&gt;35,N152+M153-V152,IF(A153&lt;'Données projet'!$A$36,$K$205^A153,IF(A153='Données projet'!$A$36,'Données projet'!$B$36,N152+M153-V152)))</f>
        <v>292.99999999999903</v>
      </c>
      <c r="O153" s="14">
        <f>N153*VLOOKUP('Données projet'!$B$9,Paramètres!$A$1:$I$89,3,0)*VLOOKUP('Données projet'!$B$9,Paramètres!$A$1:$I$89,5,0)</f>
        <v>297.10199999999907</v>
      </c>
      <c r="P153" s="14">
        <f t="shared" si="141"/>
        <v>70.568588566272624</v>
      </c>
      <c r="Q153" s="22">
        <f t="shared" si="108"/>
        <v>640.3596084195899</v>
      </c>
      <c r="R153" s="62">
        <f t="shared" si="109"/>
        <v>927.0526306914503</v>
      </c>
      <c r="S153" s="62">
        <f ca="1">AVERAGE(OFFSET($R$3,0,0,'Données projet'!$E$9+1,1))-AVERAGE(OFFSET($H$3,0,0,'Données projet'!$E$9+1,1))</f>
        <v>516.30971934066179</v>
      </c>
      <c r="T153" s="62">
        <f t="shared" si="142"/>
        <v>290.84286505723571</v>
      </c>
      <c r="U153" s="16">
        <f>IF(ISNA(VLOOKUP(A153,'Données projet'!$A$35:$I$55,3,0)),0,VLOOKUP(A153,'Données projet'!$A$35:$I$55,3,0))</f>
        <v>13</v>
      </c>
      <c r="V153" s="16">
        <f>IF(ISNA(VLOOKUP(A153,'Données projet'!$A$35:$I$55,4,0)),0,VLOOKUP(A153,'Données projet'!$A$35:$I$55,4,0))</f>
        <v>293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>
        <f>VLOOKUP(A153,'Données projet'!$A$61:$I$81,2,0)</f>
        <v>293</v>
      </c>
      <c r="AG153" s="13">
        <f>VLOOKUP(A153,'Données projet'!$A$61:$I$81,9,0)</f>
        <v>2.4</v>
      </c>
      <c r="AH153" s="13">
        <f t="array" ref="AH153">INDEX(AG:AG,MIN(IF(ISNUMBER(AG153:AG349),ROW(AG153:AG349),"")))</f>
        <v>2.4</v>
      </c>
      <c r="AI153" s="14">
        <f>IF('Données projet'!$A$62&gt;35,AI152+AH153-AQ152,IF(A153&lt;'Données projet'!$A$62,$AF$205^A153,IF(A153='Données projet'!$A$62,'Données projet'!$B$62,AI152+AH153-AQ152)))</f>
        <v>292.99999999999903</v>
      </c>
      <c r="AJ153" s="14">
        <f>AI153*VLOOKUP('Données projet'!$B$10,Paramètres!$A$1:$I$89,3,0)*VLOOKUP('Données projet'!$B$10,Paramètres!$A$1:$I$89,5,0)</f>
        <v>315.38519999999892</v>
      </c>
      <c r="AK153" s="14">
        <f t="shared" si="143"/>
        <v>74.392344505779604</v>
      </c>
      <c r="AL153" s="22">
        <f t="shared" si="112"/>
        <v>678.86255668089746</v>
      </c>
      <c r="AM153" s="62">
        <f t="shared" si="113"/>
        <v>965.55557895275774</v>
      </c>
      <c r="AN153" s="62">
        <f ca="1">AVERAGE(OFFSET($AM$3,0,0,'Données projet'!$E$10+1,1))-AVERAGE(OFFSET($H$3,0,0,'Données projet'!$E$10+1,1))</f>
        <v>542.90832990875208</v>
      </c>
      <c r="AO153" s="62">
        <f t="shared" si="144"/>
        <v>304.94365539329362</v>
      </c>
      <c r="AP153" s="16">
        <f>IF(ISNA(VLOOKUP(A153,'Données projet'!$A$61:$I$81,3,0)),0,VLOOKUP(A153,'Données projet'!$A$61:$I$81,3,0))</f>
        <v>13</v>
      </c>
      <c r="AQ153" s="16">
        <f>IF(ISNA(VLOOKUP(A153,'Données projet'!$A$61:$I$81,4,0)),0,VLOOKUP(A153,'Données projet'!$A$61:$I$81,4,0))</f>
        <v>293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>
        <f>VLOOKUP(A153,'Données projet'!$A$87:$I$107,2,0)</f>
        <v>293</v>
      </c>
      <c r="BB153" s="13">
        <f>VLOOKUP(A153,'Données projet'!$A$87:$I$107,9,0)</f>
        <v>2.4</v>
      </c>
      <c r="BC153" s="13">
        <f t="array" ref="BC153">INDEX(BB:BB,MIN(IF(ISNUMBER(BB153:BB349),ROW(BB153:BB349),"")))</f>
        <v>2.4</v>
      </c>
      <c r="BD153" s="13">
        <f>IF('Données projet'!$A$88&gt;35,BD152+BC153-BL152,IF(A153&lt;'Données projet'!$A$88,$BA$205^A153,IF(A153='Données projet'!$A$88,'Données projet'!$B$88,BD152+BC153-BL152)))</f>
        <v>292.99999999999903</v>
      </c>
      <c r="BE153" s="14">
        <f>BD153*VLOOKUP('Données projet'!$B$11,Paramètres!$A$1:$I$89,3,0)*VLOOKUP('Données projet'!$B$11,Paramètres!$A$1:$I$89,5,0)</f>
        <v>283.38959999999906</v>
      </c>
      <c r="BF153" s="14">
        <f t="shared" si="145"/>
        <v>67.682826374656187</v>
      </c>
      <c r="BG153" s="22">
        <f t="shared" si="115"/>
        <v>611.45114260252456</v>
      </c>
      <c r="BH153" s="62">
        <f t="shared" si="116"/>
        <v>898.14416487438484</v>
      </c>
      <c r="BI153" s="62">
        <f ca="1">AVERAGE(OFFSET($BH$3,0,0,'Données projet'!$E$11+1,1))-AVERAGE(OFFSET($H$3,0,0,'Données projet'!$E$11+1,1))</f>
        <v>496.33873798282525</v>
      </c>
      <c r="BJ153" s="62">
        <f t="shared" si="146"/>
        <v>280.25465074992246</v>
      </c>
      <c r="BK153" s="16">
        <f>IF(ISNA(VLOOKUP(A153,'Données projet'!$A$87:$I$107,3,0)),0,VLOOKUP(A153,'Données projet'!$A$87:$I$107,3,0))</f>
        <v>13</v>
      </c>
      <c r="BL153" s="16">
        <f>IF(ISNA(VLOOKUP(A153,'Données projet'!$A$87:$I$107,4,0)),0,VLOOKUP(A153,'Données projet'!$A$87:$I$107,4,0))</f>
        <v>293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1.7053025658242404E-13</v>
      </c>
      <c r="BZ153" s="14">
        <f>BY153*VLOOKUP('Données projet'!$B$12,Paramètres!$A$1:$I$89,3,0)*VLOOKUP('Données projet'!$B$12,Paramètres!$A$1:$I$89,5,0)</f>
        <v>1.4897523215040567E-13</v>
      </c>
      <c r="CA153" s="14">
        <f t="shared" si="147"/>
        <v>2.136562777003313E-12</v>
      </c>
      <c r="CB153" s="22">
        <f t="shared" si="118"/>
        <v>3.9806453659427267E-12</v>
      </c>
      <c r="CC153" s="62">
        <f t="shared" si="119"/>
        <v>286.69302227186432</v>
      </c>
      <c r="CD153" s="62">
        <f ca="1">AVERAGE(OFFSET($CC$3,0,0,'Données projet'!$E$12+1,1))-AVERAGE(OFFSET($H$3,0,0,'Données projet'!$E$12+1,1))</f>
        <v>298.28891728374822</v>
      </c>
      <c r="CE153" s="62">
        <f t="shared" si="148"/>
        <v>275.07405533331371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1.1368683772161603E-13</v>
      </c>
      <c r="CU153" s="18">
        <f>CT153*VLOOKUP('Données projet'!$B$13,Paramètres!$A$1:$I$89,3,0)*VLOOKUP('Données projet'!$B$13,Paramètres!$A$1:$I$89,5,0)</f>
        <v>6.7984728957526396E-14</v>
      </c>
      <c r="CV153" s="14">
        <f t="shared" si="149"/>
        <v>1.0682447123141398E-12</v>
      </c>
      <c r="CW153" s="22">
        <f t="shared" si="121"/>
        <v>1.978932943548152E-12</v>
      </c>
      <c r="CX153" s="62">
        <f t="shared" si="122"/>
        <v>286.69302227186233</v>
      </c>
      <c r="CY153" s="62">
        <f ca="1">AVERAGE(OFFSET($CX$3,0,0,'Données projet'!$E$13+1,1))-AVERAGE(OFFSET($H$3,0,0,'Données projet'!$E$13+1,1))</f>
        <v>320.46614113586043</v>
      </c>
      <c r="CZ153" s="62">
        <f t="shared" si="150"/>
        <v>250.7806929924491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0</v>
      </c>
      <c r="DG153" s="23">
        <f>EXP(-LN(2)/25)*DG152+(1-EXP(-LN(2)/25))/(LN(2)/25)*Calculateur!DB153*Calculateur!DD153*VLOOKUP('Données projet'!$B$13,Paramètres!$A$1:$I$89,3,0)*0.475*44/12</f>
        <v>0</v>
      </c>
      <c r="DH153" s="23">
        <f>EXP(-LN(2)/2)*DH152+(1-EXP(-LN(2)/2))/(LN(2)/2)*DB153*DE153*VLOOKUP('Données projet'!$B$13,Paramètres!$A$1:$I$89,3,0)*0.475*44/12</f>
        <v>8.2217642372140436E-18</v>
      </c>
      <c r="DI153" s="24">
        <f t="shared" si="123"/>
        <v>8.2217642372140436E-18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-1.1368683772161603E-13</v>
      </c>
      <c r="DP153" s="18">
        <f>DO153*VLOOKUP('Données projet'!$B$14,Paramètres!$A$1:$I$89,3,0)*VLOOKUP('Données projet'!$B$14,Paramètres!$A$1:$I$89,5,0)</f>
        <v>-5.3205440053716299E-14</v>
      </c>
      <c r="DQ153" s="14" t="e">
        <f t="shared" si="151"/>
        <v>#NUM!</v>
      </c>
      <c r="DR153" s="22" t="e">
        <f t="shared" si="124"/>
        <v>#NUM!</v>
      </c>
      <c r="DS153" s="62" t="e">
        <f t="shared" si="125"/>
        <v>#NUM!</v>
      </c>
      <c r="DT153" s="62">
        <f ca="1">AVERAGE(OFFSET($DS$3,0,0,'Données projet'!$E$14+1,1))-AVERAGE(OFFSET($H$3,0,0,'Données projet'!$E$14+1,1))</f>
        <v>429.87867712133851</v>
      </c>
      <c r="DU153" s="62">
        <f t="shared" si="152"/>
        <v>182.81277865988014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0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0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1.1368683772161603E-13</v>
      </c>
      <c r="EK153" s="18">
        <f>EJ153*VLOOKUP('Données projet'!$B$15,Paramètres!$A$1:$I$89,3,0)*VLOOKUP('Données projet'!$B$15,Paramètres!$A$1:$I$89,5,0)</f>
        <v>7.626113074366004E-14</v>
      </c>
      <c r="EL153" s="14">
        <f t="shared" si="153"/>
        <v>1.1823749172251317E-12</v>
      </c>
      <c r="EM153" s="22">
        <f t="shared" si="127"/>
        <v>2.1921244502123119E-12</v>
      </c>
      <c r="EN153" s="62">
        <f t="shared" si="128"/>
        <v>286.69302227186256</v>
      </c>
      <c r="EO153" s="62">
        <f ca="1">AVERAGE(OFFSET($EN$3,0,0,'Données projet'!$E$15+1,1))-AVERAGE(OFFSET($H$3,0,0,'Données projet'!$E$15+1,1))</f>
        <v>296.18088377871669</v>
      </c>
      <c r="EP153" s="62">
        <f t="shared" si="154"/>
        <v>252.23833925792056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0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0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1.1368683772161603E-13</v>
      </c>
      <c r="FF153" s="18">
        <f>FE153*VLOOKUP('Données projet'!$B$16,Paramètres!$A$1:$I$89,3,0)*VLOOKUP('Données projet'!$B$16,Paramètres!$A$1:$I$89,5,0)</f>
        <v>9.7543306765146564E-14</v>
      </c>
      <c r="FG153" s="14">
        <f t="shared" si="155"/>
        <v>1.4696264278629426E-12</v>
      </c>
      <c r="FH153" s="22">
        <f t="shared" si="130"/>
        <v>2.7294872878105889E-12</v>
      </c>
      <c r="FI153" s="62">
        <f t="shared" si="131"/>
        <v>286.69302227186307</v>
      </c>
      <c r="FJ153" s="62">
        <f ca="1">AVERAGE(OFFSET($FI$3,0,0,'Données projet'!$E$16+1,1))-AVERAGE(OFFSET($H$3,0,0,'Données projet'!$E$16+1,1))</f>
        <v>359.20464555327072</v>
      </c>
      <c r="FK153" s="62">
        <f t="shared" si="156"/>
        <v>305.54154052071863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0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0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-9.6633812063373625E-13</v>
      </c>
      <c r="O154" s="14">
        <f>N154*VLOOKUP('Données projet'!$B$9,Paramètres!$A$1:$I$89,3,0)*VLOOKUP('Données projet'!$B$9,Paramètres!$A$1:$I$89,5,0)</f>
        <v>-9.7986685432260874E-13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516.30971934066179</v>
      </c>
      <c r="T154" s="62">
        <f t="shared" si="142"/>
        <v>290.84286505723571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-9.6633812063373625E-13</v>
      </c>
      <c r="AJ154" s="14">
        <f>AI154*VLOOKUP('Données projet'!$B$10,Paramètres!$A$1:$I$89,3,0)*VLOOKUP('Données projet'!$B$10,Paramètres!$A$1:$I$89,5,0)</f>
        <v>-1.0401663530501537E-12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542.90832990875208</v>
      </c>
      <c r="AO154" s="62">
        <f t="shared" si="144"/>
        <v>304.94365539329362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-9.6633812063373625E-13</v>
      </c>
      <c r="BE154" s="14">
        <f>BD154*VLOOKUP('Données projet'!$B$11,Paramètres!$A$1:$I$89,3,0)*VLOOKUP('Données projet'!$B$11,Paramètres!$A$1:$I$89,5,0)</f>
        <v>-9.3464223027694966E-13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496.33873798282525</v>
      </c>
      <c r="BJ154" s="62">
        <f t="shared" si="146"/>
        <v>280.25465074992246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1.7053025658242404E-13</v>
      </c>
      <c r="BZ154" s="14">
        <f>BY154*VLOOKUP('Données projet'!$B$12,Paramètres!$A$1:$I$89,3,0)*VLOOKUP('Données projet'!$B$12,Paramètres!$A$1:$I$89,5,0)</f>
        <v>1.4897523215040567E-13</v>
      </c>
      <c r="CA154" s="14">
        <f t="shared" ref="CA154:CA203" si="170">EXP(-1.0587+0.8836*LN(BZ154)+0.284)</f>
        <v>2.136562777003313E-12</v>
      </c>
      <c r="CB154" s="22">
        <f t="shared" ref="CB154:CB203" si="171">(BZ154+CA154)*0.475*44/12</f>
        <v>3.9806453659427267E-12</v>
      </c>
      <c r="CC154" s="62">
        <f t="shared" si="119"/>
        <v>286.80821682326933</v>
      </c>
      <c r="CD154" s="62">
        <f ca="1">AVERAGE(OFFSET($CC$3,0,0,'Données projet'!$E$12+1,1))-AVERAGE(OFFSET($H$3,0,0,'Données projet'!$E$12+1,1))</f>
        <v>298.28891728374822</v>
      </c>
      <c r="CE154" s="62">
        <f t="shared" si="148"/>
        <v>275.07405533331371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1.1368683772161603E-13</v>
      </c>
      <c r="CU154" s="18">
        <f>CT154*VLOOKUP('Données projet'!$B$13,Paramètres!$A$1:$I$89,3,0)*VLOOKUP('Données projet'!$B$13,Paramètres!$A$1:$I$89,5,0)</f>
        <v>6.7984728957526396E-14</v>
      </c>
      <c r="CV154" s="14">
        <f t="shared" ref="CV154:CV203" si="173">EXP(-1.0587+0.8836*LN(CU154)+0.284)</f>
        <v>1.0682447123141398E-12</v>
      </c>
      <c r="CW154" s="22">
        <f t="shared" ref="CW154:CW203" si="174">(CU154+CV154)*0.475*44/12</f>
        <v>1.978932943548152E-12</v>
      </c>
      <c r="CX154" s="62">
        <f t="shared" si="122"/>
        <v>286.80821682326734</v>
      </c>
      <c r="CY154" s="62">
        <f ca="1">AVERAGE(OFFSET($CX$3,0,0,'Données projet'!$E$13+1,1))-AVERAGE(OFFSET($H$3,0,0,'Données projet'!$E$13+1,1))</f>
        <v>320.46614113586043</v>
      </c>
      <c r="CZ154" s="62">
        <f t="shared" si="150"/>
        <v>250.7806929924491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0</v>
      </c>
      <c r="DG154" s="23">
        <f>EXP(-LN(2)/25)*DG153+(1-EXP(-LN(2)/25))/(LN(2)/25)*Calculateur!DB154*Calculateur!DD154*VLOOKUP('Données projet'!$B$13,Paramètres!$A$1:$I$89,3,0)*0.475*44/12</f>
        <v>0</v>
      </c>
      <c r="DH154" s="23">
        <f>EXP(-LN(2)/2)*DH153+(1-EXP(-LN(2)/2))/(LN(2)/2)*DB154*DE154*VLOOKUP('Données projet'!$B$13,Paramètres!$A$1:$I$89,3,0)*0.475*44/12</f>
        <v>5.8136652454510927E-18</v>
      </c>
      <c r="DI154" s="24">
        <f t="shared" ref="DI154:DI203" si="175">SUM(DF154:DH154)</f>
        <v>5.8136652454510927E-18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-1.1368683772161603E-13</v>
      </c>
      <c r="DP154" s="18">
        <f>DO154*VLOOKUP('Données projet'!$B$14,Paramètres!$A$1:$I$89,3,0)*VLOOKUP('Données projet'!$B$14,Paramètres!$A$1:$I$89,5,0)</f>
        <v>-5.3205440053716299E-14</v>
      </c>
      <c r="DQ154" s="14" t="e">
        <f t="shared" ref="DQ154:DQ203" si="176">EXP(-1.0587+0.8836*LN(DP154)+0.284)</f>
        <v>#NUM!</v>
      </c>
      <c r="DR154" s="22" t="e">
        <f t="shared" ref="DR154:DR203" si="177">(DP154+DQ154)*0.475*44/12</f>
        <v>#NUM!</v>
      </c>
      <c r="DS154" s="62" t="e">
        <f t="shared" si="125"/>
        <v>#NUM!</v>
      </c>
      <c r="DT154" s="62">
        <f ca="1">AVERAGE(OFFSET($DS$3,0,0,'Données projet'!$E$14+1,1))-AVERAGE(OFFSET($H$3,0,0,'Données projet'!$E$14+1,1))</f>
        <v>429.87867712133851</v>
      </c>
      <c r="DU154" s="62">
        <f t="shared" si="152"/>
        <v>182.81277865988014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0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0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1.1368683772161603E-13</v>
      </c>
      <c r="EK154" s="18">
        <f>EJ154*VLOOKUP('Données projet'!$B$15,Paramètres!$A$1:$I$89,3,0)*VLOOKUP('Données projet'!$B$15,Paramètres!$A$1:$I$89,5,0)</f>
        <v>7.626113074366004E-14</v>
      </c>
      <c r="EL154" s="14">
        <f t="shared" ref="EL154:EL203" si="179">EXP(-1.0587+0.8836*LN(EK154)+0.284)</f>
        <v>1.1823749172251317E-12</v>
      </c>
      <c r="EM154" s="22">
        <f t="shared" ref="EM154:EM203" si="180">(EK154+EL154)*0.475*44/12</f>
        <v>2.1921244502123119E-12</v>
      </c>
      <c r="EN154" s="62">
        <f t="shared" si="128"/>
        <v>286.80821682326757</v>
      </c>
      <c r="EO154" s="62">
        <f ca="1">AVERAGE(OFFSET($EN$3,0,0,'Données projet'!$E$15+1,1))-AVERAGE(OFFSET($H$3,0,0,'Données projet'!$E$15+1,1))</f>
        <v>296.18088377871669</v>
      </c>
      <c r="EP154" s="62">
        <f t="shared" si="154"/>
        <v>252.23833925792056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0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0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1.1368683772161603E-13</v>
      </c>
      <c r="FF154" s="18">
        <f>FE154*VLOOKUP('Données projet'!$B$16,Paramètres!$A$1:$I$89,3,0)*VLOOKUP('Données projet'!$B$16,Paramètres!$A$1:$I$89,5,0)</f>
        <v>9.7543306765146564E-14</v>
      </c>
      <c r="FG154" s="14">
        <f t="shared" ref="FG154:FG203" si="182">EXP(-1.0587+0.8836*LN(FF154)+0.284)</f>
        <v>1.4696264278629426E-12</v>
      </c>
      <c r="FH154" s="22">
        <f t="shared" ref="FH154:FH203" si="183">(FF154+FG154)*0.475*44/12</f>
        <v>2.7294872878105889E-12</v>
      </c>
      <c r="FI154" s="62">
        <f t="shared" si="131"/>
        <v>286.80821682326808</v>
      </c>
      <c r="FJ154" s="62">
        <f ca="1">AVERAGE(OFFSET($FI$3,0,0,'Données projet'!$E$16+1,1))-AVERAGE(OFFSET($H$3,0,0,'Données projet'!$E$16+1,1))</f>
        <v>359.20464555327072</v>
      </c>
      <c r="FK154" s="62">
        <f t="shared" si="156"/>
        <v>305.54154052071863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0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0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-9.6633812063373625E-13</v>
      </c>
      <c r="O155" s="14">
        <f>N155*VLOOKUP('Données projet'!$B$9,Paramètres!$A$1:$I$89,3,0)*VLOOKUP('Données projet'!$B$9,Paramètres!$A$1:$I$89,5,0)</f>
        <v>-9.7986685432260874E-13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516.30971934066179</v>
      </c>
      <c r="T155" s="62">
        <f t="shared" si="142"/>
        <v>290.84286505723571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-9.6633812063373625E-13</v>
      </c>
      <c r="AJ155" s="14">
        <f>AI155*VLOOKUP('Données projet'!$B$10,Paramètres!$A$1:$I$89,3,0)*VLOOKUP('Données projet'!$B$10,Paramètres!$A$1:$I$89,5,0)</f>
        <v>-1.0401663530501537E-12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542.90832990875208</v>
      </c>
      <c r="AO155" s="62">
        <f t="shared" si="144"/>
        <v>304.94365539329362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-9.6633812063373625E-13</v>
      </c>
      <c r="BE155" s="14">
        <f>BD155*VLOOKUP('Données projet'!$B$11,Paramètres!$A$1:$I$89,3,0)*VLOOKUP('Données projet'!$B$11,Paramètres!$A$1:$I$89,5,0)</f>
        <v>-9.3464223027694966E-13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496.33873798282525</v>
      </c>
      <c r="BJ155" s="62">
        <f t="shared" si="146"/>
        <v>280.25465074992246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1.7053025658242404E-13</v>
      </c>
      <c r="BZ155" s="14">
        <f>BY155*VLOOKUP('Données projet'!$B$12,Paramètres!$A$1:$I$89,3,0)*VLOOKUP('Données projet'!$B$12,Paramètres!$A$1:$I$89,5,0)</f>
        <v>1.4897523215040567E-13</v>
      </c>
      <c r="CA155" s="14">
        <f t="shared" si="170"/>
        <v>2.136562777003313E-12</v>
      </c>
      <c r="CB155" s="22">
        <f t="shared" si="171"/>
        <v>3.9806453659427267E-12</v>
      </c>
      <c r="CC155" s="62">
        <f t="shared" si="119"/>
        <v>286.92141300674388</v>
      </c>
      <c r="CD155" s="62">
        <f ca="1">AVERAGE(OFFSET($CC$3,0,0,'Données projet'!$E$12+1,1))-AVERAGE(OFFSET($H$3,0,0,'Données projet'!$E$12+1,1))</f>
        <v>298.28891728374822</v>
      </c>
      <c r="CE155" s="62">
        <f t="shared" si="148"/>
        <v>275.07405533331371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1.1368683772161603E-13</v>
      </c>
      <c r="CU155" s="18">
        <f>CT155*VLOOKUP('Données projet'!$B$13,Paramètres!$A$1:$I$89,3,0)*VLOOKUP('Données projet'!$B$13,Paramètres!$A$1:$I$89,5,0)</f>
        <v>6.7984728957526396E-14</v>
      </c>
      <c r="CV155" s="14">
        <f t="shared" si="173"/>
        <v>1.0682447123141398E-12</v>
      </c>
      <c r="CW155" s="22">
        <f t="shared" si="174"/>
        <v>1.978932943548152E-12</v>
      </c>
      <c r="CX155" s="62">
        <f t="shared" si="122"/>
        <v>286.92141300674189</v>
      </c>
      <c r="CY155" s="62">
        <f ca="1">AVERAGE(OFFSET($CX$3,0,0,'Données projet'!$E$13+1,1))-AVERAGE(OFFSET($H$3,0,0,'Données projet'!$E$13+1,1))</f>
        <v>320.46614113586043</v>
      </c>
      <c r="CZ155" s="62">
        <f t="shared" si="150"/>
        <v>250.7806929924491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0</v>
      </c>
      <c r="DG155" s="23">
        <f>EXP(-LN(2)/25)*DG154+(1-EXP(-LN(2)/25))/(LN(2)/25)*Calculateur!DB155*Calculateur!DD155*VLOOKUP('Données projet'!$B$13,Paramètres!$A$1:$I$89,3,0)*0.475*44/12</f>
        <v>0</v>
      </c>
      <c r="DH155" s="23">
        <f>EXP(-LN(2)/2)*DH154+(1-EXP(-LN(2)/2))/(LN(2)/2)*DB155*DE155*VLOOKUP('Données projet'!$B$13,Paramètres!$A$1:$I$89,3,0)*0.475*44/12</f>
        <v>4.1108821186070218E-18</v>
      </c>
      <c r="DI155" s="24">
        <f t="shared" si="175"/>
        <v>4.1108821186070218E-18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-1.1368683772161603E-13</v>
      </c>
      <c r="DP155" s="18">
        <f>DO155*VLOOKUP('Données projet'!$B$14,Paramètres!$A$1:$I$89,3,0)*VLOOKUP('Données projet'!$B$14,Paramètres!$A$1:$I$89,5,0)</f>
        <v>-5.3205440053716299E-14</v>
      </c>
      <c r="DQ155" s="14" t="e">
        <f t="shared" si="176"/>
        <v>#NUM!</v>
      </c>
      <c r="DR155" s="22" t="e">
        <f t="shared" si="177"/>
        <v>#NUM!</v>
      </c>
      <c r="DS155" s="62" t="e">
        <f t="shared" si="125"/>
        <v>#NUM!</v>
      </c>
      <c r="DT155" s="62">
        <f ca="1">AVERAGE(OFFSET($DS$3,0,0,'Données projet'!$E$14+1,1))-AVERAGE(OFFSET($H$3,0,0,'Données projet'!$E$14+1,1))</f>
        <v>429.87867712133851</v>
      </c>
      <c r="DU155" s="62">
        <f t="shared" si="152"/>
        <v>182.81277865988014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0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0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1.1368683772161603E-13</v>
      </c>
      <c r="EK155" s="18">
        <f>EJ155*VLOOKUP('Données projet'!$B$15,Paramètres!$A$1:$I$89,3,0)*VLOOKUP('Données projet'!$B$15,Paramètres!$A$1:$I$89,5,0)</f>
        <v>7.626113074366004E-14</v>
      </c>
      <c r="EL155" s="14">
        <f t="shared" si="179"/>
        <v>1.1823749172251317E-12</v>
      </c>
      <c r="EM155" s="22">
        <f t="shared" si="180"/>
        <v>2.1921244502123119E-12</v>
      </c>
      <c r="EN155" s="62">
        <f t="shared" si="128"/>
        <v>286.92141300674211</v>
      </c>
      <c r="EO155" s="62">
        <f ca="1">AVERAGE(OFFSET($EN$3,0,0,'Données projet'!$E$15+1,1))-AVERAGE(OFFSET($H$3,0,0,'Données projet'!$E$15+1,1))</f>
        <v>296.18088377871669</v>
      </c>
      <c r="EP155" s="62">
        <f t="shared" si="154"/>
        <v>252.23833925792056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0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0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1.1368683772161603E-13</v>
      </c>
      <c r="FF155" s="18">
        <f>FE155*VLOOKUP('Données projet'!$B$16,Paramètres!$A$1:$I$89,3,0)*VLOOKUP('Données projet'!$B$16,Paramètres!$A$1:$I$89,5,0)</f>
        <v>9.7543306765146564E-14</v>
      </c>
      <c r="FG155" s="14">
        <f t="shared" si="182"/>
        <v>1.4696264278629426E-12</v>
      </c>
      <c r="FH155" s="22">
        <f t="shared" si="183"/>
        <v>2.7294872878105889E-12</v>
      </c>
      <c r="FI155" s="62">
        <f t="shared" si="131"/>
        <v>286.92141300674263</v>
      </c>
      <c r="FJ155" s="62">
        <f ca="1">AVERAGE(OFFSET($FI$3,0,0,'Données projet'!$E$16+1,1))-AVERAGE(OFFSET($H$3,0,0,'Données projet'!$E$16+1,1))</f>
        <v>359.20464555327072</v>
      </c>
      <c r="FK155" s="62">
        <f t="shared" si="156"/>
        <v>305.54154052071863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0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0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-9.6633812063373625E-13</v>
      </c>
      <c r="O156" s="14">
        <f>N156*VLOOKUP('Données projet'!$B$9,Paramètres!$A$1:$I$89,3,0)*VLOOKUP('Données projet'!$B$9,Paramètres!$A$1:$I$89,5,0)</f>
        <v>-9.7986685432260874E-13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516.30971934066179</v>
      </c>
      <c r="T156" s="62">
        <f t="shared" si="142"/>
        <v>290.84286505723571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-9.6633812063373625E-13</v>
      </c>
      <c r="AJ156" s="14">
        <f>AI156*VLOOKUP('Données projet'!$B$10,Paramètres!$A$1:$I$89,3,0)*VLOOKUP('Données projet'!$B$10,Paramètres!$A$1:$I$89,5,0)</f>
        <v>-1.0401663530501537E-12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542.90832990875208</v>
      </c>
      <c r="AO156" s="62">
        <f t="shared" si="144"/>
        <v>304.94365539329362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-9.6633812063373625E-13</v>
      </c>
      <c r="BE156" s="14">
        <f>BD156*VLOOKUP('Données projet'!$B$11,Paramètres!$A$1:$I$89,3,0)*VLOOKUP('Données projet'!$B$11,Paramètres!$A$1:$I$89,5,0)</f>
        <v>-9.3464223027694966E-13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496.33873798282525</v>
      </c>
      <c r="BJ156" s="62">
        <f t="shared" si="146"/>
        <v>280.25465074992246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1.7053025658242404E-13</v>
      </c>
      <c r="BZ156" s="14">
        <f>BY156*VLOOKUP('Données projet'!$B$12,Paramètres!$A$1:$I$89,3,0)*VLOOKUP('Données projet'!$B$12,Paramètres!$A$1:$I$89,5,0)</f>
        <v>1.4897523215040567E-13</v>
      </c>
      <c r="CA156" s="14">
        <f t="shared" si="170"/>
        <v>2.136562777003313E-12</v>
      </c>
      <c r="CB156" s="22">
        <f t="shared" si="171"/>
        <v>3.9806453659427267E-12</v>
      </c>
      <c r="CC156" s="62">
        <f t="shared" si="119"/>
        <v>287.03264548950398</v>
      </c>
      <c r="CD156" s="62">
        <f ca="1">AVERAGE(OFFSET($CC$3,0,0,'Données projet'!$E$12+1,1))-AVERAGE(OFFSET($H$3,0,0,'Données projet'!$E$12+1,1))</f>
        <v>298.28891728374822</v>
      </c>
      <c r="CE156" s="62">
        <f t="shared" si="148"/>
        <v>275.07405533331371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1.1368683772161603E-13</v>
      </c>
      <c r="CU156" s="18">
        <f>CT156*VLOOKUP('Données projet'!$B$13,Paramètres!$A$1:$I$89,3,0)*VLOOKUP('Données projet'!$B$13,Paramètres!$A$1:$I$89,5,0)</f>
        <v>6.7984728957526396E-14</v>
      </c>
      <c r="CV156" s="14">
        <f t="shared" si="173"/>
        <v>1.0682447123141398E-12</v>
      </c>
      <c r="CW156" s="22">
        <f t="shared" si="174"/>
        <v>1.978932943548152E-12</v>
      </c>
      <c r="CX156" s="62">
        <f t="shared" si="122"/>
        <v>287.03264548950199</v>
      </c>
      <c r="CY156" s="62">
        <f ca="1">AVERAGE(OFFSET($CX$3,0,0,'Données projet'!$E$13+1,1))-AVERAGE(OFFSET($H$3,0,0,'Données projet'!$E$13+1,1))</f>
        <v>320.46614113586043</v>
      </c>
      <c r="CZ156" s="62">
        <f t="shared" si="150"/>
        <v>250.7806929924491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0</v>
      </c>
      <c r="DG156" s="23">
        <f>EXP(-LN(2)/25)*DG155+(1-EXP(-LN(2)/25))/(LN(2)/25)*Calculateur!DB156*Calculateur!DD156*VLOOKUP('Données projet'!$B$13,Paramètres!$A$1:$I$89,3,0)*0.475*44/12</f>
        <v>0</v>
      </c>
      <c r="DH156" s="23">
        <f>EXP(-LN(2)/2)*DH155+(1-EXP(-LN(2)/2))/(LN(2)/2)*DB156*DE156*VLOOKUP('Données projet'!$B$13,Paramètres!$A$1:$I$89,3,0)*0.475*44/12</f>
        <v>2.9068326227255463E-18</v>
      </c>
      <c r="DI156" s="24">
        <f t="shared" si="175"/>
        <v>2.9068326227255463E-18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-1.1368683772161603E-13</v>
      </c>
      <c r="DP156" s="18">
        <f>DO156*VLOOKUP('Données projet'!$B$14,Paramètres!$A$1:$I$89,3,0)*VLOOKUP('Données projet'!$B$14,Paramètres!$A$1:$I$89,5,0)</f>
        <v>-5.3205440053716299E-14</v>
      </c>
      <c r="DQ156" s="14" t="e">
        <f t="shared" si="176"/>
        <v>#NUM!</v>
      </c>
      <c r="DR156" s="22" t="e">
        <f t="shared" si="177"/>
        <v>#NUM!</v>
      </c>
      <c r="DS156" s="62" t="e">
        <f t="shared" si="125"/>
        <v>#NUM!</v>
      </c>
      <c r="DT156" s="62">
        <f ca="1">AVERAGE(OFFSET($DS$3,0,0,'Données projet'!$E$14+1,1))-AVERAGE(OFFSET($H$3,0,0,'Données projet'!$E$14+1,1))</f>
        <v>429.87867712133851</v>
      </c>
      <c r="DU156" s="62">
        <f t="shared" si="152"/>
        <v>182.81277865988014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0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0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1.1368683772161603E-13</v>
      </c>
      <c r="EK156" s="18">
        <f>EJ156*VLOOKUP('Données projet'!$B$15,Paramètres!$A$1:$I$89,3,0)*VLOOKUP('Données projet'!$B$15,Paramètres!$A$1:$I$89,5,0)</f>
        <v>7.626113074366004E-14</v>
      </c>
      <c r="EL156" s="14">
        <f t="shared" si="179"/>
        <v>1.1823749172251317E-12</v>
      </c>
      <c r="EM156" s="22">
        <f t="shared" si="180"/>
        <v>2.1921244502123119E-12</v>
      </c>
      <c r="EN156" s="62">
        <f t="shared" si="128"/>
        <v>287.03264548950222</v>
      </c>
      <c r="EO156" s="62">
        <f ca="1">AVERAGE(OFFSET($EN$3,0,0,'Données projet'!$E$15+1,1))-AVERAGE(OFFSET($H$3,0,0,'Données projet'!$E$15+1,1))</f>
        <v>296.18088377871669</v>
      </c>
      <c r="EP156" s="62">
        <f t="shared" si="154"/>
        <v>252.23833925792056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0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0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1.1368683772161603E-13</v>
      </c>
      <c r="FF156" s="18">
        <f>FE156*VLOOKUP('Données projet'!$B$16,Paramètres!$A$1:$I$89,3,0)*VLOOKUP('Données projet'!$B$16,Paramètres!$A$1:$I$89,5,0)</f>
        <v>9.7543306765146564E-14</v>
      </c>
      <c r="FG156" s="14">
        <f t="shared" si="182"/>
        <v>1.4696264278629426E-12</v>
      </c>
      <c r="FH156" s="22">
        <f t="shared" si="183"/>
        <v>2.7294872878105889E-12</v>
      </c>
      <c r="FI156" s="62">
        <f t="shared" si="131"/>
        <v>287.03264548950273</v>
      </c>
      <c r="FJ156" s="62">
        <f ca="1">AVERAGE(OFFSET($FI$3,0,0,'Données projet'!$E$16+1,1))-AVERAGE(OFFSET($H$3,0,0,'Données projet'!$E$16+1,1))</f>
        <v>359.20464555327072</v>
      </c>
      <c r="FK156" s="62">
        <f t="shared" si="156"/>
        <v>305.54154052071863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0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0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-9.6633812063373625E-13</v>
      </c>
      <c r="O157" s="14">
        <f>N157*VLOOKUP('Données projet'!$B$9,Paramètres!$A$1:$I$89,3,0)*VLOOKUP('Données projet'!$B$9,Paramètres!$A$1:$I$89,5,0)</f>
        <v>-9.7986685432260874E-13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516.30971934066179</v>
      </c>
      <c r="T157" s="62">
        <f t="shared" si="142"/>
        <v>290.84286505723571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-9.6633812063373625E-13</v>
      </c>
      <c r="AJ157" s="14">
        <f>AI157*VLOOKUP('Données projet'!$B$10,Paramètres!$A$1:$I$89,3,0)*VLOOKUP('Données projet'!$B$10,Paramètres!$A$1:$I$89,5,0)</f>
        <v>-1.0401663530501537E-12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542.90832990875208</v>
      </c>
      <c r="AO157" s="62">
        <f t="shared" si="144"/>
        <v>304.94365539329362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-9.6633812063373625E-13</v>
      </c>
      <c r="BE157" s="14">
        <f>BD157*VLOOKUP('Données projet'!$B$11,Paramètres!$A$1:$I$89,3,0)*VLOOKUP('Données projet'!$B$11,Paramètres!$A$1:$I$89,5,0)</f>
        <v>-9.3464223027694966E-13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496.33873798282525</v>
      </c>
      <c r="BJ157" s="62">
        <f t="shared" si="146"/>
        <v>280.25465074992246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1.7053025658242404E-13</v>
      </c>
      <c r="BZ157" s="14">
        <f>BY157*VLOOKUP('Données projet'!$B$12,Paramètres!$A$1:$I$89,3,0)*VLOOKUP('Données projet'!$B$12,Paramètres!$A$1:$I$89,5,0)</f>
        <v>1.4897523215040567E-13</v>
      </c>
      <c r="CA157" s="14">
        <f t="shared" si="170"/>
        <v>2.136562777003313E-12</v>
      </c>
      <c r="CB157" s="22">
        <f t="shared" si="171"/>
        <v>3.9806453659427267E-12</v>
      </c>
      <c r="CC157" s="62">
        <f t="shared" si="119"/>
        <v>287.14194833736673</v>
      </c>
      <c r="CD157" s="62">
        <f ca="1">AVERAGE(OFFSET($CC$3,0,0,'Données projet'!$E$12+1,1))-AVERAGE(OFFSET($H$3,0,0,'Données projet'!$E$12+1,1))</f>
        <v>298.28891728374822</v>
      </c>
      <c r="CE157" s="62">
        <f t="shared" si="148"/>
        <v>275.07405533331371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1.1368683772161603E-13</v>
      </c>
      <c r="CU157" s="18">
        <f>CT157*VLOOKUP('Données projet'!$B$13,Paramètres!$A$1:$I$89,3,0)*VLOOKUP('Données projet'!$B$13,Paramètres!$A$1:$I$89,5,0)</f>
        <v>6.7984728957526396E-14</v>
      </c>
      <c r="CV157" s="14">
        <f t="shared" si="173"/>
        <v>1.0682447123141398E-12</v>
      </c>
      <c r="CW157" s="22">
        <f t="shared" si="174"/>
        <v>1.978932943548152E-12</v>
      </c>
      <c r="CX157" s="62">
        <f t="shared" si="122"/>
        <v>287.14194833736474</v>
      </c>
      <c r="CY157" s="62">
        <f ca="1">AVERAGE(OFFSET($CX$3,0,0,'Données projet'!$E$13+1,1))-AVERAGE(OFFSET($H$3,0,0,'Données projet'!$E$13+1,1))</f>
        <v>320.46614113586043</v>
      </c>
      <c r="CZ157" s="62">
        <f t="shared" si="150"/>
        <v>250.7806929924491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0</v>
      </c>
      <c r="DG157" s="23">
        <f>EXP(-LN(2)/25)*DG156+(1-EXP(-LN(2)/25))/(LN(2)/25)*Calculateur!DB157*Calculateur!DD157*VLOOKUP('Données projet'!$B$13,Paramètres!$A$1:$I$89,3,0)*0.475*44/12</f>
        <v>0</v>
      </c>
      <c r="DH157" s="23">
        <f>EXP(-LN(2)/2)*DH156+(1-EXP(-LN(2)/2))/(LN(2)/2)*DB157*DE157*VLOOKUP('Données projet'!$B$13,Paramètres!$A$1:$I$89,3,0)*0.475*44/12</f>
        <v>2.0554410593035109E-18</v>
      </c>
      <c r="DI157" s="24">
        <f t="shared" si="175"/>
        <v>2.0554410593035109E-18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-1.1368683772161603E-13</v>
      </c>
      <c r="DP157" s="18">
        <f>DO157*VLOOKUP('Données projet'!$B$14,Paramètres!$A$1:$I$89,3,0)*VLOOKUP('Données projet'!$B$14,Paramètres!$A$1:$I$89,5,0)</f>
        <v>-5.3205440053716299E-14</v>
      </c>
      <c r="DQ157" s="14" t="e">
        <f t="shared" si="176"/>
        <v>#NUM!</v>
      </c>
      <c r="DR157" s="22" t="e">
        <f t="shared" si="177"/>
        <v>#NUM!</v>
      </c>
      <c r="DS157" s="62" t="e">
        <f t="shared" si="125"/>
        <v>#NUM!</v>
      </c>
      <c r="DT157" s="62">
        <f ca="1">AVERAGE(OFFSET($DS$3,0,0,'Données projet'!$E$14+1,1))-AVERAGE(OFFSET($H$3,0,0,'Données projet'!$E$14+1,1))</f>
        <v>429.87867712133851</v>
      </c>
      <c r="DU157" s="62">
        <f t="shared" si="152"/>
        <v>182.81277865988014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0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0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1.1368683772161603E-13</v>
      </c>
      <c r="EK157" s="18">
        <f>EJ157*VLOOKUP('Données projet'!$B$15,Paramètres!$A$1:$I$89,3,0)*VLOOKUP('Données projet'!$B$15,Paramètres!$A$1:$I$89,5,0)</f>
        <v>7.626113074366004E-14</v>
      </c>
      <c r="EL157" s="14">
        <f t="shared" si="179"/>
        <v>1.1823749172251317E-12</v>
      </c>
      <c r="EM157" s="22">
        <f t="shared" si="180"/>
        <v>2.1921244502123119E-12</v>
      </c>
      <c r="EN157" s="62">
        <f t="shared" si="128"/>
        <v>287.14194833736497</v>
      </c>
      <c r="EO157" s="62">
        <f ca="1">AVERAGE(OFFSET($EN$3,0,0,'Données projet'!$E$15+1,1))-AVERAGE(OFFSET($H$3,0,0,'Données projet'!$E$15+1,1))</f>
        <v>296.18088377871669</v>
      </c>
      <c r="EP157" s="62">
        <f t="shared" si="154"/>
        <v>252.23833925792056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0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0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1.1368683772161603E-13</v>
      </c>
      <c r="FF157" s="18">
        <f>FE157*VLOOKUP('Données projet'!$B$16,Paramètres!$A$1:$I$89,3,0)*VLOOKUP('Données projet'!$B$16,Paramètres!$A$1:$I$89,5,0)</f>
        <v>9.7543306765146564E-14</v>
      </c>
      <c r="FG157" s="14">
        <f t="shared" si="182"/>
        <v>1.4696264278629426E-12</v>
      </c>
      <c r="FH157" s="22">
        <f t="shared" si="183"/>
        <v>2.7294872878105889E-12</v>
      </c>
      <c r="FI157" s="62">
        <f t="shared" si="131"/>
        <v>287.14194833736548</v>
      </c>
      <c r="FJ157" s="62">
        <f ca="1">AVERAGE(OFFSET($FI$3,0,0,'Données projet'!$E$16+1,1))-AVERAGE(OFFSET($H$3,0,0,'Données projet'!$E$16+1,1))</f>
        <v>359.20464555327072</v>
      </c>
      <c r="FK157" s="62">
        <f t="shared" si="156"/>
        <v>305.54154052071863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0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0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-9.6633812063373625E-13</v>
      </c>
      <c r="O158" s="14">
        <f>N158*VLOOKUP('Données projet'!$B$9,Paramètres!$A$1:$I$89,3,0)*VLOOKUP('Données projet'!$B$9,Paramètres!$A$1:$I$89,5,0)</f>
        <v>-9.7986685432260874E-13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516.30971934066179</v>
      </c>
      <c r="T158" s="62">
        <f t="shared" si="142"/>
        <v>290.84286505723571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-9.6633812063373625E-13</v>
      </c>
      <c r="AJ158" s="14">
        <f>AI158*VLOOKUP('Données projet'!$B$10,Paramètres!$A$1:$I$89,3,0)*VLOOKUP('Données projet'!$B$10,Paramètres!$A$1:$I$89,5,0)</f>
        <v>-1.0401663530501537E-12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542.90832990875208</v>
      </c>
      <c r="AO158" s="62">
        <f t="shared" si="144"/>
        <v>304.94365539329362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-9.6633812063373625E-13</v>
      </c>
      <c r="BE158" s="14">
        <f>BD158*VLOOKUP('Données projet'!$B$11,Paramètres!$A$1:$I$89,3,0)*VLOOKUP('Données projet'!$B$11,Paramètres!$A$1:$I$89,5,0)</f>
        <v>-9.3464223027694966E-13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496.33873798282525</v>
      </c>
      <c r="BJ158" s="62">
        <f t="shared" si="146"/>
        <v>280.25465074992246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1.7053025658242404E-13</v>
      </c>
      <c r="BZ158" s="14">
        <f>BY158*VLOOKUP('Données projet'!$B$12,Paramètres!$A$1:$I$89,3,0)*VLOOKUP('Données projet'!$B$12,Paramètres!$A$1:$I$89,5,0)</f>
        <v>1.4897523215040567E-13</v>
      </c>
      <c r="CA158" s="14">
        <f t="shared" si="170"/>
        <v>2.136562777003313E-12</v>
      </c>
      <c r="CB158" s="22">
        <f t="shared" si="171"/>
        <v>3.9806453659427267E-12</v>
      </c>
      <c r="CC158" s="62">
        <f t="shared" si="119"/>
        <v>287.24935502518366</v>
      </c>
      <c r="CD158" s="62">
        <f ca="1">AVERAGE(OFFSET($CC$3,0,0,'Données projet'!$E$12+1,1))-AVERAGE(OFFSET($H$3,0,0,'Données projet'!$E$12+1,1))</f>
        <v>298.28891728374822</v>
      </c>
      <c r="CE158" s="62">
        <f t="shared" si="148"/>
        <v>275.07405533331371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1.1368683772161603E-13</v>
      </c>
      <c r="CU158" s="18">
        <f>CT158*VLOOKUP('Données projet'!$B$13,Paramètres!$A$1:$I$89,3,0)*VLOOKUP('Données projet'!$B$13,Paramètres!$A$1:$I$89,5,0)</f>
        <v>6.7984728957526396E-14</v>
      </c>
      <c r="CV158" s="14">
        <f t="shared" si="173"/>
        <v>1.0682447123141398E-12</v>
      </c>
      <c r="CW158" s="22">
        <f t="shared" si="174"/>
        <v>1.978932943548152E-12</v>
      </c>
      <c r="CX158" s="62">
        <f t="shared" si="122"/>
        <v>287.24935502518167</v>
      </c>
      <c r="CY158" s="62">
        <f ca="1">AVERAGE(OFFSET($CX$3,0,0,'Données projet'!$E$13+1,1))-AVERAGE(OFFSET($H$3,0,0,'Données projet'!$E$13+1,1))</f>
        <v>320.46614113586043</v>
      </c>
      <c r="CZ158" s="62">
        <f t="shared" si="150"/>
        <v>250.7806929924491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0</v>
      </c>
      <c r="DG158" s="23">
        <f>EXP(-LN(2)/25)*DG157+(1-EXP(-LN(2)/25))/(LN(2)/25)*Calculateur!DB158*Calculateur!DD158*VLOOKUP('Données projet'!$B$13,Paramètres!$A$1:$I$89,3,0)*0.475*44/12</f>
        <v>0</v>
      </c>
      <c r="DH158" s="23">
        <f>EXP(-LN(2)/2)*DH157+(1-EXP(-LN(2)/2))/(LN(2)/2)*DB158*DE158*VLOOKUP('Données projet'!$B$13,Paramètres!$A$1:$I$89,3,0)*0.475*44/12</f>
        <v>1.4534163113627732E-18</v>
      </c>
      <c r="DI158" s="24">
        <f t="shared" si="175"/>
        <v>1.4534163113627732E-18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-1.1368683772161603E-13</v>
      </c>
      <c r="DP158" s="18">
        <f>DO158*VLOOKUP('Données projet'!$B$14,Paramètres!$A$1:$I$89,3,0)*VLOOKUP('Données projet'!$B$14,Paramètres!$A$1:$I$89,5,0)</f>
        <v>-5.3205440053716299E-14</v>
      </c>
      <c r="DQ158" s="14" t="e">
        <f t="shared" si="176"/>
        <v>#NUM!</v>
      </c>
      <c r="DR158" s="22" t="e">
        <f t="shared" si="177"/>
        <v>#NUM!</v>
      </c>
      <c r="DS158" s="62" t="e">
        <f t="shared" si="125"/>
        <v>#NUM!</v>
      </c>
      <c r="DT158" s="62">
        <f ca="1">AVERAGE(OFFSET($DS$3,0,0,'Données projet'!$E$14+1,1))-AVERAGE(OFFSET($H$3,0,0,'Données projet'!$E$14+1,1))</f>
        <v>429.87867712133851</v>
      </c>
      <c r="DU158" s="62">
        <f t="shared" si="152"/>
        <v>182.81277865988014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0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0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1.1368683772161603E-13</v>
      </c>
      <c r="EK158" s="18">
        <f>EJ158*VLOOKUP('Données projet'!$B$15,Paramètres!$A$1:$I$89,3,0)*VLOOKUP('Données projet'!$B$15,Paramètres!$A$1:$I$89,5,0)</f>
        <v>7.626113074366004E-14</v>
      </c>
      <c r="EL158" s="14">
        <f t="shared" si="179"/>
        <v>1.1823749172251317E-12</v>
      </c>
      <c r="EM158" s="22">
        <f t="shared" si="180"/>
        <v>2.1921244502123119E-12</v>
      </c>
      <c r="EN158" s="62">
        <f t="shared" si="128"/>
        <v>287.2493550251819</v>
      </c>
      <c r="EO158" s="62">
        <f ca="1">AVERAGE(OFFSET($EN$3,0,0,'Données projet'!$E$15+1,1))-AVERAGE(OFFSET($H$3,0,0,'Données projet'!$E$15+1,1))</f>
        <v>296.18088377871669</v>
      </c>
      <c r="EP158" s="62">
        <f t="shared" si="154"/>
        <v>252.23833925792056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0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0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1.1368683772161603E-13</v>
      </c>
      <c r="FF158" s="18">
        <f>FE158*VLOOKUP('Données projet'!$B$16,Paramètres!$A$1:$I$89,3,0)*VLOOKUP('Données projet'!$B$16,Paramètres!$A$1:$I$89,5,0)</f>
        <v>9.7543306765146564E-14</v>
      </c>
      <c r="FG158" s="14">
        <f t="shared" si="182"/>
        <v>1.4696264278629426E-12</v>
      </c>
      <c r="FH158" s="22">
        <f t="shared" si="183"/>
        <v>2.7294872878105889E-12</v>
      </c>
      <c r="FI158" s="62">
        <f t="shared" si="131"/>
        <v>287.24935502518241</v>
      </c>
      <c r="FJ158" s="62">
        <f ca="1">AVERAGE(OFFSET($FI$3,0,0,'Données projet'!$E$16+1,1))-AVERAGE(OFFSET($H$3,0,0,'Données projet'!$E$16+1,1))</f>
        <v>359.20464555327072</v>
      </c>
      <c r="FK158" s="62">
        <f t="shared" si="156"/>
        <v>305.54154052071863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0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0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-9.6633812063373625E-13</v>
      </c>
      <c r="O159" s="14">
        <f>N159*VLOOKUP('Données projet'!$B$9,Paramètres!$A$1:$I$89,3,0)*VLOOKUP('Données projet'!$B$9,Paramètres!$A$1:$I$89,5,0)</f>
        <v>-9.7986685432260874E-13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516.30971934066179</v>
      </c>
      <c r="T159" s="62">
        <f t="shared" si="142"/>
        <v>290.84286505723571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-9.6633812063373625E-13</v>
      </c>
      <c r="AJ159" s="14">
        <f>AI159*VLOOKUP('Données projet'!$B$10,Paramètres!$A$1:$I$89,3,0)*VLOOKUP('Données projet'!$B$10,Paramètres!$A$1:$I$89,5,0)</f>
        <v>-1.0401663530501537E-12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542.90832990875208</v>
      </c>
      <c r="AO159" s="62">
        <f t="shared" si="144"/>
        <v>304.94365539329362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-9.6633812063373625E-13</v>
      </c>
      <c r="BE159" s="14">
        <f>BD159*VLOOKUP('Données projet'!$B$11,Paramètres!$A$1:$I$89,3,0)*VLOOKUP('Données projet'!$B$11,Paramètres!$A$1:$I$89,5,0)</f>
        <v>-9.3464223027694966E-13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496.33873798282525</v>
      </c>
      <c r="BJ159" s="62">
        <f t="shared" si="146"/>
        <v>280.25465074992246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1.7053025658242404E-13</v>
      </c>
      <c r="BZ159" s="14">
        <f>BY159*VLOOKUP('Données projet'!$B$12,Paramètres!$A$1:$I$89,3,0)*VLOOKUP('Données projet'!$B$12,Paramètres!$A$1:$I$89,5,0)</f>
        <v>1.4897523215040567E-13</v>
      </c>
      <c r="CA159" s="14">
        <f t="shared" si="170"/>
        <v>2.136562777003313E-12</v>
      </c>
      <c r="CB159" s="22">
        <f t="shared" si="171"/>
        <v>3.9806453659427267E-12</v>
      </c>
      <c r="CC159" s="62">
        <f t="shared" si="119"/>
        <v>287.3548984470923</v>
      </c>
      <c r="CD159" s="62">
        <f ca="1">AVERAGE(OFFSET($CC$3,0,0,'Données projet'!$E$12+1,1))-AVERAGE(OFFSET($H$3,0,0,'Données projet'!$E$12+1,1))</f>
        <v>298.28891728374822</v>
      </c>
      <c r="CE159" s="62">
        <f t="shared" si="148"/>
        <v>275.07405533331371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1.1368683772161603E-13</v>
      </c>
      <c r="CU159" s="18">
        <f>CT159*VLOOKUP('Données projet'!$B$13,Paramètres!$A$1:$I$89,3,0)*VLOOKUP('Données projet'!$B$13,Paramètres!$A$1:$I$89,5,0)</f>
        <v>6.7984728957526396E-14</v>
      </c>
      <c r="CV159" s="14">
        <f t="shared" si="173"/>
        <v>1.0682447123141398E-12</v>
      </c>
      <c r="CW159" s="22">
        <f t="shared" si="174"/>
        <v>1.978932943548152E-12</v>
      </c>
      <c r="CX159" s="62">
        <f t="shared" si="122"/>
        <v>287.35489844709031</v>
      </c>
      <c r="CY159" s="62">
        <f ca="1">AVERAGE(OFFSET($CX$3,0,0,'Données projet'!$E$13+1,1))-AVERAGE(OFFSET($H$3,0,0,'Données projet'!$E$13+1,1))</f>
        <v>320.46614113586043</v>
      </c>
      <c r="CZ159" s="62">
        <f t="shared" si="150"/>
        <v>250.7806929924491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0</v>
      </c>
      <c r="DG159" s="23">
        <f>EXP(-LN(2)/25)*DG158+(1-EXP(-LN(2)/25))/(LN(2)/25)*Calculateur!DB159*Calculateur!DD159*VLOOKUP('Données projet'!$B$13,Paramètres!$A$1:$I$89,3,0)*0.475*44/12</f>
        <v>0</v>
      </c>
      <c r="DH159" s="23">
        <f>EXP(-LN(2)/2)*DH158+(1-EXP(-LN(2)/2))/(LN(2)/2)*DB159*DE159*VLOOKUP('Données projet'!$B$13,Paramètres!$A$1:$I$89,3,0)*0.475*44/12</f>
        <v>1.0277205296517555E-18</v>
      </c>
      <c r="DI159" s="24">
        <f t="shared" si="175"/>
        <v>1.0277205296517555E-18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-1.1368683772161603E-13</v>
      </c>
      <c r="DP159" s="18">
        <f>DO159*VLOOKUP('Données projet'!$B$14,Paramètres!$A$1:$I$89,3,0)*VLOOKUP('Données projet'!$B$14,Paramètres!$A$1:$I$89,5,0)</f>
        <v>-5.3205440053716299E-14</v>
      </c>
      <c r="DQ159" s="14" t="e">
        <f t="shared" si="176"/>
        <v>#NUM!</v>
      </c>
      <c r="DR159" s="22" t="e">
        <f t="shared" si="177"/>
        <v>#NUM!</v>
      </c>
      <c r="DS159" s="62" t="e">
        <f t="shared" si="125"/>
        <v>#NUM!</v>
      </c>
      <c r="DT159" s="62">
        <f ca="1">AVERAGE(OFFSET($DS$3,0,0,'Données projet'!$E$14+1,1))-AVERAGE(OFFSET($H$3,0,0,'Données projet'!$E$14+1,1))</f>
        <v>429.87867712133851</v>
      </c>
      <c r="DU159" s="62">
        <f t="shared" si="152"/>
        <v>182.81277865988014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0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0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1.1368683772161603E-13</v>
      </c>
      <c r="EK159" s="18">
        <f>EJ159*VLOOKUP('Données projet'!$B$15,Paramètres!$A$1:$I$89,3,0)*VLOOKUP('Données projet'!$B$15,Paramètres!$A$1:$I$89,5,0)</f>
        <v>7.626113074366004E-14</v>
      </c>
      <c r="EL159" s="14">
        <f t="shared" si="179"/>
        <v>1.1823749172251317E-12</v>
      </c>
      <c r="EM159" s="22">
        <f t="shared" si="180"/>
        <v>2.1921244502123119E-12</v>
      </c>
      <c r="EN159" s="62">
        <f t="shared" si="128"/>
        <v>287.35489844709053</v>
      </c>
      <c r="EO159" s="62">
        <f ca="1">AVERAGE(OFFSET($EN$3,0,0,'Données projet'!$E$15+1,1))-AVERAGE(OFFSET($H$3,0,0,'Données projet'!$E$15+1,1))</f>
        <v>296.18088377871669</v>
      </c>
      <c r="EP159" s="62">
        <f t="shared" si="154"/>
        <v>252.23833925792056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0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0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1.1368683772161603E-13</v>
      </c>
      <c r="FF159" s="18">
        <f>FE159*VLOOKUP('Données projet'!$B$16,Paramètres!$A$1:$I$89,3,0)*VLOOKUP('Données projet'!$B$16,Paramètres!$A$1:$I$89,5,0)</f>
        <v>9.7543306765146564E-14</v>
      </c>
      <c r="FG159" s="14">
        <f t="shared" si="182"/>
        <v>1.4696264278629426E-12</v>
      </c>
      <c r="FH159" s="22">
        <f t="shared" si="183"/>
        <v>2.7294872878105889E-12</v>
      </c>
      <c r="FI159" s="62">
        <f t="shared" si="131"/>
        <v>287.35489844709105</v>
      </c>
      <c r="FJ159" s="62">
        <f ca="1">AVERAGE(OFFSET($FI$3,0,0,'Données projet'!$E$16+1,1))-AVERAGE(OFFSET($H$3,0,0,'Données projet'!$E$16+1,1))</f>
        <v>359.20464555327072</v>
      </c>
      <c r="FK159" s="62">
        <f t="shared" si="156"/>
        <v>305.54154052071863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0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0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-9.6633812063373625E-13</v>
      </c>
      <c r="O160" s="14">
        <f>N160*VLOOKUP('Données projet'!$B$9,Paramètres!$A$1:$I$89,3,0)*VLOOKUP('Données projet'!$B$9,Paramètres!$A$1:$I$89,5,0)</f>
        <v>-9.7986685432260874E-13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516.30971934066179</v>
      </c>
      <c r="T160" s="62">
        <f t="shared" si="142"/>
        <v>290.84286505723571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-9.6633812063373625E-13</v>
      </c>
      <c r="AJ160" s="14">
        <f>AI160*VLOOKUP('Données projet'!$B$10,Paramètres!$A$1:$I$89,3,0)*VLOOKUP('Données projet'!$B$10,Paramètres!$A$1:$I$89,5,0)</f>
        <v>-1.0401663530501537E-12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542.90832990875208</v>
      </c>
      <c r="AO160" s="62">
        <f t="shared" si="144"/>
        <v>304.94365539329362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-9.6633812063373625E-13</v>
      </c>
      <c r="BE160" s="14">
        <f>BD160*VLOOKUP('Données projet'!$B$11,Paramètres!$A$1:$I$89,3,0)*VLOOKUP('Données projet'!$B$11,Paramètres!$A$1:$I$89,5,0)</f>
        <v>-9.3464223027694966E-13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496.33873798282525</v>
      </c>
      <c r="BJ160" s="62">
        <f t="shared" si="146"/>
        <v>280.25465074992246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1.7053025658242404E-13</v>
      </c>
      <c r="BZ160" s="14">
        <f>BY160*VLOOKUP('Données projet'!$B$12,Paramètres!$A$1:$I$89,3,0)*VLOOKUP('Données projet'!$B$12,Paramètres!$A$1:$I$89,5,0)</f>
        <v>1.4897523215040567E-13</v>
      </c>
      <c r="CA160" s="14">
        <f t="shared" si="170"/>
        <v>2.136562777003313E-12</v>
      </c>
      <c r="CB160" s="22">
        <f t="shared" si="171"/>
        <v>3.9806453659427267E-12</v>
      </c>
      <c r="CC160" s="62">
        <f t="shared" si="119"/>
        <v>287.45861092659055</v>
      </c>
      <c r="CD160" s="62">
        <f ca="1">AVERAGE(OFFSET($CC$3,0,0,'Données projet'!$E$12+1,1))-AVERAGE(OFFSET($H$3,0,0,'Données projet'!$E$12+1,1))</f>
        <v>298.28891728374822</v>
      </c>
      <c r="CE160" s="62">
        <f t="shared" si="148"/>
        <v>275.07405533331371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1.1368683772161603E-13</v>
      </c>
      <c r="CU160" s="18">
        <f>CT160*VLOOKUP('Données projet'!$B$13,Paramètres!$A$1:$I$89,3,0)*VLOOKUP('Données projet'!$B$13,Paramètres!$A$1:$I$89,5,0)</f>
        <v>6.7984728957526396E-14</v>
      </c>
      <c r="CV160" s="14">
        <f t="shared" si="173"/>
        <v>1.0682447123141398E-12</v>
      </c>
      <c r="CW160" s="22">
        <f t="shared" si="174"/>
        <v>1.978932943548152E-12</v>
      </c>
      <c r="CX160" s="62">
        <f t="shared" si="122"/>
        <v>287.45861092658856</v>
      </c>
      <c r="CY160" s="62">
        <f ca="1">AVERAGE(OFFSET($CX$3,0,0,'Données projet'!$E$13+1,1))-AVERAGE(OFFSET($H$3,0,0,'Données projet'!$E$13+1,1))</f>
        <v>320.46614113586043</v>
      </c>
      <c r="CZ160" s="62">
        <f t="shared" si="150"/>
        <v>250.7806929924491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0</v>
      </c>
      <c r="DG160" s="23">
        <f>EXP(-LN(2)/25)*DG159+(1-EXP(-LN(2)/25))/(LN(2)/25)*Calculateur!DB160*Calculateur!DD160*VLOOKUP('Données projet'!$B$13,Paramètres!$A$1:$I$89,3,0)*0.475*44/12</f>
        <v>0</v>
      </c>
      <c r="DH160" s="23">
        <f>EXP(-LN(2)/2)*DH159+(1-EXP(-LN(2)/2))/(LN(2)/2)*DB160*DE160*VLOOKUP('Données projet'!$B$13,Paramètres!$A$1:$I$89,3,0)*0.475*44/12</f>
        <v>7.2670815568138658E-19</v>
      </c>
      <c r="DI160" s="24">
        <f t="shared" si="175"/>
        <v>7.2670815568138658E-19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-1.1368683772161603E-13</v>
      </c>
      <c r="DP160" s="18">
        <f>DO160*VLOOKUP('Données projet'!$B$14,Paramètres!$A$1:$I$89,3,0)*VLOOKUP('Données projet'!$B$14,Paramètres!$A$1:$I$89,5,0)</f>
        <v>-5.3205440053716299E-14</v>
      </c>
      <c r="DQ160" s="14" t="e">
        <f t="shared" si="176"/>
        <v>#NUM!</v>
      </c>
      <c r="DR160" s="22" t="e">
        <f t="shared" si="177"/>
        <v>#NUM!</v>
      </c>
      <c r="DS160" s="62" t="e">
        <f t="shared" si="125"/>
        <v>#NUM!</v>
      </c>
      <c r="DT160" s="62">
        <f ca="1">AVERAGE(OFFSET($DS$3,0,0,'Données projet'!$E$14+1,1))-AVERAGE(OFFSET($H$3,0,0,'Données projet'!$E$14+1,1))</f>
        <v>429.87867712133851</v>
      </c>
      <c r="DU160" s="62">
        <f t="shared" si="152"/>
        <v>182.81277865988014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0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0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1.1368683772161603E-13</v>
      </c>
      <c r="EK160" s="18">
        <f>EJ160*VLOOKUP('Données projet'!$B$15,Paramètres!$A$1:$I$89,3,0)*VLOOKUP('Données projet'!$B$15,Paramètres!$A$1:$I$89,5,0)</f>
        <v>7.626113074366004E-14</v>
      </c>
      <c r="EL160" s="14">
        <f t="shared" si="179"/>
        <v>1.1823749172251317E-12</v>
      </c>
      <c r="EM160" s="22">
        <f t="shared" si="180"/>
        <v>2.1921244502123119E-12</v>
      </c>
      <c r="EN160" s="62">
        <f t="shared" si="128"/>
        <v>287.45861092658879</v>
      </c>
      <c r="EO160" s="62">
        <f ca="1">AVERAGE(OFFSET($EN$3,0,0,'Données projet'!$E$15+1,1))-AVERAGE(OFFSET($H$3,0,0,'Données projet'!$E$15+1,1))</f>
        <v>296.18088377871669</v>
      </c>
      <c r="EP160" s="62">
        <f t="shared" si="154"/>
        <v>252.23833925792056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0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0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1.1368683772161603E-13</v>
      </c>
      <c r="FF160" s="18">
        <f>FE160*VLOOKUP('Données projet'!$B$16,Paramètres!$A$1:$I$89,3,0)*VLOOKUP('Données projet'!$B$16,Paramètres!$A$1:$I$89,5,0)</f>
        <v>9.7543306765146564E-14</v>
      </c>
      <c r="FG160" s="14">
        <f t="shared" si="182"/>
        <v>1.4696264278629426E-12</v>
      </c>
      <c r="FH160" s="22">
        <f t="shared" si="183"/>
        <v>2.7294872878105889E-12</v>
      </c>
      <c r="FI160" s="62">
        <f t="shared" si="131"/>
        <v>287.4586109265893</v>
      </c>
      <c r="FJ160" s="62">
        <f ca="1">AVERAGE(OFFSET($FI$3,0,0,'Données projet'!$E$16+1,1))-AVERAGE(OFFSET($H$3,0,0,'Données projet'!$E$16+1,1))</f>
        <v>359.20464555327072</v>
      </c>
      <c r="FK160" s="62">
        <f t="shared" si="156"/>
        <v>305.54154052071863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0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0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-9.6633812063373625E-13</v>
      </c>
      <c r="O161" s="14">
        <f>N161*VLOOKUP('Données projet'!$B$9,Paramètres!$A$1:$I$89,3,0)*VLOOKUP('Données projet'!$B$9,Paramètres!$A$1:$I$89,5,0)</f>
        <v>-9.7986685432260874E-13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516.30971934066179</v>
      </c>
      <c r="T161" s="62">
        <f t="shared" si="142"/>
        <v>290.84286505723571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-9.6633812063373625E-13</v>
      </c>
      <c r="AJ161" s="14">
        <f>AI161*VLOOKUP('Données projet'!$B$10,Paramètres!$A$1:$I$89,3,0)*VLOOKUP('Données projet'!$B$10,Paramètres!$A$1:$I$89,5,0)</f>
        <v>-1.0401663530501537E-12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542.90832990875208</v>
      </c>
      <c r="AO161" s="62">
        <f t="shared" si="144"/>
        <v>304.94365539329362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-9.6633812063373625E-13</v>
      </c>
      <c r="BE161" s="14">
        <f>BD161*VLOOKUP('Données projet'!$B$11,Paramètres!$A$1:$I$89,3,0)*VLOOKUP('Données projet'!$B$11,Paramètres!$A$1:$I$89,5,0)</f>
        <v>-9.3464223027694966E-13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496.33873798282525</v>
      </c>
      <c r="BJ161" s="62">
        <f t="shared" si="146"/>
        <v>280.25465074992246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1.7053025658242404E-13</v>
      </c>
      <c r="BZ161" s="14">
        <f>BY161*VLOOKUP('Données projet'!$B$12,Paramètres!$A$1:$I$89,3,0)*VLOOKUP('Données projet'!$B$12,Paramètres!$A$1:$I$89,5,0)</f>
        <v>1.4897523215040567E-13</v>
      </c>
      <c r="CA161" s="14">
        <f t="shared" si="170"/>
        <v>2.136562777003313E-12</v>
      </c>
      <c r="CB161" s="22">
        <f t="shared" si="171"/>
        <v>3.9806453659427267E-12</v>
      </c>
      <c r="CC161" s="62">
        <f t="shared" si="119"/>
        <v>287.56052422643597</v>
      </c>
      <c r="CD161" s="62">
        <f ca="1">AVERAGE(OFFSET($CC$3,0,0,'Données projet'!$E$12+1,1))-AVERAGE(OFFSET($H$3,0,0,'Données projet'!$E$12+1,1))</f>
        <v>298.28891728374822</v>
      </c>
      <c r="CE161" s="62">
        <f t="shared" si="148"/>
        <v>275.07405533331371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1.1368683772161603E-13</v>
      </c>
      <c r="CU161" s="18">
        <f>CT161*VLOOKUP('Données projet'!$B$13,Paramètres!$A$1:$I$89,3,0)*VLOOKUP('Données projet'!$B$13,Paramètres!$A$1:$I$89,5,0)</f>
        <v>6.7984728957526396E-14</v>
      </c>
      <c r="CV161" s="14">
        <f t="shared" si="173"/>
        <v>1.0682447123141398E-12</v>
      </c>
      <c r="CW161" s="22">
        <f t="shared" si="174"/>
        <v>1.978932943548152E-12</v>
      </c>
      <c r="CX161" s="62">
        <f t="shared" si="122"/>
        <v>287.56052422643398</v>
      </c>
      <c r="CY161" s="62">
        <f ca="1">AVERAGE(OFFSET($CX$3,0,0,'Données projet'!$E$13+1,1))-AVERAGE(OFFSET($H$3,0,0,'Données projet'!$E$13+1,1))</f>
        <v>320.46614113586043</v>
      </c>
      <c r="CZ161" s="62">
        <f t="shared" si="150"/>
        <v>250.7806929924491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0</v>
      </c>
      <c r="DG161" s="23">
        <f>EXP(-LN(2)/25)*DG160+(1-EXP(-LN(2)/25))/(LN(2)/25)*Calculateur!DB161*Calculateur!DD161*VLOOKUP('Données projet'!$B$13,Paramètres!$A$1:$I$89,3,0)*0.475*44/12</f>
        <v>0</v>
      </c>
      <c r="DH161" s="23">
        <f>EXP(-LN(2)/2)*DH160+(1-EXP(-LN(2)/2))/(LN(2)/2)*DB161*DE161*VLOOKUP('Données projet'!$B$13,Paramètres!$A$1:$I$89,3,0)*0.475*44/12</f>
        <v>5.1386026482587773E-19</v>
      </c>
      <c r="DI161" s="24">
        <f t="shared" si="175"/>
        <v>5.1386026482587773E-19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-1.1368683772161603E-13</v>
      </c>
      <c r="DP161" s="18">
        <f>DO161*VLOOKUP('Données projet'!$B$14,Paramètres!$A$1:$I$89,3,0)*VLOOKUP('Données projet'!$B$14,Paramètres!$A$1:$I$89,5,0)</f>
        <v>-5.3205440053716299E-14</v>
      </c>
      <c r="DQ161" s="14" t="e">
        <f t="shared" si="176"/>
        <v>#NUM!</v>
      </c>
      <c r="DR161" s="22" t="e">
        <f t="shared" si="177"/>
        <v>#NUM!</v>
      </c>
      <c r="DS161" s="62" t="e">
        <f t="shared" si="125"/>
        <v>#NUM!</v>
      </c>
      <c r="DT161" s="62">
        <f ca="1">AVERAGE(OFFSET($DS$3,0,0,'Données projet'!$E$14+1,1))-AVERAGE(OFFSET($H$3,0,0,'Données projet'!$E$14+1,1))</f>
        <v>429.87867712133851</v>
      </c>
      <c r="DU161" s="62">
        <f t="shared" si="152"/>
        <v>182.81277865988014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0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0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1.1368683772161603E-13</v>
      </c>
      <c r="EK161" s="18">
        <f>EJ161*VLOOKUP('Données projet'!$B$15,Paramètres!$A$1:$I$89,3,0)*VLOOKUP('Données projet'!$B$15,Paramètres!$A$1:$I$89,5,0)</f>
        <v>7.626113074366004E-14</v>
      </c>
      <c r="EL161" s="14">
        <f t="shared" si="179"/>
        <v>1.1823749172251317E-12</v>
      </c>
      <c r="EM161" s="22">
        <f t="shared" si="180"/>
        <v>2.1921244502123119E-12</v>
      </c>
      <c r="EN161" s="62">
        <f t="shared" si="128"/>
        <v>287.56052422643421</v>
      </c>
      <c r="EO161" s="62">
        <f ca="1">AVERAGE(OFFSET($EN$3,0,0,'Données projet'!$E$15+1,1))-AVERAGE(OFFSET($H$3,0,0,'Données projet'!$E$15+1,1))</f>
        <v>296.18088377871669</v>
      </c>
      <c r="EP161" s="62">
        <f t="shared" si="154"/>
        <v>252.23833925792056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0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0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1.1368683772161603E-13</v>
      </c>
      <c r="FF161" s="18">
        <f>FE161*VLOOKUP('Données projet'!$B$16,Paramètres!$A$1:$I$89,3,0)*VLOOKUP('Données projet'!$B$16,Paramètres!$A$1:$I$89,5,0)</f>
        <v>9.7543306765146564E-14</v>
      </c>
      <c r="FG161" s="14">
        <f t="shared" si="182"/>
        <v>1.4696264278629426E-12</v>
      </c>
      <c r="FH161" s="22">
        <f t="shared" si="183"/>
        <v>2.7294872878105889E-12</v>
      </c>
      <c r="FI161" s="62">
        <f t="shared" si="131"/>
        <v>287.56052422643472</v>
      </c>
      <c r="FJ161" s="62">
        <f ca="1">AVERAGE(OFFSET($FI$3,0,0,'Données projet'!$E$16+1,1))-AVERAGE(OFFSET($H$3,0,0,'Données projet'!$E$16+1,1))</f>
        <v>359.20464555327072</v>
      </c>
      <c r="FK161" s="62">
        <f t="shared" si="156"/>
        <v>305.54154052071863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0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0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-9.6633812063373625E-13</v>
      </c>
      <c r="O162" s="14">
        <f>N162*VLOOKUP('Données projet'!$B$9,Paramètres!$A$1:$I$89,3,0)*VLOOKUP('Données projet'!$B$9,Paramètres!$A$1:$I$89,5,0)</f>
        <v>-9.7986685432260874E-13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516.30971934066179</v>
      </c>
      <c r="T162" s="62">
        <f t="shared" si="142"/>
        <v>290.84286505723571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-9.6633812063373625E-13</v>
      </c>
      <c r="AJ162" s="14">
        <f>AI162*VLOOKUP('Données projet'!$B$10,Paramètres!$A$1:$I$89,3,0)*VLOOKUP('Données projet'!$B$10,Paramètres!$A$1:$I$89,5,0)</f>
        <v>-1.0401663530501537E-12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542.90832990875208</v>
      </c>
      <c r="AO162" s="62">
        <f t="shared" si="144"/>
        <v>304.94365539329362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-9.6633812063373625E-13</v>
      </c>
      <c r="BE162" s="14">
        <f>BD162*VLOOKUP('Données projet'!$B$11,Paramètres!$A$1:$I$89,3,0)*VLOOKUP('Données projet'!$B$11,Paramètres!$A$1:$I$89,5,0)</f>
        <v>-9.3464223027694966E-13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496.33873798282525</v>
      </c>
      <c r="BJ162" s="62">
        <f t="shared" si="146"/>
        <v>280.25465074992246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1.7053025658242404E-13</v>
      </c>
      <c r="BZ162" s="14">
        <f>BY162*VLOOKUP('Données projet'!$B$12,Paramètres!$A$1:$I$89,3,0)*VLOOKUP('Données projet'!$B$12,Paramètres!$A$1:$I$89,5,0)</f>
        <v>1.4897523215040567E-13</v>
      </c>
      <c r="CA162" s="14">
        <f t="shared" si="170"/>
        <v>2.136562777003313E-12</v>
      </c>
      <c r="CB162" s="22">
        <f t="shared" si="171"/>
        <v>3.9806453659427267E-12</v>
      </c>
      <c r="CC162" s="62">
        <f t="shared" si="119"/>
        <v>287.66066955837294</v>
      </c>
      <c r="CD162" s="62">
        <f ca="1">AVERAGE(OFFSET($CC$3,0,0,'Données projet'!$E$12+1,1))-AVERAGE(OFFSET($H$3,0,0,'Données projet'!$E$12+1,1))</f>
        <v>298.28891728374822</v>
      </c>
      <c r="CE162" s="62">
        <f t="shared" si="148"/>
        <v>275.07405533331371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1.1368683772161603E-13</v>
      </c>
      <c r="CU162" s="18">
        <f>CT162*VLOOKUP('Données projet'!$B$13,Paramètres!$A$1:$I$89,3,0)*VLOOKUP('Données projet'!$B$13,Paramètres!$A$1:$I$89,5,0)</f>
        <v>6.7984728957526396E-14</v>
      </c>
      <c r="CV162" s="14">
        <f t="shared" si="173"/>
        <v>1.0682447123141398E-12</v>
      </c>
      <c r="CW162" s="22">
        <f t="shared" si="174"/>
        <v>1.978932943548152E-12</v>
      </c>
      <c r="CX162" s="62">
        <f t="shared" si="122"/>
        <v>287.66066955837096</v>
      </c>
      <c r="CY162" s="62">
        <f ca="1">AVERAGE(OFFSET($CX$3,0,0,'Données projet'!$E$13+1,1))-AVERAGE(OFFSET($H$3,0,0,'Données projet'!$E$13+1,1))</f>
        <v>320.46614113586043</v>
      </c>
      <c r="CZ162" s="62">
        <f t="shared" si="150"/>
        <v>250.7806929924491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0</v>
      </c>
      <c r="DG162" s="23">
        <f>EXP(-LN(2)/25)*DG161+(1-EXP(-LN(2)/25))/(LN(2)/25)*Calculateur!DB162*Calculateur!DD162*VLOOKUP('Données projet'!$B$13,Paramètres!$A$1:$I$89,3,0)*0.475*44/12</f>
        <v>0</v>
      </c>
      <c r="DH162" s="23">
        <f>EXP(-LN(2)/2)*DH161+(1-EXP(-LN(2)/2))/(LN(2)/2)*DB162*DE162*VLOOKUP('Données projet'!$B$13,Paramètres!$A$1:$I$89,3,0)*0.475*44/12</f>
        <v>3.6335407784069329E-19</v>
      </c>
      <c r="DI162" s="24">
        <f t="shared" si="175"/>
        <v>3.6335407784069329E-19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-1.1368683772161603E-13</v>
      </c>
      <c r="DP162" s="18">
        <f>DO162*VLOOKUP('Données projet'!$B$14,Paramètres!$A$1:$I$89,3,0)*VLOOKUP('Données projet'!$B$14,Paramètres!$A$1:$I$89,5,0)</f>
        <v>-5.3205440053716299E-14</v>
      </c>
      <c r="DQ162" s="14" t="e">
        <f t="shared" si="176"/>
        <v>#NUM!</v>
      </c>
      <c r="DR162" s="22" t="e">
        <f t="shared" si="177"/>
        <v>#NUM!</v>
      </c>
      <c r="DS162" s="62" t="e">
        <f t="shared" si="125"/>
        <v>#NUM!</v>
      </c>
      <c r="DT162" s="62">
        <f ca="1">AVERAGE(OFFSET($DS$3,0,0,'Données projet'!$E$14+1,1))-AVERAGE(OFFSET($H$3,0,0,'Données projet'!$E$14+1,1))</f>
        <v>429.87867712133851</v>
      </c>
      <c r="DU162" s="62">
        <f t="shared" si="152"/>
        <v>182.81277865988014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0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0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1.1368683772161603E-13</v>
      </c>
      <c r="EK162" s="18">
        <f>EJ162*VLOOKUP('Données projet'!$B$15,Paramètres!$A$1:$I$89,3,0)*VLOOKUP('Données projet'!$B$15,Paramètres!$A$1:$I$89,5,0)</f>
        <v>7.626113074366004E-14</v>
      </c>
      <c r="EL162" s="14">
        <f t="shared" si="179"/>
        <v>1.1823749172251317E-12</v>
      </c>
      <c r="EM162" s="22">
        <f t="shared" si="180"/>
        <v>2.1921244502123119E-12</v>
      </c>
      <c r="EN162" s="62">
        <f t="shared" si="128"/>
        <v>287.66066955837118</v>
      </c>
      <c r="EO162" s="62">
        <f ca="1">AVERAGE(OFFSET($EN$3,0,0,'Données projet'!$E$15+1,1))-AVERAGE(OFFSET($H$3,0,0,'Données projet'!$E$15+1,1))</f>
        <v>296.18088377871669</v>
      </c>
      <c r="EP162" s="62">
        <f t="shared" si="154"/>
        <v>252.23833925792056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0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0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1.1368683772161603E-13</v>
      </c>
      <c r="FF162" s="18">
        <f>FE162*VLOOKUP('Données projet'!$B$16,Paramètres!$A$1:$I$89,3,0)*VLOOKUP('Données projet'!$B$16,Paramètres!$A$1:$I$89,5,0)</f>
        <v>9.7543306765146564E-14</v>
      </c>
      <c r="FG162" s="14">
        <f t="shared" si="182"/>
        <v>1.4696264278629426E-12</v>
      </c>
      <c r="FH162" s="22">
        <f t="shared" si="183"/>
        <v>2.7294872878105889E-12</v>
      </c>
      <c r="FI162" s="62">
        <f t="shared" si="131"/>
        <v>287.66066955837169</v>
      </c>
      <c r="FJ162" s="62">
        <f ca="1">AVERAGE(OFFSET($FI$3,0,0,'Données projet'!$E$16+1,1))-AVERAGE(OFFSET($H$3,0,0,'Données projet'!$E$16+1,1))</f>
        <v>359.20464555327072</v>
      </c>
      <c r="FK162" s="62">
        <f t="shared" si="156"/>
        <v>305.54154052071863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0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0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-9.6633812063373625E-13</v>
      </c>
      <c r="O163" s="14">
        <f>N163*VLOOKUP('Données projet'!$B$9,Paramètres!$A$1:$I$89,3,0)*VLOOKUP('Données projet'!$B$9,Paramètres!$A$1:$I$89,5,0)</f>
        <v>-9.7986685432260874E-13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516.30971934066179</v>
      </c>
      <c r="T163" s="62">
        <f t="shared" si="142"/>
        <v>290.84286505723571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-9.6633812063373625E-13</v>
      </c>
      <c r="AJ163" s="14">
        <f>AI163*VLOOKUP('Données projet'!$B$10,Paramètres!$A$1:$I$89,3,0)*VLOOKUP('Données projet'!$B$10,Paramètres!$A$1:$I$89,5,0)</f>
        <v>-1.0401663530501537E-12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542.90832990875208</v>
      </c>
      <c r="AO163" s="62">
        <f t="shared" si="144"/>
        <v>304.94365539329362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-9.6633812063373625E-13</v>
      </c>
      <c r="BE163" s="14">
        <f>BD163*VLOOKUP('Données projet'!$B$11,Paramètres!$A$1:$I$89,3,0)*VLOOKUP('Données projet'!$B$11,Paramètres!$A$1:$I$89,5,0)</f>
        <v>-9.3464223027694966E-13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496.33873798282525</v>
      </c>
      <c r="BJ163" s="62">
        <f t="shared" si="146"/>
        <v>280.25465074992246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1.7053025658242404E-13</v>
      </c>
      <c r="BZ163" s="14">
        <f>BY163*VLOOKUP('Données projet'!$B$12,Paramètres!$A$1:$I$89,3,0)*VLOOKUP('Données projet'!$B$12,Paramètres!$A$1:$I$89,5,0)</f>
        <v>1.4897523215040567E-13</v>
      </c>
      <c r="CA163" s="14">
        <f t="shared" si="170"/>
        <v>2.136562777003313E-12</v>
      </c>
      <c r="CB163" s="22">
        <f t="shared" si="171"/>
        <v>3.9806453659427267E-12</v>
      </c>
      <c r="CC163" s="62">
        <f t="shared" si="119"/>
        <v>287.75907759269234</v>
      </c>
      <c r="CD163" s="62">
        <f ca="1">AVERAGE(OFFSET($CC$3,0,0,'Données projet'!$E$12+1,1))-AVERAGE(OFFSET($H$3,0,0,'Données projet'!$E$12+1,1))</f>
        <v>298.28891728374822</v>
      </c>
      <c r="CE163" s="62">
        <f t="shared" si="148"/>
        <v>275.07405533331371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1.1368683772161603E-13</v>
      </c>
      <c r="CU163" s="18">
        <f>CT163*VLOOKUP('Données projet'!$B$13,Paramètres!$A$1:$I$89,3,0)*VLOOKUP('Données projet'!$B$13,Paramètres!$A$1:$I$89,5,0)</f>
        <v>6.7984728957526396E-14</v>
      </c>
      <c r="CV163" s="14">
        <f t="shared" si="173"/>
        <v>1.0682447123141398E-12</v>
      </c>
      <c r="CW163" s="22">
        <f t="shared" si="174"/>
        <v>1.978932943548152E-12</v>
      </c>
      <c r="CX163" s="62">
        <f t="shared" si="122"/>
        <v>287.75907759269035</v>
      </c>
      <c r="CY163" s="62">
        <f ca="1">AVERAGE(OFFSET($CX$3,0,0,'Données projet'!$E$13+1,1))-AVERAGE(OFFSET($H$3,0,0,'Données projet'!$E$13+1,1))</f>
        <v>320.46614113586043</v>
      </c>
      <c r="CZ163" s="62">
        <f t="shared" si="150"/>
        <v>250.7806929924491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0</v>
      </c>
      <c r="DG163" s="23">
        <f>EXP(-LN(2)/25)*DG162+(1-EXP(-LN(2)/25))/(LN(2)/25)*Calculateur!DB163*Calculateur!DD163*VLOOKUP('Données projet'!$B$13,Paramètres!$A$1:$I$89,3,0)*0.475*44/12</f>
        <v>0</v>
      </c>
      <c r="DH163" s="23">
        <f>EXP(-LN(2)/2)*DH162+(1-EXP(-LN(2)/2))/(LN(2)/2)*DB163*DE163*VLOOKUP('Données projet'!$B$13,Paramètres!$A$1:$I$89,3,0)*0.475*44/12</f>
        <v>2.5693013241293886E-19</v>
      </c>
      <c r="DI163" s="24">
        <f t="shared" si="175"/>
        <v>2.5693013241293886E-19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-1.1368683772161603E-13</v>
      </c>
      <c r="DP163" s="18">
        <f>DO163*VLOOKUP('Données projet'!$B$14,Paramètres!$A$1:$I$89,3,0)*VLOOKUP('Données projet'!$B$14,Paramètres!$A$1:$I$89,5,0)</f>
        <v>-5.3205440053716299E-14</v>
      </c>
      <c r="DQ163" s="14" t="e">
        <f t="shared" si="176"/>
        <v>#NUM!</v>
      </c>
      <c r="DR163" s="22" t="e">
        <f t="shared" si="177"/>
        <v>#NUM!</v>
      </c>
      <c r="DS163" s="62" t="e">
        <f t="shared" si="125"/>
        <v>#NUM!</v>
      </c>
      <c r="DT163" s="62">
        <f ca="1">AVERAGE(OFFSET($DS$3,0,0,'Données projet'!$E$14+1,1))-AVERAGE(OFFSET($H$3,0,0,'Données projet'!$E$14+1,1))</f>
        <v>429.87867712133851</v>
      </c>
      <c r="DU163" s="62">
        <f t="shared" si="152"/>
        <v>182.81277865988014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0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0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1.1368683772161603E-13</v>
      </c>
      <c r="EK163" s="18">
        <f>EJ163*VLOOKUP('Données projet'!$B$15,Paramètres!$A$1:$I$89,3,0)*VLOOKUP('Données projet'!$B$15,Paramètres!$A$1:$I$89,5,0)</f>
        <v>7.626113074366004E-14</v>
      </c>
      <c r="EL163" s="14">
        <f t="shared" si="179"/>
        <v>1.1823749172251317E-12</v>
      </c>
      <c r="EM163" s="22">
        <f t="shared" si="180"/>
        <v>2.1921244502123119E-12</v>
      </c>
      <c r="EN163" s="62">
        <f t="shared" si="128"/>
        <v>287.75907759269057</v>
      </c>
      <c r="EO163" s="62">
        <f ca="1">AVERAGE(OFFSET($EN$3,0,0,'Données projet'!$E$15+1,1))-AVERAGE(OFFSET($H$3,0,0,'Données projet'!$E$15+1,1))</f>
        <v>296.18088377871669</v>
      </c>
      <c r="EP163" s="62">
        <f t="shared" si="154"/>
        <v>252.23833925792056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0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0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1.1368683772161603E-13</v>
      </c>
      <c r="FF163" s="18">
        <f>FE163*VLOOKUP('Données projet'!$B$16,Paramètres!$A$1:$I$89,3,0)*VLOOKUP('Données projet'!$B$16,Paramètres!$A$1:$I$89,5,0)</f>
        <v>9.7543306765146564E-14</v>
      </c>
      <c r="FG163" s="14">
        <f t="shared" si="182"/>
        <v>1.4696264278629426E-12</v>
      </c>
      <c r="FH163" s="22">
        <f t="shared" si="183"/>
        <v>2.7294872878105889E-12</v>
      </c>
      <c r="FI163" s="62">
        <f t="shared" si="131"/>
        <v>287.75907759269109</v>
      </c>
      <c r="FJ163" s="62">
        <f ca="1">AVERAGE(OFFSET($FI$3,0,0,'Données projet'!$E$16+1,1))-AVERAGE(OFFSET($H$3,0,0,'Données projet'!$E$16+1,1))</f>
        <v>359.20464555327072</v>
      </c>
      <c r="FK163" s="62">
        <f t="shared" si="156"/>
        <v>305.54154052071863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0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0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-9.6633812063373625E-13</v>
      </c>
      <c r="O164" s="14">
        <f>N164*VLOOKUP('Données projet'!$B$9,Paramètres!$A$1:$I$89,3,0)*VLOOKUP('Données projet'!$B$9,Paramètres!$A$1:$I$89,5,0)</f>
        <v>-9.7986685432260874E-13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516.30971934066179</v>
      </c>
      <c r="T164" s="62">
        <f t="shared" si="142"/>
        <v>290.84286505723571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-9.6633812063373625E-13</v>
      </c>
      <c r="AJ164" s="14">
        <f>AI164*VLOOKUP('Données projet'!$B$10,Paramètres!$A$1:$I$89,3,0)*VLOOKUP('Données projet'!$B$10,Paramètres!$A$1:$I$89,5,0)</f>
        <v>-1.0401663530501537E-12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542.90832990875208</v>
      </c>
      <c r="AO164" s="62">
        <f t="shared" si="144"/>
        <v>304.94365539329362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-9.6633812063373625E-13</v>
      </c>
      <c r="BE164" s="14">
        <f>BD164*VLOOKUP('Données projet'!$B$11,Paramètres!$A$1:$I$89,3,0)*VLOOKUP('Données projet'!$B$11,Paramètres!$A$1:$I$89,5,0)</f>
        <v>-9.3464223027694966E-13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496.33873798282525</v>
      </c>
      <c r="BJ164" s="62">
        <f t="shared" si="146"/>
        <v>280.25465074992246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1.7053025658242404E-13</v>
      </c>
      <c r="BZ164" s="14">
        <f>BY164*VLOOKUP('Données projet'!$B$12,Paramètres!$A$1:$I$89,3,0)*VLOOKUP('Données projet'!$B$12,Paramètres!$A$1:$I$89,5,0)</f>
        <v>1.4897523215040567E-13</v>
      </c>
      <c r="CA164" s="14">
        <f t="shared" si="170"/>
        <v>2.136562777003313E-12</v>
      </c>
      <c r="CB164" s="22">
        <f t="shared" si="171"/>
        <v>3.9806453659427267E-12</v>
      </c>
      <c r="CC164" s="62">
        <f t="shared" si="119"/>
        <v>287.85577846762368</v>
      </c>
      <c r="CD164" s="62">
        <f ca="1">AVERAGE(OFFSET($CC$3,0,0,'Données projet'!$E$12+1,1))-AVERAGE(OFFSET($H$3,0,0,'Données projet'!$E$12+1,1))</f>
        <v>298.28891728374822</v>
      </c>
      <c r="CE164" s="62">
        <f t="shared" si="148"/>
        <v>275.07405533331371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1.1368683772161603E-13</v>
      </c>
      <c r="CU164" s="18">
        <f>CT164*VLOOKUP('Données projet'!$B$13,Paramètres!$A$1:$I$89,3,0)*VLOOKUP('Données projet'!$B$13,Paramètres!$A$1:$I$89,5,0)</f>
        <v>6.7984728957526396E-14</v>
      </c>
      <c r="CV164" s="14">
        <f t="shared" si="173"/>
        <v>1.0682447123141398E-12</v>
      </c>
      <c r="CW164" s="22">
        <f t="shared" si="174"/>
        <v>1.978932943548152E-12</v>
      </c>
      <c r="CX164" s="62">
        <f t="shared" si="122"/>
        <v>287.85577846762169</v>
      </c>
      <c r="CY164" s="62">
        <f ca="1">AVERAGE(OFFSET($CX$3,0,0,'Données projet'!$E$13+1,1))-AVERAGE(OFFSET($H$3,0,0,'Données projet'!$E$13+1,1))</f>
        <v>320.46614113586043</v>
      </c>
      <c r="CZ164" s="62">
        <f t="shared" si="150"/>
        <v>250.7806929924491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0</v>
      </c>
      <c r="DG164" s="23">
        <f>EXP(-LN(2)/25)*DG163+(1-EXP(-LN(2)/25))/(LN(2)/25)*Calculateur!DB164*Calculateur!DD164*VLOOKUP('Données projet'!$B$13,Paramètres!$A$1:$I$89,3,0)*0.475*44/12</f>
        <v>0</v>
      </c>
      <c r="DH164" s="23">
        <f>EXP(-LN(2)/2)*DH163+(1-EXP(-LN(2)/2))/(LN(2)/2)*DB164*DE164*VLOOKUP('Données projet'!$B$13,Paramètres!$A$1:$I$89,3,0)*0.475*44/12</f>
        <v>1.8167703892034665E-19</v>
      </c>
      <c r="DI164" s="24">
        <f t="shared" si="175"/>
        <v>1.8167703892034665E-19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-1.1368683772161603E-13</v>
      </c>
      <c r="DP164" s="18">
        <f>DO164*VLOOKUP('Données projet'!$B$14,Paramètres!$A$1:$I$89,3,0)*VLOOKUP('Données projet'!$B$14,Paramètres!$A$1:$I$89,5,0)</f>
        <v>-5.3205440053716299E-14</v>
      </c>
      <c r="DQ164" s="14" t="e">
        <f t="shared" si="176"/>
        <v>#NUM!</v>
      </c>
      <c r="DR164" s="22" t="e">
        <f t="shared" si="177"/>
        <v>#NUM!</v>
      </c>
      <c r="DS164" s="62" t="e">
        <f t="shared" si="125"/>
        <v>#NUM!</v>
      </c>
      <c r="DT164" s="62">
        <f ca="1">AVERAGE(OFFSET($DS$3,0,0,'Données projet'!$E$14+1,1))-AVERAGE(OFFSET($H$3,0,0,'Données projet'!$E$14+1,1))</f>
        <v>429.87867712133851</v>
      </c>
      <c r="DU164" s="62">
        <f t="shared" si="152"/>
        <v>182.81277865988014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0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0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1.1368683772161603E-13</v>
      </c>
      <c r="EK164" s="18">
        <f>EJ164*VLOOKUP('Données projet'!$B$15,Paramètres!$A$1:$I$89,3,0)*VLOOKUP('Données projet'!$B$15,Paramètres!$A$1:$I$89,5,0)</f>
        <v>7.626113074366004E-14</v>
      </c>
      <c r="EL164" s="14">
        <f t="shared" si="179"/>
        <v>1.1823749172251317E-12</v>
      </c>
      <c r="EM164" s="22">
        <f t="shared" si="180"/>
        <v>2.1921244502123119E-12</v>
      </c>
      <c r="EN164" s="62">
        <f t="shared" si="128"/>
        <v>287.85577846762192</v>
      </c>
      <c r="EO164" s="62">
        <f ca="1">AVERAGE(OFFSET($EN$3,0,0,'Données projet'!$E$15+1,1))-AVERAGE(OFFSET($H$3,0,0,'Données projet'!$E$15+1,1))</f>
        <v>296.18088377871669</v>
      </c>
      <c r="EP164" s="62">
        <f t="shared" si="154"/>
        <v>252.23833925792056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0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0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1.1368683772161603E-13</v>
      </c>
      <c r="FF164" s="18">
        <f>FE164*VLOOKUP('Données projet'!$B$16,Paramètres!$A$1:$I$89,3,0)*VLOOKUP('Données projet'!$B$16,Paramètres!$A$1:$I$89,5,0)</f>
        <v>9.7543306765146564E-14</v>
      </c>
      <c r="FG164" s="14">
        <f t="shared" si="182"/>
        <v>1.4696264278629426E-12</v>
      </c>
      <c r="FH164" s="22">
        <f t="shared" si="183"/>
        <v>2.7294872878105889E-12</v>
      </c>
      <c r="FI164" s="62">
        <f t="shared" si="131"/>
        <v>287.85577846762243</v>
      </c>
      <c r="FJ164" s="62">
        <f ca="1">AVERAGE(OFFSET($FI$3,0,0,'Données projet'!$E$16+1,1))-AVERAGE(OFFSET($H$3,0,0,'Données projet'!$E$16+1,1))</f>
        <v>359.20464555327072</v>
      </c>
      <c r="FK164" s="62">
        <f t="shared" si="156"/>
        <v>305.54154052071863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0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0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-9.6633812063373625E-13</v>
      </c>
      <c r="O165" s="14">
        <f>N165*VLOOKUP('Données projet'!$B$9,Paramètres!$A$1:$I$89,3,0)*VLOOKUP('Données projet'!$B$9,Paramètres!$A$1:$I$89,5,0)</f>
        <v>-9.7986685432260874E-13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516.30971934066179</v>
      </c>
      <c r="T165" s="62">
        <f t="shared" si="142"/>
        <v>290.84286505723571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-9.6633812063373625E-13</v>
      </c>
      <c r="AJ165" s="14">
        <f>AI165*VLOOKUP('Données projet'!$B$10,Paramètres!$A$1:$I$89,3,0)*VLOOKUP('Données projet'!$B$10,Paramètres!$A$1:$I$89,5,0)</f>
        <v>-1.0401663530501537E-12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542.90832990875208</v>
      </c>
      <c r="AO165" s="62">
        <f t="shared" si="144"/>
        <v>304.94365539329362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-9.6633812063373625E-13</v>
      </c>
      <c r="BE165" s="14">
        <f>BD165*VLOOKUP('Données projet'!$B$11,Paramètres!$A$1:$I$89,3,0)*VLOOKUP('Données projet'!$B$11,Paramètres!$A$1:$I$89,5,0)</f>
        <v>-9.3464223027694966E-13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496.33873798282525</v>
      </c>
      <c r="BJ165" s="62">
        <f t="shared" si="146"/>
        <v>280.25465074992246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1.7053025658242404E-13</v>
      </c>
      <c r="BZ165" s="14">
        <f>BY165*VLOOKUP('Données projet'!$B$12,Paramètres!$A$1:$I$89,3,0)*VLOOKUP('Données projet'!$B$12,Paramètres!$A$1:$I$89,5,0)</f>
        <v>1.4897523215040567E-13</v>
      </c>
      <c r="CA165" s="14">
        <f t="shared" si="170"/>
        <v>2.136562777003313E-12</v>
      </c>
      <c r="CB165" s="22">
        <f t="shared" si="171"/>
        <v>3.9806453659427267E-12</v>
      </c>
      <c r="CC165" s="62">
        <f t="shared" si="119"/>
        <v>287.95080179856569</v>
      </c>
      <c r="CD165" s="62">
        <f ca="1">AVERAGE(OFFSET($CC$3,0,0,'Données projet'!$E$12+1,1))-AVERAGE(OFFSET($H$3,0,0,'Données projet'!$E$12+1,1))</f>
        <v>298.28891728374822</v>
      </c>
      <c r="CE165" s="62">
        <f t="shared" si="148"/>
        <v>275.07405533331371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1.1368683772161603E-13</v>
      </c>
      <c r="CU165" s="18">
        <f>CT165*VLOOKUP('Données projet'!$B$13,Paramètres!$A$1:$I$89,3,0)*VLOOKUP('Données projet'!$B$13,Paramètres!$A$1:$I$89,5,0)</f>
        <v>6.7984728957526396E-14</v>
      </c>
      <c r="CV165" s="14">
        <f t="shared" si="173"/>
        <v>1.0682447123141398E-12</v>
      </c>
      <c r="CW165" s="22">
        <f t="shared" si="174"/>
        <v>1.978932943548152E-12</v>
      </c>
      <c r="CX165" s="62">
        <f t="shared" si="122"/>
        <v>287.9508017985637</v>
      </c>
      <c r="CY165" s="62">
        <f ca="1">AVERAGE(OFFSET($CX$3,0,0,'Données projet'!$E$13+1,1))-AVERAGE(OFFSET($H$3,0,0,'Données projet'!$E$13+1,1))</f>
        <v>320.46614113586043</v>
      </c>
      <c r="CZ165" s="62">
        <f t="shared" si="150"/>
        <v>250.7806929924491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0</v>
      </c>
      <c r="DG165" s="23">
        <f>EXP(-LN(2)/25)*DG164+(1-EXP(-LN(2)/25))/(LN(2)/25)*Calculateur!DB165*Calculateur!DD165*VLOOKUP('Données projet'!$B$13,Paramètres!$A$1:$I$89,3,0)*0.475*44/12</f>
        <v>0</v>
      </c>
      <c r="DH165" s="23">
        <f>EXP(-LN(2)/2)*DH164+(1-EXP(-LN(2)/2))/(LN(2)/2)*DB165*DE165*VLOOKUP('Données projet'!$B$13,Paramètres!$A$1:$I$89,3,0)*0.475*44/12</f>
        <v>1.2846506620646943E-19</v>
      </c>
      <c r="DI165" s="24">
        <f t="shared" si="175"/>
        <v>1.2846506620646943E-19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-1.1368683772161603E-13</v>
      </c>
      <c r="DP165" s="18">
        <f>DO165*VLOOKUP('Données projet'!$B$14,Paramètres!$A$1:$I$89,3,0)*VLOOKUP('Données projet'!$B$14,Paramètres!$A$1:$I$89,5,0)</f>
        <v>-5.3205440053716299E-14</v>
      </c>
      <c r="DQ165" s="14" t="e">
        <f t="shared" si="176"/>
        <v>#NUM!</v>
      </c>
      <c r="DR165" s="22" t="e">
        <f t="shared" si="177"/>
        <v>#NUM!</v>
      </c>
      <c r="DS165" s="62" t="e">
        <f t="shared" si="125"/>
        <v>#NUM!</v>
      </c>
      <c r="DT165" s="62">
        <f ca="1">AVERAGE(OFFSET($DS$3,0,0,'Données projet'!$E$14+1,1))-AVERAGE(OFFSET($H$3,0,0,'Données projet'!$E$14+1,1))</f>
        <v>429.87867712133851</v>
      </c>
      <c r="DU165" s="62">
        <f t="shared" si="152"/>
        <v>182.81277865988014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0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0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1.1368683772161603E-13</v>
      </c>
      <c r="EK165" s="18">
        <f>EJ165*VLOOKUP('Données projet'!$B$15,Paramètres!$A$1:$I$89,3,0)*VLOOKUP('Données projet'!$B$15,Paramètres!$A$1:$I$89,5,0)</f>
        <v>7.626113074366004E-14</v>
      </c>
      <c r="EL165" s="14">
        <f t="shared" si="179"/>
        <v>1.1823749172251317E-12</v>
      </c>
      <c r="EM165" s="22">
        <f t="shared" si="180"/>
        <v>2.1921244502123119E-12</v>
      </c>
      <c r="EN165" s="62">
        <f t="shared" si="128"/>
        <v>287.95080179856393</v>
      </c>
      <c r="EO165" s="62">
        <f ca="1">AVERAGE(OFFSET($EN$3,0,0,'Données projet'!$E$15+1,1))-AVERAGE(OFFSET($H$3,0,0,'Données projet'!$E$15+1,1))</f>
        <v>296.18088377871669</v>
      </c>
      <c r="EP165" s="62">
        <f t="shared" si="154"/>
        <v>252.23833925792056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0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0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1.1368683772161603E-13</v>
      </c>
      <c r="FF165" s="18">
        <f>FE165*VLOOKUP('Données projet'!$B$16,Paramètres!$A$1:$I$89,3,0)*VLOOKUP('Données projet'!$B$16,Paramètres!$A$1:$I$89,5,0)</f>
        <v>9.7543306765146564E-14</v>
      </c>
      <c r="FG165" s="14">
        <f t="shared" si="182"/>
        <v>1.4696264278629426E-12</v>
      </c>
      <c r="FH165" s="22">
        <f t="shared" si="183"/>
        <v>2.7294872878105889E-12</v>
      </c>
      <c r="FI165" s="62">
        <f t="shared" si="131"/>
        <v>287.95080179856444</v>
      </c>
      <c r="FJ165" s="62">
        <f ca="1">AVERAGE(OFFSET($FI$3,0,0,'Données projet'!$E$16+1,1))-AVERAGE(OFFSET($H$3,0,0,'Données projet'!$E$16+1,1))</f>
        <v>359.20464555327072</v>
      </c>
      <c r="FK165" s="62">
        <f t="shared" si="156"/>
        <v>305.54154052071863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0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0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-9.6633812063373625E-13</v>
      </c>
      <c r="O166" s="14">
        <f>N166*VLOOKUP('Données projet'!$B$9,Paramètres!$A$1:$I$89,3,0)*VLOOKUP('Données projet'!$B$9,Paramètres!$A$1:$I$89,5,0)</f>
        <v>-9.7986685432260874E-13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516.30971934066179</v>
      </c>
      <c r="T166" s="62">
        <f t="shared" si="142"/>
        <v>290.84286505723571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-9.6633812063373625E-13</v>
      </c>
      <c r="AJ166" s="14">
        <f>AI166*VLOOKUP('Données projet'!$B$10,Paramètres!$A$1:$I$89,3,0)*VLOOKUP('Données projet'!$B$10,Paramètres!$A$1:$I$89,5,0)</f>
        <v>-1.0401663530501537E-12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542.90832990875208</v>
      </c>
      <c r="AO166" s="62">
        <f t="shared" si="144"/>
        <v>304.94365539329362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-9.6633812063373625E-13</v>
      </c>
      <c r="BE166" s="14">
        <f>BD166*VLOOKUP('Données projet'!$B$11,Paramètres!$A$1:$I$89,3,0)*VLOOKUP('Données projet'!$B$11,Paramètres!$A$1:$I$89,5,0)</f>
        <v>-9.3464223027694966E-13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496.33873798282525</v>
      </c>
      <c r="BJ166" s="62">
        <f t="shared" si="146"/>
        <v>280.25465074992246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1.7053025658242404E-13</v>
      </c>
      <c r="BZ166" s="14">
        <f>BY166*VLOOKUP('Données projet'!$B$12,Paramètres!$A$1:$I$89,3,0)*VLOOKUP('Données projet'!$B$12,Paramètres!$A$1:$I$89,5,0)</f>
        <v>1.4897523215040567E-13</v>
      </c>
      <c r="CA166" s="14">
        <f t="shared" si="170"/>
        <v>2.136562777003313E-12</v>
      </c>
      <c r="CB166" s="22">
        <f t="shared" si="171"/>
        <v>3.9806453659427267E-12</v>
      </c>
      <c r="CC166" s="62">
        <f t="shared" si="119"/>
        <v>288.04417668715621</v>
      </c>
      <c r="CD166" s="62">
        <f ca="1">AVERAGE(OFFSET($CC$3,0,0,'Données projet'!$E$12+1,1))-AVERAGE(OFFSET($H$3,0,0,'Données projet'!$E$12+1,1))</f>
        <v>298.28891728374822</v>
      </c>
      <c r="CE166" s="62">
        <f t="shared" si="148"/>
        <v>275.07405533331371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1.1368683772161603E-13</v>
      </c>
      <c r="CU166" s="18">
        <f>CT166*VLOOKUP('Données projet'!$B$13,Paramètres!$A$1:$I$89,3,0)*VLOOKUP('Données projet'!$B$13,Paramètres!$A$1:$I$89,5,0)</f>
        <v>6.7984728957526396E-14</v>
      </c>
      <c r="CV166" s="14">
        <f t="shared" si="173"/>
        <v>1.0682447123141398E-12</v>
      </c>
      <c r="CW166" s="22">
        <f t="shared" si="174"/>
        <v>1.978932943548152E-12</v>
      </c>
      <c r="CX166" s="62">
        <f t="shared" si="122"/>
        <v>288.04417668715422</v>
      </c>
      <c r="CY166" s="62">
        <f ca="1">AVERAGE(OFFSET($CX$3,0,0,'Données projet'!$E$13+1,1))-AVERAGE(OFFSET($H$3,0,0,'Données projet'!$E$13+1,1))</f>
        <v>320.46614113586043</v>
      </c>
      <c r="CZ166" s="62">
        <f t="shared" si="150"/>
        <v>250.7806929924491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0</v>
      </c>
      <c r="DG166" s="23">
        <f>EXP(-LN(2)/25)*DG165+(1-EXP(-LN(2)/25))/(LN(2)/25)*Calculateur!DB166*Calculateur!DD166*VLOOKUP('Données projet'!$B$13,Paramètres!$A$1:$I$89,3,0)*0.475*44/12</f>
        <v>0</v>
      </c>
      <c r="DH166" s="23">
        <f>EXP(-LN(2)/2)*DH165+(1-EXP(-LN(2)/2))/(LN(2)/2)*DB166*DE166*VLOOKUP('Données projet'!$B$13,Paramètres!$A$1:$I$89,3,0)*0.475*44/12</f>
        <v>9.0838519460173323E-20</v>
      </c>
      <c r="DI166" s="24">
        <f t="shared" si="175"/>
        <v>9.0838519460173323E-20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-1.1368683772161603E-13</v>
      </c>
      <c r="DP166" s="18">
        <f>DO166*VLOOKUP('Données projet'!$B$14,Paramètres!$A$1:$I$89,3,0)*VLOOKUP('Données projet'!$B$14,Paramètres!$A$1:$I$89,5,0)</f>
        <v>-5.3205440053716299E-14</v>
      </c>
      <c r="DQ166" s="14" t="e">
        <f t="shared" si="176"/>
        <v>#NUM!</v>
      </c>
      <c r="DR166" s="22" t="e">
        <f t="shared" si="177"/>
        <v>#NUM!</v>
      </c>
      <c r="DS166" s="62" t="e">
        <f t="shared" si="125"/>
        <v>#NUM!</v>
      </c>
      <c r="DT166" s="62">
        <f ca="1">AVERAGE(OFFSET($DS$3,0,0,'Données projet'!$E$14+1,1))-AVERAGE(OFFSET($H$3,0,0,'Données projet'!$E$14+1,1))</f>
        <v>429.87867712133851</v>
      </c>
      <c r="DU166" s="62">
        <f t="shared" si="152"/>
        <v>182.81277865988014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0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0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1.1368683772161603E-13</v>
      </c>
      <c r="EK166" s="18">
        <f>EJ166*VLOOKUP('Données projet'!$B$15,Paramètres!$A$1:$I$89,3,0)*VLOOKUP('Données projet'!$B$15,Paramètres!$A$1:$I$89,5,0)</f>
        <v>7.626113074366004E-14</v>
      </c>
      <c r="EL166" s="14">
        <f t="shared" si="179"/>
        <v>1.1823749172251317E-12</v>
      </c>
      <c r="EM166" s="22">
        <f t="shared" si="180"/>
        <v>2.1921244502123119E-12</v>
      </c>
      <c r="EN166" s="62">
        <f t="shared" si="128"/>
        <v>288.04417668715445</v>
      </c>
      <c r="EO166" s="62">
        <f ca="1">AVERAGE(OFFSET($EN$3,0,0,'Données projet'!$E$15+1,1))-AVERAGE(OFFSET($H$3,0,0,'Données projet'!$E$15+1,1))</f>
        <v>296.18088377871669</v>
      </c>
      <c r="EP166" s="62">
        <f t="shared" si="154"/>
        <v>252.23833925792056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0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0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1.1368683772161603E-13</v>
      </c>
      <c r="FF166" s="18">
        <f>FE166*VLOOKUP('Données projet'!$B$16,Paramètres!$A$1:$I$89,3,0)*VLOOKUP('Données projet'!$B$16,Paramètres!$A$1:$I$89,5,0)</f>
        <v>9.7543306765146564E-14</v>
      </c>
      <c r="FG166" s="14">
        <f t="shared" si="182"/>
        <v>1.4696264278629426E-12</v>
      </c>
      <c r="FH166" s="22">
        <f t="shared" si="183"/>
        <v>2.7294872878105889E-12</v>
      </c>
      <c r="FI166" s="62">
        <f t="shared" si="131"/>
        <v>288.04417668715496</v>
      </c>
      <c r="FJ166" s="62">
        <f ca="1">AVERAGE(OFFSET($FI$3,0,0,'Données projet'!$E$16+1,1))-AVERAGE(OFFSET($H$3,0,0,'Données projet'!$E$16+1,1))</f>
        <v>359.20464555327072</v>
      </c>
      <c r="FK166" s="62">
        <f t="shared" si="156"/>
        <v>305.54154052071863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0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0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-9.6633812063373625E-13</v>
      </c>
      <c r="O167" s="14">
        <f>N167*VLOOKUP('Données projet'!$B$9,Paramètres!$A$1:$I$89,3,0)*VLOOKUP('Données projet'!$B$9,Paramètres!$A$1:$I$89,5,0)</f>
        <v>-9.7986685432260874E-13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516.30971934066179</v>
      </c>
      <c r="T167" s="62">
        <f t="shared" si="142"/>
        <v>290.84286505723571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-9.6633812063373625E-13</v>
      </c>
      <c r="AJ167" s="14">
        <f>AI167*VLOOKUP('Données projet'!$B$10,Paramètres!$A$1:$I$89,3,0)*VLOOKUP('Données projet'!$B$10,Paramètres!$A$1:$I$89,5,0)</f>
        <v>-1.0401663530501537E-12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542.90832990875208</v>
      </c>
      <c r="AO167" s="62">
        <f t="shared" si="144"/>
        <v>304.94365539329362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-9.6633812063373625E-13</v>
      </c>
      <c r="BE167" s="14">
        <f>BD167*VLOOKUP('Données projet'!$B$11,Paramètres!$A$1:$I$89,3,0)*VLOOKUP('Données projet'!$B$11,Paramètres!$A$1:$I$89,5,0)</f>
        <v>-9.3464223027694966E-13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496.33873798282525</v>
      </c>
      <c r="BJ167" s="62">
        <f t="shared" si="146"/>
        <v>280.25465074992246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1.7053025658242404E-13</v>
      </c>
      <c r="BZ167" s="14">
        <f>BY167*VLOOKUP('Données projet'!$B$12,Paramètres!$A$1:$I$89,3,0)*VLOOKUP('Données projet'!$B$12,Paramètres!$A$1:$I$89,5,0)</f>
        <v>1.4897523215040567E-13</v>
      </c>
      <c r="CA167" s="14">
        <f t="shared" si="170"/>
        <v>2.136562777003313E-12</v>
      </c>
      <c r="CB167" s="22">
        <f t="shared" si="171"/>
        <v>3.9806453659427267E-12</v>
      </c>
      <c r="CC167" s="62">
        <f t="shared" si="119"/>
        <v>288.13593173018467</v>
      </c>
      <c r="CD167" s="62">
        <f ca="1">AVERAGE(OFFSET($CC$3,0,0,'Données projet'!$E$12+1,1))-AVERAGE(OFFSET($H$3,0,0,'Données projet'!$E$12+1,1))</f>
        <v>298.28891728374822</v>
      </c>
      <c r="CE167" s="62">
        <f t="shared" si="148"/>
        <v>275.07405533331371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1.1368683772161603E-13</v>
      </c>
      <c r="CU167" s="18">
        <f>CT167*VLOOKUP('Données projet'!$B$13,Paramètres!$A$1:$I$89,3,0)*VLOOKUP('Données projet'!$B$13,Paramètres!$A$1:$I$89,5,0)</f>
        <v>6.7984728957526396E-14</v>
      </c>
      <c r="CV167" s="14">
        <f t="shared" si="173"/>
        <v>1.0682447123141398E-12</v>
      </c>
      <c r="CW167" s="22">
        <f t="shared" si="174"/>
        <v>1.978932943548152E-12</v>
      </c>
      <c r="CX167" s="62">
        <f t="shared" si="122"/>
        <v>288.13593173018268</v>
      </c>
      <c r="CY167" s="62">
        <f ca="1">AVERAGE(OFFSET($CX$3,0,0,'Données projet'!$E$13+1,1))-AVERAGE(OFFSET($H$3,0,0,'Données projet'!$E$13+1,1))</f>
        <v>320.46614113586043</v>
      </c>
      <c r="CZ167" s="62">
        <f t="shared" si="150"/>
        <v>250.7806929924491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0</v>
      </c>
      <c r="DG167" s="23">
        <f>EXP(-LN(2)/25)*DG166+(1-EXP(-LN(2)/25))/(LN(2)/25)*Calculateur!DB167*Calculateur!DD167*VLOOKUP('Données projet'!$B$13,Paramètres!$A$1:$I$89,3,0)*0.475*44/12</f>
        <v>0</v>
      </c>
      <c r="DH167" s="23">
        <f>EXP(-LN(2)/2)*DH166+(1-EXP(-LN(2)/2))/(LN(2)/2)*DB167*DE167*VLOOKUP('Données projet'!$B$13,Paramètres!$A$1:$I$89,3,0)*0.475*44/12</f>
        <v>6.4232533103234716E-20</v>
      </c>
      <c r="DI167" s="24">
        <f t="shared" si="175"/>
        <v>6.4232533103234716E-20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-1.1368683772161603E-13</v>
      </c>
      <c r="DP167" s="18">
        <f>DO167*VLOOKUP('Données projet'!$B$14,Paramètres!$A$1:$I$89,3,0)*VLOOKUP('Données projet'!$B$14,Paramètres!$A$1:$I$89,5,0)</f>
        <v>-5.3205440053716299E-14</v>
      </c>
      <c r="DQ167" s="14" t="e">
        <f t="shared" si="176"/>
        <v>#NUM!</v>
      </c>
      <c r="DR167" s="22" t="e">
        <f t="shared" si="177"/>
        <v>#NUM!</v>
      </c>
      <c r="DS167" s="62" t="e">
        <f t="shared" si="125"/>
        <v>#NUM!</v>
      </c>
      <c r="DT167" s="62">
        <f ca="1">AVERAGE(OFFSET($DS$3,0,0,'Données projet'!$E$14+1,1))-AVERAGE(OFFSET($H$3,0,0,'Données projet'!$E$14+1,1))</f>
        <v>429.87867712133851</v>
      </c>
      <c r="DU167" s="62">
        <f t="shared" si="152"/>
        <v>182.81277865988014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0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0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1.1368683772161603E-13</v>
      </c>
      <c r="EK167" s="18">
        <f>EJ167*VLOOKUP('Données projet'!$B$15,Paramètres!$A$1:$I$89,3,0)*VLOOKUP('Données projet'!$B$15,Paramètres!$A$1:$I$89,5,0)</f>
        <v>7.626113074366004E-14</v>
      </c>
      <c r="EL167" s="14">
        <f t="shared" si="179"/>
        <v>1.1823749172251317E-12</v>
      </c>
      <c r="EM167" s="22">
        <f t="shared" si="180"/>
        <v>2.1921244502123119E-12</v>
      </c>
      <c r="EN167" s="62">
        <f t="shared" si="128"/>
        <v>288.1359317301829</v>
      </c>
      <c r="EO167" s="62">
        <f ca="1">AVERAGE(OFFSET($EN$3,0,0,'Données projet'!$E$15+1,1))-AVERAGE(OFFSET($H$3,0,0,'Données projet'!$E$15+1,1))</f>
        <v>296.18088377871669</v>
      </c>
      <c r="EP167" s="62">
        <f t="shared" si="154"/>
        <v>252.23833925792056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0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0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1.1368683772161603E-13</v>
      </c>
      <c r="FF167" s="18">
        <f>FE167*VLOOKUP('Données projet'!$B$16,Paramètres!$A$1:$I$89,3,0)*VLOOKUP('Données projet'!$B$16,Paramètres!$A$1:$I$89,5,0)</f>
        <v>9.7543306765146564E-14</v>
      </c>
      <c r="FG167" s="14">
        <f t="shared" si="182"/>
        <v>1.4696264278629426E-12</v>
      </c>
      <c r="FH167" s="22">
        <f t="shared" si="183"/>
        <v>2.7294872878105889E-12</v>
      </c>
      <c r="FI167" s="62">
        <f t="shared" si="131"/>
        <v>288.13593173018342</v>
      </c>
      <c r="FJ167" s="62">
        <f ca="1">AVERAGE(OFFSET($FI$3,0,0,'Données projet'!$E$16+1,1))-AVERAGE(OFFSET($H$3,0,0,'Données projet'!$E$16+1,1))</f>
        <v>359.20464555327072</v>
      </c>
      <c r="FK167" s="62">
        <f t="shared" si="156"/>
        <v>305.54154052071863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0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0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-9.6633812063373625E-13</v>
      </c>
      <c r="O168" s="14">
        <f>N168*VLOOKUP('Données projet'!$B$9,Paramètres!$A$1:$I$89,3,0)*VLOOKUP('Données projet'!$B$9,Paramètres!$A$1:$I$89,5,0)</f>
        <v>-9.7986685432260874E-13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516.30971934066179</v>
      </c>
      <c r="T168" s="62">
        <f t="shared" si="142"/>
        <v>290.84286505723571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-9.6633812063373625E-13</v>
      </c>
      <c r="AJ168" s="14">
        <f>AI168*VLOOKUP('Données projet'!$B$10,Paramètres!$A$1:$I$89,3,0)*VLOOKUP('Données projet'!$B$10,Paramètres!$A$1:$I$89,5,0)</f>
        <v>-1.0401663530501537E-12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542.90832990875208</v>
      </c>
      <c r="AO168" s="62">
        <f t="shared" si="144"/>
        <v>304.94365539329362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-9.6633812063373625E-13</v>
      </c>
      <c r="BE168" s="14">
        <f>BD168*VLOOKUP('Données projet'!$B$11,Paramètres!$A$1:$I$89,3,0)*VLOOKUP('Données projet'!$B$11,Paramètres!$A$1:$I$89,5,0)</f>
        <v>-9.3464223027694966E-13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496.33873798282525</v>
      </c>
      <c r="BJ168" s="62">
        <f t="shared" si="146"/>
        <v>280.25465074992246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1.7053025658242404E-13</v>
      </c>
      <c r="BZ168" s="14">
        <f>BY168*VLOOKUP('Données projet'!$B$12,Paramètres!$A$1:$I$89,3,0)*VLOOKUP('Données projet'!$B$12,Paramètres!$A$1:$I$89,5,0)</f>
        <v>1.4897523215040567E-13</v>
      </c>
      <c r="CA168" s="14">
        <f t="shared" si="170"/>
        <v>2.136562777003313E-12</v>
      </c>
      <c r="CB168" s="22">
        <f t="shared" si="171"/>
        <v>3.9806453659427267E-12</v>
      </c>
      <c r="CC168" s="62">
        <f t="shared" si="119"/>
        <v>288.22609502835013</v>
      </c>
      <c r="CD168" s="62">
        <f ca="1">AVERAGE(OFFSET($CC$3,0,0,'Données projet'!$E$12+1,1))-AVERAGE(OFFSET($H$3,0,0,'Données projet'!$E$12+1,1))</f>
        <v>298.28891728374822</v>
      </c>
      <c r="CE168" s="62">
        <f t="shared" si="148"/>
        <v>275.07405533331371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1.1368683772161603E-13</v>
      </c>
      <c r="CU168" s="18">
        <f>CT168*VLOOKUP('Données projet'!$B$13,Paramètres!$A$1:$I$89,3,0)*VLOOKUP('Données projet'!$B$13,Paramètres!$A$1:$I$89,5,0)</f>
        <v>6.7984728957526396E-14</v>
      </c>
      <c r="CV168" s="14">
        <f t="shared" si="173"/>
        <v>1.0682447123141398E-12</v>
      </c>
      <c r="CW168" s="22">
        <f t="shared" si="174"/>
        <v>1.978932943548152E-12</v>
      </c>
      <c r="CX168" s="62">
        <f t="shared" si="122"/>
        <v>288.22609502834814</v>
      </c>
      <c r="CY168" s="62">
        <f ca="1">AVERAGE(OFFSET($CX$3,0,0,'Données projet'!$E$13+1,1))-AVERAGE(OFFSET($H$3,0,0,'Données projet'!$E$13+1,1))</f>
        <v>320.46614113586043</v>
      </c>
      <c r="CZ168" s="62">
        <f t="shared" si="150"/>
        <v>250.7806929924491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0</v>
      </c>
      <c r="DG168" s="23">
        <f>EXP(-LN(2)/25)*DG167+(1-EXP(-LN(2)/25))/(LN(2)/25)*Calculateur!DB168*Calculateur!DD168*VLOOKUP('Données projet'!$B$13,Paramètres!$A$1:$I$89,3,0)*0.475*44/12</f>
        <v>0</v>
      </c>
      <c r="DH168" s="23">
        <f>EXP(-LN(2)/2)*DH167+(1-EXP(-LN(2)/2))/(LN(2)/2)*DB168*DE168*VLOOKUP('Données projet'!$B$13,Paramètres!$A$1:$I$89,3,0)*0.475*44/12</f>
        <v>4.5419259730086661E-20</v>
      </c>
      <c r="DI168" s="24">
        <f t="shared" si="175"/>
        <v>4.5419259730086661E-20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-1.1368683772161603E-13</v>
      </c>
      <c r="DP168" s="18">
        <f>DO168*VLOOKUP('Données projet'!$B$14,Paramètres!$A$1:$I$89,3,0)*VLOOKUP('Données projet'!$B$14,Paramètres!$A$1:$I$89,5,0)</f>
        <v>-5.3205440053716299E-14</v>
      </c>
      <c r="DQ168" s="14" t="e">
        <f t="shared" si="176"/>
        <v>#NUM!</v>
      </c>
      <c r="DR168" s="22" t="e">
        <f t="shared" si="177"/>
        <v>#NUM!</v>
      </c>
      <c r="DS168" s="62" t="e">
        <f t="shared" si="125"/>
        <v>#NUM!</v>
      </c>
      <c r="DT168" s="62">
        <f ca="1">AVERAGE(OFFSET($DS$3,0,0,'Données projet'!$E$14+1,1))-AVERAGE(OFFSET($H$3,0,0,'Données projet'!$E$14+1,1))</f>
        <v>429.87867712133851</v>
      </c>
      <c r="DU168" s="62">
        <f t="shared" si="152"/>
        <v>182.81277865988014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0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0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1.1368683772161603E-13</v>
      </c>
      <c r="EK168" s="18">
        <f>EJ168*VLOOKUP('Données projet'!$B$15,Paramètres!$A$1:$I$89,3,0)*VLOOKUP('Données projet'!$B$15,Paramètres!$A$1:$I$89,5,0)</f>
        <v>7.626113074366004E-14</v>
      </c>
      <c r="EL168" s="14">
        <f t="shared" si="179"/>
        <v>1.1823749172251317E-12</v>
      </c>
      <c r="EM168" s="22">
        <f t="shared" si="180"/>
        <v>2.1921244502123119E-12</v>
      </c>
      <c r="EN168" s="62">
        <f t="shared" si="128"/>
        <v>288.22609502834837</v>
      </c>
      <c r="EO168" s="62">
        <f ca="1">AVERAGE(OFFSET($EN$3,0,0,'Données projet'!$E$15+1,1))-AVERAGE(OFFSET($H$3,0,0,'Données projet'!$E$15+1,1))</f>
        <v>296.18088377871669</v>
      </c>
      <c r="EP168" s="62">
        <f t="shared" si="154"/>
        <v>252.23833925792056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0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0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1.1368683772161603E-13</v>
      </c>
      <c r="FF168" s="18">
        <f>FE168*VLOOKUP('Données projet'!$B$16,Paramètres!$A$1:$I$89,3,0)*VLOOKUP('Données projet'!$B$16,Paramètres!$A$1:$I$89,5,0)</f>
        <v>9.7543306765146564E-14</v>
      </c>
      <c r="FG168" s="14">
        <f t="shared" si="182"/>
        <v>1.4696264278629426E-12</v>
      </c>
      <c r="FH168" s="22">
        <f t="shared" si="183"/>
        <v>2.7294872878105889E-12</v>
      </c>
      <c r="FI168" s="62">
        <f t="shared" si="131"/>
        <v>288.22609502834888</v>
      </c>
      <c r="FJ168" s="62">
        <f ca="1">AVERAGE(OFFSET($FI$3,0,0,'Données projet'!$E$16+1,1))-AVERAGE(OFFSET($H$3,0,0,'Données projet'!$E$16+1,1))</f>
        <v>359.20464555327072</v>
      </c>
      <c r="FK168" s="62">
        <f t="shared" si="156"/>
        <v>305.54154052071863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0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0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-9.6633812063373625E-13</v>
      </c>
      <c r="O169" s="14">
        <f>N169*VLOOKUP('Données projet'!$B$9,Paramètres!$A$1:$I$89,3,0)*VLOOKUP('Données projet'!$B$9,Paramètres!$A$1:$I$89,5,0)</f>
        <v>-9.7986685432260874E-13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516.30971934066179</v>
      </c>
      <c r="T169" s="62">
        <f t="shared" si="142"/>
        <v>290.84286505723571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-9.6633812063373625E-13</v>
      </c>
      <c r="AJ169" s="14">
        <f>AI169*VLOOKUP('Données projet'!$B$10,Paramètres!$A$1:$I$89,3,0)*VLOOKUP('Données projet'!$B$10,Paramètres!$A$1:$I$89,5,0)</f>
        <v>-1.0401663530501537E-12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542.90832990875208</v>
      </c>
      <c r="AO169" s="62">
        <f t="shared" si="144"/>
        <v>304.94365539329362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-9.6633812063373625E-13</v>
      </c>
      <c r="BE169" s="14">
        <f>BD169*VLOOKUP('Données projet'!$B$11,Paramètres!$A$1:$I$89,3,0)*VLOOKUP('Données projet'!$B$11,Paramètres!$A$1:$I$89,5,0)</f>
        <v>-9.3464223027694966E-13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496.33873798282525</v>
      </c>
      <c r="BJ169" s="62">
        <f t="shared" si="146"/>
        <v>280.25465074992246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1.7053025658242404E-13</v>
      </c>
      <c r="BZ169" s="14">
        <f>BY169*VLOOKUP('Données projet'!$B$12,Paramètres!$A$1:$I$89,3,0)*VLOOKUP('Données projet'!$B$12,Paramètres!$A$1:$I$89,5,0)</f>
        <v>1.4897523215040567E-13</v>
      </c>
      <c r="CA169" s="14">
        <f t="shared" si="170"/>
        <v>2.136562777003313E-12</v>
      </c>
      <c r="CB169" s="22">
        <f t="shared" si="171"/>
        <v>3.9806453659427267E-12</v>
      </c>
      <c r="CC169" s="62">
        <f t="shared" si="119"/>
        <v>288.3146941948674</v>
      </c>
      <c r="CD169" s="62">
        <f ca="1">AVERAGE(OFFSET($CC$3,0,0,'Données projet'!$E$12+1,1))-AVERAGE(OFFSET($H$3,0,0,'Données projet'!$E$12+1,1))</f>
        <v>298.28891728374822</v>
      </c>
      <c r="CE169" s="62">
        <f t="shared" si="148"/>
        <v>275.07405533331371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1.1368683772161603E-13</v>
      </c>
      <c r="CU169" s="18">
        <f>CT169*VLOOKUP('Données projet'!$B$13,Paramètres!$A$1:$I$89,3,0)*VLOOKUP('Données projet'!$B$13,Paramètres!$A$1:$I$89,5,0)</f>
        <v>6.7984728957526396E-14</v>
      </c>
      <c r="CV169" s="14">
        <f t="shared" si="173"/>
        <v>1.0682447123141398E-12</v>
      </c>
      <c r="CW169" s="22">
        <f t="shared" si="174"/>
        <v>1.978932943548152E-12</v>
      </c>
      <c r="CX169" s="62">
        <f t="shared" si="122"/>
        <v>288.31469419486541</v>
      </c>
      <c r="CY169" s="62">
        <f ca="1">AVERAGE(OFFSET($CX$3,0,0,'Données projet'!$E$13+1,1))-AVERAGE(OFFSET($H$3,0,0,'Données projet'!$E$13+1,1))</f>
        <v>320.46614113586043</v>
      </c>
      <c r="CZ169" s="62">
        <f t="shared" si="150"/>
        <v>250.7806929924491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0</v>
      </c>
      <c r="DG169" s="23">
        <f>EXP(-LN(2)/25)*DG168+(1-EXP(-LN(2)/25))/(LN(2)/25)*Calculateur!DB169*Calculateur!DD169*VLOOKUP('Données projet'!$B$13,Paramètres!$A$1:$I$89,3,0)*0.475*44/12</f>
        <v>0</v>
      </c>
      <c r="DH169" s="23">
        <f>EXP(-LN(2)/2)*DH168+(1-EXP(-LN(2)/2))/(LN(2)/2)*DB169*DE169*VLOOKUP('Données projet'!$B$13,Paramètres!$A$1:$I$89,3,0)*0.475*44/12</f>
        <v>3.2116266551617358E-20</v>
      </c>
      <c r="DI169" s="24">
        <f t="shared" si="175"/>
        <v>3.2116266551617358E-20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-1.1368683772161603E-13</v>
      </c>
      <c r="DP169" s="18">
        <f>DO169*VLOOKUP('Données projet'!$B$14,Paramètres!$A$1:$I$89,3,0)*VLOOKUP('Données projet'!$B$14,Paramètres!$A$1:$I$89,5,0)</f>
        <v>-5.3205440053716299E-14</v>
      </c>
      <c r="DQ169" s="14" t="e">
        <f t="shared" si="176"/>
        <v>#NUM!</v>
      </c>
      <c r="DR169" s="22" t="e">
        <f t="shared" si="177"/>
        <v>#NUM!</v>
      </c>
      <c r="DS169" s="62" t="e">
        <f t="shared" si="125"/>
        <v>#NUM!</v>
      </c>
      <c r="DT169" s="62">
        <f ca="1">AVERAGE(OFFSET($DS$3,0,0,'Données projet'!$E$14+1,1))-AVERAGE(OFFSET($H$3,0,0,'Données projet'!$E$14+1,1))</f>
        <v>429.87867712133851</v>
      </c>
      <c r="DU169" s="62">
        <f t="shared" si="152"/>
        <v>182.81277865988014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0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0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1.1368683772161603E-13</v>
      </c>
      <c r="EK169" s="18">
        <f>EJ169*VLOOKUP('Données projet'!$B$15,Paramètres!$A$1:$I$89,3,0)*VLOOKUP('Données projet'!$B$15,Paramètres!$A$1:$I$89,5,0)</f>
        <v>7.626113074366004E-14</v>
      </c>
      <c r="EL169" s="14">
        <f t="shared" si="179"/>
        <v>1.1823749172251317E-12</v>
      </c>
      <c r="EM169" s="22">
        <f t="shared" si="180"/>
        <v>2.1921244502123119E-12</v>
      </c>
      <c r="EN169" s="62">
        <f t="shared" si="128"/>
        <v>288.31469419486564</v>
      </c>
      <c r="EO169" s="62">
        <f ca="1">AVERAGE(OFFSET($EN$3,0,0,'Données projet'!$E$15+1,1))-AVERAGE(OFFSET($H$3,0,0,'Données projet'!$E$15+1,1))</f>
        <v>296.18088377871669</v>
      </c>
      <c r="EP169" s="62">
        <f t="shared" si="154"/>
        <v>252.23833925792056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0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0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1.1368683772161603E-13</v>
      </c>
      <c r="FF169" s="18">
        <f>FE169*VLOOKUP('Données projet'!$B$16,Paramètres!$A$1:$I$89,3,0)*VLOOKUP('Données projet'!$B$16,Paramètres!$A$1:$I$89,5,0)</f>
        <v>9.7543306765146564E-14</v>
      </c>
      <c r="FG169" s="14">
        <f t="shared" si="182"/>
        <v>1.4696264278629426E-12</v>
      </c>
      <c r="FH169" s="22">
        <f t="shared" si="183"/>
        <v>2.7294872878105889E-12</v>
      </c>
      <c r="FI169" s="62">
        <f t="shared" si="131"/>
        <v>288.31469419486615</v>
      </c>
      <c r="FJ169" s="62">
        <f ca="1">AVERAGE(OFFSET($FI$3,0,0,'Données projet'!$E$16+1,1))-AVERAGE(OFFSET($H$3,0,0,'Données projet'!$E$16+1,1))</f>
        <v>359.20464555327072</v>
      </c>
      <c r="FK169" s="62">
        <f t="shared" si="156"/>
        <v>305.54154052071863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0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0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-9.6633812063373625E-13</v>
      </c>
      <c r="O170" s="14">
        <f>N170*VLOOKUP('Données projet'!$B$9,Paramètres!$A$1:$I$89,3,0)*VLOOKUP('Données projet'!$B$9,Paramètres!$A$1:$I$89,5,0)</f>
        <v>-9.7986685432260874E-13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516.30971934066179</v>
      </c>
      <c r="T170" s="62">
        <f t="shared" si="142"/>
        <v>290.84286505723571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-9.6633812063373625E-13</v>
      </c>
      <c r="AJ170" s="14">
        <f>AI170*VLOOKUP('Données projet'!$B$10,Paramètres!$A$1:$I$89,3,0)*VLOOKUP('Données projet'!$B$10,Paramètres!$A$1:$I$89,5,0)</f>
        <v>-1.0401663530501537E-12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542.90832990875208</v>
      </c>
      <c r="AO170" s="62">
        <f t="shared" si="144"/>
        <v>304.94365539329362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-9.6633812063373625E-13</v>
      </c>
      <c r="BE170" s="14">
        <f>BD170*VLOOKUP('Données projet'!$B$11,Paramètres!$A$1:$I$89,3,0)*VLOOKUP('Données projet'!$B$11,Paramètres!$A$1:$I$89,5,0)</f>
        <v>-9.3464223027694966E-13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496.33873798282525</v>
      </c>
      <c r="BJ170" s="62">
        <f t="shared" si="146"/>
        <v>280.25465074992246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1.7053025658242404E-13</v>
      </c>
      <c r="BZ170" s="14">
        <f>BY170*VLOOKUP('Données projet'!$B$12,Paramètres!$A$1:$I$89,3,0)*VLOOKUP('Données projet'!$B$12,Paramètres!$A$1:$I$89,5,0)</f>
        <v>1.4897523215040567E-13</v>
      </c>
      <c r="CA170" s="14">
        <f t="shared" si="170"/>
        <v>2.136562777003313E-12</v>
      </c>
      <c r="CB170" s="22">
        <f t="shared" si="171"/>
        <v>3.9806453659427267E-12</v>
      </c>
      <c r="CC170" s="62">
        <f t="shared" si="119"/>
        <v>288.4017563639236</v>
      </c>
      <c r="CD170" s="62">
        <f ca="1">AVERAGE(OFFSET($CC$3,0,0,'Données projet'!$E$12+1,1))-AVERAGE(OFFSET($H$3,0,0,'Données projet'!$E$12+1,1))</f>
        <v>298.28891728374822</v>
      </c>
      <c r="CE170" s="62">
        <f t="shared" si="148"/>
        <v>275.07405533331371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1.1368683772161603E-13</v>
      </c>
      <c r="CU170" s="18">
        <f>CT170*VLOOKUP('Données projet'!$B$13,Paramètres!$A$1:$I$89,3,0)*VLOOKUP('Données projet'!$B$13,Paramètres!$A$1:$I$89,5,0)</f>
        <v>6.7984728957526396E-14</v>
      </c>
      <c r="CV170" s="14">
        <f t="shared" si="173"/>
        <v>1.0682447123141398E-12</v>
      </c>
      <c r="CW170" s="22">
        <f t="shared" si="174"/>
        <v>1.978932943548152E-12</v>
      </c>
      <c r="CX170" s="62">
        <f t="shared" si="122"/>
        <v>288.40175636392161</v>
      </c>
      <c r="CY170" s="62">
        <f ca="1">AVERAGE(OFFSET($CX$3,0,0,'Données projet'!$E$13+1,1))-AVERAGE(OFFSET($H$3,0,0,'Données projet'!$E$13+1,1))</f>
        <v>320.46614113586043</v>
      </c>
      <c r="CZ170" s="62">
        <f t="shared" si="150"/>
        <v>250.7806929924491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0</v>
      </c>
      <c r="DG170" s="23">
        <f>EXP(-LN(2)/25)*DG169+(1-EXP(-LN(2)/25))/(LN(2)/25)*Calculateur!DB170*Calculateur!DD170*VLOOKUP('Données projet'!$B$13,Paramètres!$A$1:$I$89,3,0)*0.475*44/12</f>
        <v>0</v>
      </c>
      <c r="DH170" s="23">
        <f>EXP(-LN(2)/2)*DH169+(1-EXP(-LN(2)/2))/(LN(2)/2)*DB170*DE170*VLOOKUP('Données projet'!$B$13,Paramètres!$A$1:$I$89,3,0)*0.475*44/12</f>
        <v>2.2709629865043331E-20</v>
      </c>
      <c r="DI170" s="24">
        <f t="shared" si="175"/>
        <v>2.2709629865043331E-20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-1.1368683772161603E-13</v>
      </c>
      <c r="DP170" s="18">
        <f>DO170*VLOOKUP('Données projet'!$B$14,Paramètres!$A$1:$I$89,3,0)*VLOOKUP('Données projet'!$B$14,Paramètres!$A$1:$I$89,5,0)</f>
        <v>-5.3205440053716299E-14</v>
      </c>
      <c r="DQ170" s="14" t="e">
        <f t="shared" si="176"/>
        <v>#NUM!</v>
      </c>
      <c r="DR170" s="22" t="e">
        <f t="shared" si="177"/>
        <v>#NUM!</v>
      </c>
      <c r="DS170" s="62" t="e">
        <f t="shared" si="125"/>
        <v>#NUM!</v>
      </c>
      <c r="DT170" s="62">
        <f ca="1">AVERAGE(OFFSET($DS$3,0,0,'Données projet'!$E$14+1,1))-AVERAGE(OFFSET($H$3,0,0,'Données projet'!$E$14+1,1))</f>
        <v>429.87867712133851</v>
      </c>
      <c r="DU170" s="62">
        <f t="shared" si="152"/>
        <v>182.81277865988014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0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0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1.1368683772161603E-13</v>
      </c>
      <c r="EK170" s="18">
        <f>EJ170*VLOOKUP('Données projet'!$B$15,Paramètres!$A$1:$I$89,3,0)*VLOOKUP('Données projet'!$B$15,Paramètres!$A$1:$I$89,5,0)</f>
        <v>7.626113074366004E-14</v>
      </c>
      <c r="EL170" s="14">
        <f t="shared" si="179"/>
        <v>1.1823749172251317E-12</v>
      </c>
      <c r="EM170" s="22">
        <f t="shared" si="180"/>
        <v>2.1921244502123119E-12</v>
      </c>
      <c r="EN170" s="62">
        <f t="shared" si="128"/>
        <v>288.40175636392183</v>
      </c>
      <c r="EO170" s="62">
        <f ca="1">AVERAGE(OFFSET($EN$3,0,0,'Données projet'!$E$15+1,1))-AVERAGE(OFFSET($H$3,0,0,'Données projet'!$E$15+1,1))</f>
        <v>296.18088377871669</v>
      </c>
      <c r="EP170" s="62">
        <f t="shared" si="154"/>
        <v>252.23833925792056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0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0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1.1368683772161603E-13</v>
      </c>
      <c r="FF170" s="18">
        <f>FE170*VLOOKUP('Données projet'!$B$16,Paramètres!$A$1:$I$89,3,0)*VLOOKUP('Données projet'!$B$16,Paramètres!$A$1:$I$89,5,0)</f>
        <v>9.7543306765146564E-14</v>
      </c>
      <c r="FG170" s="14">
        <f t="shared" si="182"/>
        <v>1.4696264278629426E-12</v>
      </c>
      <c r="FH170" s="22">
        <f t="shared" si="183"/>
        <v>2.7294872878105889E-12</v>
      </c>
      <c r="FI170" s="62">
        <f t="shared" si="131"/>
        <v>288.40175636392235</v>
      </c>
      <c r="FJ170" s="62">
        <f ca="1">AVERAGE(OFFSET($FI$3,0,0,'Données projet'!$E$16+1,1))-AVERAGE(OFFSET($H$3,0,0,'Données projet'!$E$16+1,1))</f>
        <v>359.20464555327072</v>
      </c>
      <c r="FK170" s="62">
        <f t="shared" si="156"/>
        <v>305.54154052071863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0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0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-9.6633812063373625E-13</v>
      </c>
      <c r="O171" s="14">
        <f>N171*VLOOKUP('Données projet'!$B$9,Paramètres!$A$1:$I$89,3,0)*VLOOKUP('Données projet'!$B$9,Paramètres!$A$1:$I$89,5,0)</f>
        <v>-9.7986685432260874E-13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516.30971934066179</v>
      </c>
      <c r="T171" s="62">
        <f t="shared" si="142"/>
        <v>290.84286505723571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-9.6633812063373625E-13</v>
      </c>
      <c r="AJ171" s="14">
        <f>AI171*VLOOKUP('Données projet'!$B$10,Paramètres!$A$1:$I$89,3,0)*VLOOKUP('Données projet'!$B$10,Paramètres!$A$1:$I$89,5,0)</f>
        <v>-1.0401663530501537E-12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542.90832990875208</v>
      </c>
      <c r="AO171" s="62">
        <f t="shared" si="144"/>
        <v>304.94365539329362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-9.6633812063373625E-13</v>
      </c>
      <c r="BE171" s="14">
        <f>BD171*VLOOKUP('Données projet'!$B$11,Paramètres!$A$1:$I$89,3,0)*VLOOKUP('Données projet'!$B$11,Paramètres!$A$1:$I$89,5,0)</f>
        <v>-9.3464223027694966E-13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496.33873798282525</v>
      </c>
      <c r="BJ171" s="62">
        <f t="shared" si="146"/>
        <v>280.25465074992246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1.7053025658242404E-13</v>
      </c>
      <c r="BZ171" s="14">
        <f>BY171*VLOOKUP('Données projet'!$B$12,Paramètres!$A$1:$I$89,3,0)*VLOOKUP('Données projet'!$B$12,Paramètres!$A$1:$I$89,5,0)</f>
        <v>1.4897523215040567E-13</v>
      </c>
      <c r="CA171" s="14">
        <f t="shared" si="170"/>
        <v>2.136562777003313E-12</v>
      </c>
      <c r="CB171" s="22">
        <f t="shared" si="171"/>
        <v>3.9806453659427267E-12</v>
      </c>
      <c r="CC171" s="62">
        <f t="shared" si="119"/>
        <v>288.4873081989885</v>
      </c>
      <c r="CD171" s="62">
        <f ca="1">AVERAGE(OFFSET($CC$3,0,0,'Données projet'!$E$12+1,1))-AVERAGE(OFFSET($H$3,0,0,'Données projet'!$E$12+1,1))</f>
        <v>298.28891728374822</v>
      </c>
      <c r="CE171" s="62">
        <f t="shared" si="148"/>
        <v>275.07405533331371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1.1368683772161603E-13</v>
      </c>
      <c r="CU171" s="18">
        <f>CT171*VLOOKUP('Données projet'!$B$13,Paramètres!$A$1:$I$89,3,0)*VLOOKUP('Données projet'!$B$13,Paramètres!$A$1:$I$89,5,0)</f>
        <v>6.7984728957526396E-14</v>
      </c>
      <c r="CV171" s="14">
        <f t="shared" si="173"/>
        <v>1.0682447123141398E-12</v>
      </c>
      <c r="CW171" s="22">
        <f t="shared" si="174"/>
        <v>1.978932943548152E-12</v>
      </c>
      <c r="CX171" s="62">
        <f t="shared" si="122"/>
        <v>288.48730819898651</v>
      </c>
      <c r="CY171" s="62">
        <f ca="1">AVERAGE(OFFSET($CX$3,0,0,'Données projet'!$E$13+1,1))-AVERAGE(OFFSET($H$3,0,0,'Données projet'!$E$13+1,1))</f>
        <v>320.46614113586043</v>
      </c>
      <c r="CZ171" s="62">
        <f t="shared" si="150"/>
        <v>250.7806929924491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0</v>
      </c>
      <c r="DG171" s="23">
        <f>EXP(-LN(2)/25)*DG170+(1-EXP(-LN(2)/25))/(LN(2)/25)*Calculateur!DB171*Calculateur!DD171*VLOOKUP('Données projet'!$B$13,Paramètres!$A$1:$I$89,3,0)*0.475*44/12</f>
        <v>0</v>
      </c>
      <c r="DH171" s="23">
        <f>EXP(-LN(2)/2)*DH170+(1-EXP(-LN(2)/2))/(LN(2)/2)*DB171*DE171*VLOOKUP('Données projet'!$B$13,Paramètres!$A$1:$I$89,3,0)*0.475*44/12</f>
        <v>1.6058133275808679E-20</v>
      </c>
      <c r="DI171" s="24">
        <f t="shared" si="175"/>
        <v>1.6058133275808679E-20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-1.1368683772161603E-13</v>
      </c>
      <c r="DP171" s="18">
        <f>DO171*VLOOKUP('Données projet'!$B$14,Paramètres!$A$1:$I$89,3,0)*VLOOKUP('Données projet'!$B$14,Paramètres!$A$1:$I$89,5,0)</f>
        <v>-5.3205440053716299E-14</v>
      </c>
      <c r="DQ171" s="14" t="e">
        <f t="shared" si="176"/>
        <v>#NUM!</v>
      </c>
      <c r="DR171" s="22" t="e">
        <f t="shared" si="177"/>
        <v>#NUM!</v>
      </c>
      <c r="DS171" s="62" t="e">
        <f t="shared" si="125"/>
        <v>#NUM!</v>
      </c>
      <c r="DT171" s="62">
        <f ca="1">AVERAGE(OFFSET($DS$3,0,0,'Données projet'!$E$14+1,1))-AVERAGE(OFFSET($H$3,0,0,'Données projet'!$E$14+1,1))</f>
        <v>429.87867712133851</v>
      </c>
      <c r="DU171" s="62">
        <f t="shared" si="152"/>
        <v>182.81277865988014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0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0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1.1368683772161603E-13</v>
      </c>
      <c r="EK171" s="18">
        <f>EJ171*VLOOKUP('Données projet'!$B$15,Paramètres!$A$1:$I$89,3,0)*VLOOKUP('Données projet'!$B$15,Paramètres!$A$1:$I$89,5,0)</f>
        <v>7.626113074366004E-14</v>
      </c>
      <c r="EL171" s="14">
        <f t="shared" si="179"/>
        <v>1.1823749172251317E-12</v>
      </c>
      <c r="EM171" s="22">
        <f t="shared" si="180"/>
        <v>2.1921244502123119E-12</v>
      </c>
      <c r="EN171" s="62">
        <f t="shared" si="128"/>
        <v>288.48730819898674</v>
      </c>
      <c r="EO171" s="62">
        <f ca="1">AVERAGE(OFFSET($EN$3,0,0,'Données projet'!$E$15+1,1))-AVERAGE(OFFSET($H$3,0,0,'Données projet'!$E$15+1,1))</f>
        <v>296.18088377871669</v>
      </c>
      <c r="EP171" s="62">
        <f t="shared" si="154"/>
        <v>252.23833925792056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0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0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1.1368683772161603E-13</v>
      </c>
      <c r="FF171" s="18">
        <f>FE171*VLOOKUP('Données projet'!$B$16,Paramètres!$A$1:$I$89,3,0)*VLOOKUP('Données projet'!$B$16,Paramètres!$A$1:$I$89,5,0)</f>
        <v>9.7543306765146564E-14</v>
      </c>
      <c r="FG171" s="14">
        <f t="shared" si="182"/>
        <v>1.4696264278629426E-12</v>
      </c>
      <c r="FH171" s="22">
        <f t="shared" si="183"/>
        <v>2.7294872878105889E-12</v>
      </c>
      <c r="FI171" s="62">
        <f t="shared" si="131"/>
        <v>288.48730819898725</v>
      </c>
      <c r="FJ171" s="62">
        <f ca="1">AVERAGE(OFFSET($FI$3,0,0,'Données projet'!$E$16+1,1))-AVERAGE(OFFSET($H$3,0,0,'Données projet'!$E$16+1,1))</f>
        <v>359.20464555327072</v>
      </c>
      <c r="FK171" s="62">
        <f t="shared" si="156"/>
        <v>305.54154052071863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0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0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-9.6633812063373625E-13</v>
      </c>
      <c r="O172" s="14">
        <f>N172*VLOOKUP('Données projet'!$B$9,Paramètres!$A$1:$I$89,3,0)*VLOOKUP('Données projet'!$B$9,Paramètres!$A$1:$I$89,5,0)</f>
        <v>-9.7986685432260874E-13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516.30971934066179</v>
      </c>
      <c r="T172" s="62">
        <f t="shared" si="142"/>
        <v>290.84286505723571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-9.6633812063373625E-13</v>
      </c>
      <c r="AJ172" s="14">
        <f>AI172*VLOOKUP('Données projet'!$B$10,Paramètres!$A$1:$I$89,3,0)*VLOOKUP('Données projet'!$B$10,Paramètres!$A$1:$I$89,5,0)</f>
        <v>-1.0401663530501537E-12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542.90832990875208</v>
      </c>
      <c r="AO172" s="62">
        <f t="shared" si="144"/>
        <v>304.94365539329362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-9.6633812063373625E-13</v>
      </c>
      <c r="BE172" s="14">
        <f>BD172*VLOOKUP('Données projet'!$B$11,Paramètres!$A$1:$I$89,3,0)*VLOOKUP('Données projet'!$B$11,Paramètres!$A$1:$I$89,5,0)</f>
        <v>-9.3464223027694966E-13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496.33873798282525</v>
      </c>
      <c r="BJ172" s="62">
        <f t="shared" si="146"/>
        <v>280.25465074992246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1.7053025658242404E-13</v>
      </c>
      <c r="BZ172" s="14">
        <f>BY172*VLOOKUP('Données projet'!$B$12,Paramètres!$A$1:$I$89,3,0)*VLOOKUP('Données projet'!$B$12,Paramètres!$A$1:$I$89,5,0)</f>
        <v>1.4897523215040567E-13</v>
      </c>
      <c r="CA172" s="14">
        <f t="shared" si="170"/>
        <v>2.136562777003313E-12</v>
      </c>
      <c r="CB172" s="22">
        <f t="shared" si="171"/>
        <v>3.9806453659427267E-12</v>
      </c>
      <c r="CC172" s="62">
        <f t="shared" si="119"/>
        <v>288.5713759009804</v>
      </c>
      <c r="CD172" s="62">
        <f ca="1">AVERAGE(OFFSET($CC$3,0,0,'Données projet'!$E$12+1,1))-AVERAGE(OFFSET($H$3,0,0,'Données projet'!$E$12+1,1))</f>
        <v>298.28891728374822</v>
      </c>
      <c r="CE172" s="62">
        <f t="shared" si="148"/>
        <v>275.07405533331371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1.1368683772161603E-13</v>
      </c>
      <c r="CU172" s="18">
        <f>CT172*VLOOKUP('Données projet'!$B$13,Paramètres!$A$1:$I$89,3,0)*VLOOKUP('Données projet'!$B$13,Paramètres!$A$1:$I$89,5,0)</f>
        <v>6.7984728957526396E-14</v>
      </c>
      <c r="CV172" s="14">
        <f t="shared" si="173"/>
        <v>1.0682447123141398E-12</v>
      </c>
      <c r="CW172" s="22">
        <f t="shared" si="174"/>
        <v>1.978932943548152E-12</v>
      </c>
      <c r="CX172" s="62">
        <f t="shared" si="122"/>
        <v>288.57137590097841</v>
      </c>
      <c r="CY172" s="62">
        <f ca="1">AVERAGE(OFFSET($CX$3,0,0,'Données projet'!$E$13+1,1))-AVERAGE(OFFSET($H$3,0,0,'Données projet'!$E$13+1,1))</f>
        <v>320.46614113586043</v>
      </c>
      <c r="CZ172" s="62">
        <f t="shared" si="150"/>
        <v>250.7806929924491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0</v>
      </c>
      <c r="DG172" s="23">
        <f>EXP(-LN(2)/25)*DG171+(1-EXP(-LN(2)/25))/(LN(2)/25)*Calculateur!DB172*Calculateur!DD172*VLOOKUP('Données projet'!$B$13,Paramètres!$A$1:$I$89,3,0)*0.475*44/12</f>
        <v>0</v>
      </c>
      <c r="DH172" s="23">
        <f>EXP(-LN(2)/2)*DH171+(1-EXP(-LN(2)/2))/(LN(2)/2)*DB172*DE172*VLOOKUP('Données projet'!$B$13,Paramètres!$A$1:$I$89,3,0)*0.475*44/12</f>
        <v>1.1354814932521665E-20</v>
      </c>
      <c r="DI172" s="24">
        <f t="shared" si="175"/>
        <v>1.1354814932521665E-20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-1.1368683772161603E-13</v>
      </c>
      <c r="DP172" s="18">
        <f>DO172*VLOOKUP('Données projet'!$B$14,Paramètres!$A$1:$I$89,3,0)*VLOOKUP('Données projet'!$B$14,Paramètres!$A$1:$I$89,5,0)</f>
        <v>-5.3205440053716299E-14</v>
      </c>
      <c r="DQ172" s="14" t="e">
        <f t="shared" si="176"/>
        <v>#NUM!</v>
      </c>
      <c r="DR172" s="22" t="e">
        <f t="shared" si="177"/>
        <v>#NUM!</v>
      </c>
      <c r="DS172" s="62" t="e">
        <f t="shared" si="125"/>
        <v>#NUM!</v>
      </c>
      <c r="DT172" s="62">
        <f ca="1">AVERAGE(OFFSET($DS$3,0,0,'Données projet'!$E$14+1,1))-AVERAGE(OFFSET($H$3,0,0,'Données projet'!$E$14+1,1))</f>
        <v>429.87867712133851</v>
      </c>
      <c r="DU172" s="62">
        <f t="shared" si="152"/>
        <v>182.81277865988014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0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0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1.1368683772161603E-13</v>
      </c>
      <c r="EK172" s="18">
        <f>EJ172*VLOOKUP('Données projet'!$B$15,Paramètres!$A$1:$I$89,3,0)*VLOOKUP('Données projet'!$B$15,Paramètres!$A$1:$I$89,5,0)</f>
        <v>7.626113074366004E-14</v>
      </c>
      <c r="EL172" s="14">
        <f t="shared" si="179"/>
        <v>1.1823749172251317E-12</v>
      </c>
      <c r="EM172" s="22">
        <f t="shared" si="180"/>
        <v>2.1921244502123119E-12</v>
      </c>
      <c r="EN172" s="62">
        <f t="shared" si="128"/>
        <v>288.57137590097864</v>
      </c>
      <c r="EO172" s="62">
        <f ca="1">AVERAGE(OFFSET($EN$3,0,0,'Données projet'!$E$15+1,1))-AVERAGE(OFFSET($H$3,0,0,'Données projet'!$E$15+1,1))</f>
        <v>296.18088377871669</v>
      </c>
      <c r="EP172" s="62">
        <f t="shared" si="154"/>
        <v>252.23833925792056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0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0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1.1368683772161603E-13</v>
      </c>
      <c r="FF172" s="18">
        <f>FE172*VLOOKUP('Données projet'!$B$16,Paramètres!$A$1:$I$89,3,0)*VLOOKUP('Données projet'!$B$16,Paramètres!$A$1:$I$89,5,0)</f>
        <v>9.7543306765146564E-14</v>
      </c>
      <c r="FG172" s="14">
        <f t="shared" si="182"/>
        <v>1.4696264278629426E-12</v>
      </c>
      <c r="FH172" s="22">
        <f t="shared" si="183"/>
        <v>2.7294872878105889E-12</v>
      </c>
      <c r="FI172" s="62">
        <f t="shared" si="131"/>
        <v>288.57137590097915</v>
      </c>
      <c r="FJ172" s="62">
        <f ca="1">AVERAGE(OFFSET($FI$3,0,0,'Données projet'!$E$16+1,1))-AVERAGE(OFFSET($H$3,0,0,'Données projet'!$E$16+1,1))</f>
        <v>359.20464555327072</v>
      </c>
      <c r="FK172" s="62">
        <f t="shared" si="156"/>
        <v>305.54154052071863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0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0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-9.6633812063373625E-13</v>
      </c>
      <c r="O173" s="14">
        <f>N173*VLOOKUP('Données projet'!$B$9,Paramètres!$A$1:$I$89,3,0)*VLOOKUP('Données projet'!$B$9,Paramètres!$A$1:$I$89,5,0)</f>
        <v>-9.7986685432260874E-13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516.30971934066179</v>
      </c>
      <c r="T173" s="62">
        <f t="shared" si="142"/>
        <v>290.84286505723571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-9.6633812063373625E-13</v>
      </c>
      <c r="AJ173" s="14">
        <f>AI173*VLOOKUP('Données projet'!$B$10,Paramètres!$A$1:$I$89,3,0)*VLOOKUP('Données projet'!$B$10,Paramètres!$A$1:$I$89,5,0)</f>
        <v>-1.0401663530501537E-12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542.90832990875208</v>
      </c>
      <c r="AO173" s="62">
        <f t="shared" si="144"/>
        <v>304.94365539329362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-9.6633812063373625E-13</v>
      </c>
      <c r="BE173" s="14">
        <f>BD173*VLOOKUP('Données projet'!$B$11,Paramètres!$A$1:$I$89,3,0)*VLOOKUP('Données projet'!$B$11,Paramètres!$A$1:$I$89,5,0)</f>
        <v>-9.3464223027694966E-13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496.33873798282525</v>
      </c>
      <c r="BJ173" s="62">
        <f t="shared" si="146"/>
        <v>280.25465074992246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1.7053025658242404E-13</v>
      </c>
      <c r="BZ173" s="14">
        <f>BY173*VLOOKUP('Données projet'!$B$12,Paramètres!$A$1:$I$89,3,0)*VLOOKUP('Données projet'!$B$12,Paramètres!$A$1:$I$89,5,0)</f>
        <v>1.4897523215040567E-13</v>
      </c>
      <c r="CA173" s="14">
        <f t="shared" si="170"/>
        <v>2.136562777003313E-12</v>
      </c>
      <c r="CB173" s="22">
        <f t="shared" si="171"/>
        <v>3.9806453659427267E-12</v>
      </c>
      <c r="CC173" s="62">
        <f t="shared" si="119"/>
        <v>288.65398521628987</v>
      </c>
      <c r="CD173" s="62">
        <f ca="1">AVERAGE(OFFSET($CC$3,0,0,'Données projet'!$E$12+1,1))-AVERAGE(OFFSET($H$3,0,0,'Données projet'!$E$12+1,1))</f>
        <v>298.28891728374822</v>
      </c>
      <c r="CE173" s="62">
        <f t="shared" si="148"/>
        <v>275.07405533331371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1.1368683772161603E-13</v>
      </c>
      <c r="CU173" s="18">
        <f>CT173*VLOOKUP('Données projet'!$B$13,Paramètres!$A$1:$I$89,3,0)*VLOOKUP('Données projet'!$B$13,Paramètres!$A$1:$I$89,5,0)</f>
        <v>6.7984728957526396E-14</v>
      </c>
      <c r="CV173" s="14">
        <f t="shared" si="173"/>
        <v>1.0682447123141398E-12</v>
      </c>
      <c r="CW173" s="22">
        <f t="shared" si="174"/>
        <v>1.978932943548152E-12</v>
      </c>
      <c r="CX173" s="62">
        <f t="shared" si="122"/>
        <v>288.65398521628788</v>
      </c>
      <c r="CY173" s="62">
        <f ca="1">AVERAGE(OFFSET($CX$3,0,0,'Données projet'!$E$13+1,1))-AVERAGE(OFFSET($H$3,0,0,'Données projet'!$E$13+1,1))</f>
        <v>320.46614113586043</v>
      </c>
      <c r="CZ173" s="62">
        <f t="shared" si="150"/>
        <v>250.7806929924491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0</v>
      </c>
      <c r="DG173" s="23">
        <f>EXP(-LN(2)/25)*DG172+(1-EXP(-LN(2)/25))/(LN(2)/25)*Calculateur!DB173*Calculateur!DD173*VLOOKUP('Données projet'!$B$13,Paramètres!$A$1:$I$89,3,0)*0.475*44/12</f>
        <v>0</v>
      </c>
      <c r="DH173" s="23">
        <f>EXP(-LN(2)/2)*DH172+(1-EXP(-LN(2)/2))/(LN(2)/2)*DB173*DE173*VLOOKUP('Données projet'!$B$13,Paramètres!$A$1:$I$89,3,0)*0.475*44/12</f>
        <v>8.0290666379043395E-21</v>
      </c>
      <c r="DI173" s="24">
        <f t="shared" si="175"/>
        <v>8.0290666379043395E-21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-1.1368683772161603E-13</v>
      </c>
      <c r="DP173" s="18">
        <f>DO173*VLOOKUP('Données projet'!$B$14,Paramètres!$A$1:$I$89,3,0)*VLOOKUP('Données projet'!$B$14,Paramètres!$A$1:$I$89,5,0)</f>
        <v>-5.3205440053716299E-14</v>
      </c>
      <c r="DQ173" s="14" t="e">
        <f t="shared" si="176"/>
        <v>#NUM!</v>
      </c>
      <c r="DR173" s="22" t="e">
        <f t="shared" si="177"/>
        <v>#NUM!</v>
      </c>
      <c r="DS173" s="62" t="e">
        <f t="shared" si="125"/>
        <v>#NUM!</v>
      </c>
      <c r="DT173" s="62">
        <f ca="1">AVERAGE(OFFSET($DS$3,0,0,'Données projet'!$E$14+1,1))-AVERAGE(OFFSET($H$3,0,0,'Données projet'!$E$14+1,1))</f>
        <v>429.87867712133851</v>
      </c>
      <c r="DU173" s="62">
        <f t="shared" si="152"/>
        <v>182.81277865988014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0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0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1.1368683772161603E-13</v>
      </c>
      <c r="EK173" s="18">
        <f>EJ173*VLOOKUP('Données projet'!$B$15,Paramètres!$A$1:$I$89,3,0)*VLOOKUP('Données projet'!$B$15,Paramètres!$A$1:$I$89,5,0)</f>
        <v>7.626113074366004E-14</v>
      </c>
      <c r="EL173" s="14">
        <f t="shared" si="179"/>
        <v>1.1823749172251317E-12</v>
      </c>
      <c r="EM173" s="22">
        <f t="shared" si="180"/>
        <v>2.1921244502123119E-12</v>
      </c>
      <c r="EN173" s="62">
        <f t="shared" si="128"/>
        <v>288.65398521628811</v>
      </c>
      <c r="EO173" s="62">
        <f ca="1">AVERAGE(OFFSET($EN$3,0,0,'Données projet'!$E$15+1,1))-AVERAGE(OFFSET($H$3,0,0,'Données projet'!$E$15+1,1))</f>
        <v>296.18088377871669</v>
      </c>
      <c r="EP173" s="62">
        <f t="shared" si="154"/>
        <v>252.23833925792056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0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0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1.1368683772161603E-13</v>
      </c>
      <c r="FF173" s="18">
        <f>FE173*VLOOKUP('Données projet'!$B$16,Paramètres!$A$1:$I$89,3,0)*VLOOKUP('Données projet'!$B$16,Paramètres!$A$1:$I$89,5,0)</f>
        <v>9.7543306765146564E-14</v>
      </c>
      <c r="FG173" s="14">
        <f t="shared" si="182"/>
        <v>1.4696264278629426E-12</v>
      </c>
      <c r="FH173" s="22">
        <f t="shared" si="183"/>
        <v>2.7294872878105889E-12</v>
      </c>
      <c r="FI173" s="62">
        <f t="shared" si="131"/>
        <v>288.65398521628862</v>
      </c>
      <c r="FJ173" s="62">
        <f ca="1">AVERAGE(OFFSET($FI$3,0,0,'Données projet'!$E$16+1,1))-AVERAGE(OFFSET($H$3,0,0,'Données projet'!$E$16+1,1))</f>
        <v>359.20464555327072</v>
      </c>
      <c r="FK173" s="62">
        <f t="shared" si="156"/>
        <v>305.54154052071863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0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0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-9.6633812063373625E-13</v>
      </c>
      <c r="O174" s="14">
        <f>N174*VLOOKUP('Données projet'!$B$9,Paramètres!$A$1:$I$89,3,0)*VLOOKUP('Données projet'!$B$9,Paramètres!$A$1:$I$89,5,0)</f>
        <v>-9.7986685432260874E-13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516.30971934066179</v>
      </c>
      <c r="T174" s="62">
        <f t="shared" si="142"/>
        <v>290.84286505723571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-9.6633812063373625E-13</v>
      </c>
      <c r="AJ174" s="14">
        <f>AI174*VLOOKUP('Données projet'!$B$10,Paramètres!$A$1:$I$89,3,0)*VLOOKUP('Données projet'!$B$10,Paramètres!$A$1:$I$89,5,0)</f>
        <v>-1.0401663530501537E-12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542.90832990875208</v>
      </c>
      <c r="AO174" s="62">
        <f t="shared" si="144"/>
        <v>304.94365539329362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-9.6633812063373625E-13</v>
      </c>
      <c r="BE174" s="14">
        <f>BD174*VLOOKUP('Données projet'!$B$11,Paramètres!$A$1:$I$89,3,0)*VLOOKUP('Données projet'!$B$11,Paramètres!$A$1:$I$89,5,0)</f>
        <v>-9.3464223027694966E-13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496.33873798282525</v>
      </c>
      <c r="BJ174" s="62">
        <f t="shared" si="146"/>
        <v>280.25465074992246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1.7053025658242404E-13</v>
      </c>
      <c r="BZ174" s="14">
        <f>BY174*VLOOKUP('Données projet'!$B$12,Paramètres!$A$1:$I$89,3,0)*VLOOKUP('Données projet'!$B$12,Paramètres!$A$1:$I$89,5,0)</f>
        <v>1.4897523215040567E-13</v>
      </c>
      <c r="CA174" s="14">
        <f t="shared" si="170"/>
        <v>2.136562777003313E-12</v>
      </c>
      <c r="CB174" s="22">
        <f t="shared" si="171"/>
        <v>3.9806453659427267E-12</v>
      </c>
      <c r="CC174" s="62">
        <f t="shared" si="119"/>
        <v>288.73516144466549</v>
      </c>
      <c r="CD174" s="62">
        <f ca="1">AVERAGE(OFFSET($CC$3,0,0,'Données projet'!$E$12+1,1))-AVERAGE(OFFSET($H$3,0,0,'Données projet'!$E$12+1,1))</f>
        <v>298.28891728374822</v>
      </c>
      <c r="CE174" s="62">
        <f t="shared" si="148"/>
        <v>275.07405533331371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1.1368683772161603E-13</v>
      </c>
      <c r="CU174" s="18">
        <f>CT174*VLOOKUP('Données projet'!$B$13,Paramètres!$A$1:$I$89,3,0)*VLOOKUP('Données projet'!$B$13,Paramètres!$A$1:$I$89,5,0)</f>
        <v>6.7984728957526396E-14</v>
      </c>
      <c r="CV174" s="14">
        <f t="shared" si="173"/>
        <v>1.0682447123141398E-12</v>
      </c>
      <c r="CW174" s="22">
        <f t="shared" si="174"/>
        <v>1.978932943548152E-12</v>
      </c>
      <c r="CX174" s="62">
        <f t="shared" si="122"/>
        <v>288.7351614446635</v>
      </c>
      <c r="CY174" s="62">
        <f ca="1">AVERAGE(OFFSET($CX$3,0,0,'Données projet'!$E$13+1,1))-AVERAGE(OFFSET($H$3,0,0,'Données projet'!$E$13+1,1))</f>
        <v>320.46614113586043</v>
      </c>
      <c r="CZ174" s="62">
        <f t="shared" si="150"/>
        <v>250.7806929924491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0</v>
      </c>
      <c r="DG174" s="23">
        <f>EXP(-LN(2)/25)*DG173+(1-EXP(-LN(2)/25))/(LN(2)/25)*Calculateur!DB174*Calculateur!DD174*VLOOKUP('Données projet'!$B$13,Paramètres!$A$1:$I$89,3,0)*0.475*44/12</f>
        <v>0</v>
      </c>
      <c r="DH174" s="23">
        <f>EXP(-LN(2)/2)*DH173+(1-EXP(-LN(2)/2))/(LN(2)/2)*DB174*DE174*VLOOKUP('Données projet'!$B$13,Paramètres!$A$1:$I$89,3,0)*0.475*44/12</f>
        <v>5.6774074662608327E-21</v>
      </c>
      <c r="DI174" s="24">
        <f t="shared" si="175"/>
        <v>5.6774074662608327E-21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-1.1368683772161603E-13</v>
      </c>
      <c r="DP174" s="18">
        <f>DO174*VLOOKUP('Données projet'!$B$14,Paramètres!$A$1:$I$89,3,0)*VLOOKUP('Données projet'!$B$14,Paramètres!$A$1:$I$89,5,0)</f>
        <v>-5.3205440053716299E-14</v>
      </c>
      <c r="DQ174" s="14" t="e">
        <f t="shared" si="176"/>
        <v>#NUM!</v>
      </c>
      <c r="DR174" s="22" t="e">
        <f t="shared" si="177"/>
        <v>#NUM!</v>
      </c>
      <c r="DS174" s="62" t="e">
        <f t="shared" si="125"/>
        <v>#NUM!</v>
      </c>
      <c r="DT174" s="62">
        <f ca="1">AVERAGE(OFFSET($DS$3,0,0,'Données projet'!$E$14+1,1))-AVERAGE(OFFSET($H$3,0,0,'Données projet'!$E$14+1,1))</f>
        <v>429.87867712133851</v>
      </c>
      <c r="DU174" s="62">
        <f t="shared" si="152"/>
        <v>182.81277865988014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0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0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1.1368683772161603E-13</v>
      </c>
      <c r="EK174" s="18">
        <f>EJ174*VLOOKUP('Données projet'!$B$15,Paramètres!$A$1:$I$89,3,0)*VLOOKUP('Données projet'!$B$15,Paramètres!$A$1:$I$89,5,0)</f>
        <v>7.626113074366004E-14</v>
      </c>
      <c r="EL174" s="14">
        <f t="shared" si="179"/>
        <v>1.1823749172251317E-12</v>
      </c>
      <c r="EM174" s="22">
        <f t="shared" si="180"/>
        <v>2.1921244502123119E-12</v>
      </c>
      <c r="EN174" s="62">
        <f t="shared" si="128"/>
        <v>288.73516144466373</v>
      </c>
      <c r="EO174" s="62">
        <f ca="1">AVERAGE(OFFSET($EN$3,0,0,'Données projet'!$E$15+1,1))-AVERAGE(OFFSET($H$3,0,0,'Données projet'!$E$15+1,1))</f>
        <v>296.18088377871669</v>
      </c>
      <c r="EP174" s="62">
        <f t="shared" si="154"/>
        <v>252.23833925792056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0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0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1.1368683772161603E-13</v>
      </c>
      <c r="FF174" s="18">
        <f>FE174*VLOOKUP('Données projet'!$B$16,Paramètres!$A$1:$I$89,3,0)*VLOOKUP('Données projet'!$B$16,Paramètres!$A$1:$I$89,5,0)</f>
        <v>9.7543306765146564E-14</v>
      </c>
      <c r="FG174" s="14">
        <f t="shared" si="182"/>
        <v>1.4696264278629426E-12</v>
      </c>
      <c r="FH174" s="22">
        <f t="shared" si="183"/>
        <v>2.7294872878105889E-12</v>
      </c>
      <c r="FI174" s="62">
        <f t="shared" si="131"/>
        <v>288.73516144466424</v>
      </c>
      <c r="FJ174" s="62">
        <f ca="1">AVERAGE(OFFSET($FI$3,0,0,'Données projet'!$E$16+1,1))-AVERAGE(OFFSET($H$3,0,0,'Données projet'!$E$16+1,1))</f>
        <v>359.20464555327072</v>
      </c>
      <c r="FK174" s="62">
        <f t="shared" si="156"/>
        <v>305.54154052071863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0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0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-9.6633812063373625E-13</v>
      </c>
      <c r="O175" s="14">
        <f>N175*VLOOKUP('Données projet'!$B$9,Paramètres!$A$1:$I$89,3,0)*VLOOKUP('Données projet'!$B$9,Paramètres!$A$1:$I$89,5,0)</f>
        <v>-9.7986685432260874E-13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516.30971934066179</v>
      </c>
      <c r="T175" s="62">
        <f t="shared" si="142"/>
        <v>290.84286505723571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-9.6633812063373625E-13</v>
      </c>
      <c r="AJ175" s="14">
        <f>AI175*VLOOKUP('Données projet'!$B$10,Paramètres!$A$1:$I$89,3,0)*VLOOKUP('Données projet'!$B$10,Paramètres!$A$1:$I$89,5,0)</f>
        <v>-1.0401663530501537E-12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542.90832990875208</v>
      </c>
      <c r="AO175" s="62">
        <f t="shared" si="144"/>
        <v>304.94365539329362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-9.6633812063373625E-13</v>
      </c>
      <c r="BE175" s="14">
        <f>BD175*VLOOKUP('Données projet'!$B$11,Paramètres!$A$1:$I$89,3,0)*VLOOKUP('Données projet'!$B$11,Paramètres!$A$1:$I$89,5,0)</f>
        <v>-9.3464223027694966E-13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496.33873798282525</v>
      </c>
      <c r="BJ175" s="62">
        <f t="shared" si="146"/>
        <v>280.25465074992246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1.7053025658242404E-13</v>
      </c>
      <c r="BZ175" s="14">
        <f>BY175*VLOOKUP('Données projet'!$B$12,Paramètres!$A$1:$I$89,3,0)*VLOOKUP('Données projet'!$B$12,Paramètres!$A$1:$I$89,5,0)</f>
        <v>1.4897523215040567E-13</v>
      </c>
      <c r="CA175" s="14">
        <f t="shared" si="170"/>
        <v>2.136562777003313E-12</v>
      </c>
      <c r="CB175" s="22">
        <f t="shared" si="171"/>
        <v>3.9806453659427267E-12</v>
      </c>
      <c r="CC175" s="62">
        <f t="shared" si="119"/>
        <v>288.81492944696163</v>
      </c>
      <c r="CD175" s="62">
        <f ca="1">AVERAGE(OFFSET($CC$3,0,0,'Données projet'!$E$12+1,1))-AVERAGE(OFFSET($H$3,0,0,'Données projet'!$E$12+1,1))</f>
        <v>298.28891728374822</v>
      </c>
      <c r="CE175" s="62">
        <f t="shared" si="148"/>
        <v>275.07405533331371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1.1368683772161603E-13</v>
      </c>
      <c r="CU175" s="18">
        <f>CT175*VLOOKUP('Données projet'!$B$13,Paramètres!$A$1:$I$89,3,0)*VLOOKUP('Données projet'!$B$13,Paramètres!$A$1:$I$89,5,0)</f>
        <v>6.7984728957526396E-14</v>
      </c>
      <c r="CV175" s="14">
        <f t="shared" si="173"/>
        <v>1.0682447123141398E-12</v>
      </c>
      <c r="CW175" s="22">
        <f t="shared" si="174"/>
        <v>1.978932943548152E-12</v>
      </c>
      <c r="CX175" s="62">
        <f t="shared" si="122"/>
        <v>288.81492944695964</v>
      </c>
      <c r="CY175" s="62">
        <f ca="1">AVERAGE(OFFSET($CX$3,0,0,'Données projet'!$E$13+1,1))-AVERAGE(OFFSET($H$3,0,0,'Données projet'!$E$13+1,1))</f>
        <v>320.46614113586043</v>
      </c>
      <c r="CZ175" s="62">
        <f t="shared" si="150"/>
        <v>250.7806929924491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0</v>
      </c>
      <c r="DG175" s="23">
        <f>EXP(-LN(2)/25)*DG174+(1-EXP(-LN(2)/25))/(LN(2)/25)*Calculateur!DB175*Calculateur!DD175*VLOOKUP('Données projet'!$B$13,Paramètres!$A$1:$I$89,3,0)*0.475*44/12</f>
        <v>0</v>
      </c>
      <c r="DH175" s="23">
        <f>EXP(-LN(2)/2)*DH174+(1-EXP(-LN(2)/2))/(LN(2)/2)*DB175*DE175*VLOOKUP('Données projet'!$B$13,Paramètres!$A$1:$I$89,3,0)*0.475*44/12</f>
        <v>4.0145333189521697E-21</v>
      </c>
      <c r="DI175" s="24">
        <f t="shared" si="175"/>
        <v>4.0145333189521697E-21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-1.1368683772161603E-13</v>
      </c>
      <c r="DP175" s="18">
        <f>DO175*VLOOKUP('Données projet'!$B$14,Paramètres!$A$1:$I$89,3,0)*VLOOKUP('Données projet'!$B$14,Paramètres!$A$1:$I$89,5,0)</f>
        <v>-5.3205440053716299E-14</v>
      </c>
      <c r="DQ175" s="14" t="e">
        <f t="shared" si="176"/>
        <v>#NUM!</v>
      </c>
      <c r="DR175" s="22" t="e">
        <f t="shared" si="177"/>
        <v>#NUM!</v>
      </c>
      <c r="DS175" s="62" t="e">
        <f t="shared" si="125"/>
        <v>#NUM!</v>
      </c>
      <c r="DT175" s="62">
        <f ca="1">AVERAGE(OFFSET($DS$3,0,0,'Données projet'!$E$14+1,1))-AVERAGE(OFFSET($H$3,0,0,'Données projet'!$E$14+1,1))</f>
        <v>429.87867712133851</v>
      </c>
      <c r="DU175" s="62">
        <f t="shared" si="152"/>
        <v>182.81277865988014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0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0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1.1368683772161603E-13</v>
      </c>
      <c r="EK175" s="18">
        <f>EJ175*VLOOKUP('Données projet'!$B$15,Paramètres!$A$1:$I$89,3,0)*VLOOKUP('Données projet'!$B$15,Paramètres!$A$1:$I$89,5,0)</f>
        <v>7.626113074366004E-14</v>
      </c>
      <c r="EL175" s="14">
        <f t="shared" si="179"/>
        <v>1.1823749172251317E-12</v>
      </c>
      <c r="EM175" s="22">
        <f t="shared" si="180"/>
        <v>2.1921244502123119E-12</v>
      </c>
      <c r="EN175" s="62">
        <f t="shared" si="128"/>
        <v>288.81492944695987</v>
      </c>
      <c r="EO175" s="62">
        <f ca="1">AVERAGE(OFFSET($EN$3,0,0,'Données projet'!$E$15+1,1))-AVERAGE(OFFSET($H$3,0,0,'Données projet'!$E$15+1,1))</f>
        <v>296.18088377871669</v>
      </c>
      <c r="EP175" s="62">
        <f t="shared" si="154"/>
        <v>252.23833925792056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0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0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1.1368683772161603E-13</v>
      </c>
      <c r="FF175" s="18">
        <f>FE175*VLOOKUP('Données projet'!$B$16,Paramètres!$A$1:$I$89,3,0)*VLOOKUP('Données projet'!$B$16,Paramètres!$A$1:$I$89,5,0)</f>
        <v>9.7543306765146564E-14</v>
      </c>
      <c r="FG175" s="14">
        <f t="shared" si="182"/>
        <v>1.4696264278629426E-12</v>
      </c>
      <c r="FH175" s="22">
        <f t="shared" si="183"/>
        <v>2.7294872878105889E-12</v>
      </c>
      <c r="FI175" s="62">
        <f t="shared" si="131"/>
        <v>288.81492944696038</v>
      </c>
      <c r="FJ175" s="62">
        <f ca="1">AVERAGE(OFFSET($FI$3,0,0,'Données projet'!$E$16+1,1))-AVERAGE(OFFSET($H$3,0,0,'Données projet'!$E$16+1,1))</f>
        <v>359.20464555327072</v>
      </c>
      <c r="FK175" s="62">
        <f t="shared" si="156"/>
        <v>305.54154052071863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0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0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-9.6633812063373625E-13</v>
      </c>
      <c r="O176" s="14">
        <f>N176*VLOOKUP('Données projet'!$B$9,Paramètres!$A$1:$I$89,3,0)*VLOOKUP('Données projet'!$B$9,Paramètres!$A$1:$I$89,5,0)</f>
        <v>-9.7986685432260874E-13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516.30971934066179</v>
      </c>
      <c r="T176" s="62">
        <f t="shared" si="142"/>
        <v>290.84286505723571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-9.6633812063373625E-13</v>
      </c>
      <c r="AJ176" s="14">
        <f>AI176*VLOOKUP('Données projet'!$B$10,Paramètres!$A$1:$I$89,3,0)*VLOOKUP('Données projet'!$B$10,Paramètres!$A$1:$I$89,5,0)</f>
        <v>-1.0401663530501537E-12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542.90832990875208</v>
      </c>
      <c r="AO176" s="62">
        <f t="shared" si="144"/>
        <v>304.94365539329362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-9.6633812063373625E-13</v>
      </c>
      <c r="BE176" s="14">
        <f>BD176*VLOOKUP('Données projet'!$B$11,Paramètres!$A$1:$I$89,3,0)*VLOOKUP('Données projet'!$B$11,Paramètres!$A$1:$I$89,5,0)</f>
        <v>-9.3464223027694966E-13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496.33873798282525</v>
      </c>
      <c r="BJ176" s="62">
        <f t="shared" si="146"/>
        <v>280.25465074992246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1.7053025658242404E-13</v>
      </c>
      <c r="BZ176" s="14">
        <f>BY176*VLOOKUP('Données projet'!$B$12,Paramètres!$A$1:$I$89,3,0)*VLOOKUP('Données projet'!$B$12,Paramètres!$A$1:$I$89,5,0)</f>
        <v>1.4897523215040567E-13</v>
      </c>
      <c r="CA176" s="14">
        <f t="shared" si="170"/>
        <v>2.136562777003313E-12</v>
      </c>
      <c r="CB176" s="22">
        <f t="shared" si="171"/>
        <v>3.9806453659427267E-12</v>
      </c>
      <c r="CC176" s="62">
        <f t="shared" si="119"/>
        <v>288.89331365275245</v>
      </c>
      <c r="CD176" s="62">
        <f ca="1">AVERAGE(OFFSET($CC$3,0,0,'Données projet'!$E$12+1,1))-AVERAGE(OFFSET($H$3,0,0,'Données projet'!$E$12+1,1))</f>
        <v>298.28891728374822</v>
      </c>
      <c r="CE176" s="62">
        <f t="shared" si="148"/>
        <v>275.07405533331371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1.1368683772161603E-13</v>
      </c>
      <c r="CU176" s="18">
        <f>CT176*VLOOKUP('Données projet'!$B$13,Paramètres!$A$1:$I$89,3,0)*VLOOKUP('Données projet'!$B$13,Paramètres!$A$1:$I$89,5,0)</f>
        <v>6.7984728957526396E-14</v>
      </c>
      <c r="CV176" s="14">
        <f t="shared" si="173"/>
        <v>1.0682447123141398E-12</v>
      </c>
      <c r="CW176" s="22">
        <f t="shared" si="174"/>
        <v>1.978932943548152E-12</v>
      </c>
      <c r="CX176" s="62">
        <f t="shared" si="122"/>
        <v>288.89331365275046</v>
      </c>
      <c r="CY176" s="62">
        <f ca="1">AVERAGE(OFFSET($CX$3,0,0,'Données projet'!$E$13+1,1))-AVERAGE(OFFSET($H$3,0,0,'Données projet'!$E$13+1,1))</f>
        <v>320.46614113586043</v>
      </c>
      <c r="CZ176" s="62">
        <f t="shared" si="150"/>
        <v>250.7806929924491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0</v>
      </c>
      <c r="DG176" s="23">
        <f>EXP(-LN(2)/25)*DG175+(1-EXP(-LN(2)/25))/(LN(2)/25)*Calculateur!DB176*Calculateur!DD176*VLOOKUP('Données projet'!$B$13,Paramètres!$A$1:$I$89,3,0)*0.475*44/12</f>
        <v>0</v>
      </c>
      <c r="DH176" s="23">
        <f>EXP(-LN(2)/2)*DH175+(1-EXP(-LN(2)/2))/(LN(2)/2)*DB176*DE176*VLOOKUP('Données projet'!$B$13,Paramètres!$A$1:$I$89,3,0)*0.475*44/12</f>
        <v>2.8387037331304163E-21</v>
      </c>
      <c r="DI176" s="24">
        <f t="shared" si="175"/>
        <v>2.8387037331304163E-21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-1.1368683772161603E-13</v>
      </c>
      <c r="DP176" s="18">
        <f>DO176*VLOOKUP('Données projet'!$B$14,Paramètres!$A$1:$I$89,3,0)*VLOOKUP('Données projet'!$B$14,Paramètres!$A$1:$I$89,5,0)</f>
        <v>-5.3205440053716299E-14</v>
      </c>
      <c r="DQ176" s="14" t="e">
        <f t="shared" si="176"/>
        <v>#NUM!</v>
      </c>
      <c r="DR176" s="22" t="e">
        <f t="shared" si="177"/>
        <v>#NUM!</v>
      </c>
      <c r="DS176" s="62" t="e">
        <f t="shared" si="125"/>
        <v>#NUM!</v>
      </c>
      <c r="DT176" s="62">
        <f ca="1">AVERAGE(OFFSET($DS$3,0,0,'Données projet'!$E$14+1,1))-AVERAGE(OFFSET($H$3,0,0,'Données projet'!$E$14+1,1))</f>
        <v>429.87867712133851</v>
      </c>
      <c r="DU176" s="62">
        <f t="shared" si="152"/>
        <v>182.81277865988014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0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0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1.1368683772161603E-13</v>
      </c>
      <c r="EK176" s="18">
        <f>EJ176*VLOOKUP('Données projet'!$B$15,Paramètres!$A$1:$I$89,3,0)*VLOOKUP('Données projet'!$B$15,Paramètres!$A$1:$I$89,5,0)</f>
        <v>7.626113074366004E-14</v>
      </c>
      <c r="EL176" s="14">
        <f t="shared" si="179"/>
        <v>1.1823749172251317E-12</v>
      </c>
      <c r="EM176" s="22">
        <f t="shared" si="180"/>
        <v>2.1921244502123119E-12</v>
      </c>
      <c r="EN176" s="62">
        <f t="shared" si="128"/>
        <v>288.89331365275069</v>
      </c>
      <c r="EO176" s="62">
        <f ca="1">AVERAGE(OFFSET($EN$3,0,0,'Données projet'!$E$15+1,1))-AVERAGE(OFFSET($H$3,0,0,'Données projet'!$E$15+1,1))</f>
        <v>296.18088377871669</v>
      </c>
      <c r="EP176" s="62">
        <f t="shared" si="154"/>
        <v>252.23833925792056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0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0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1.1368683772161603E-13</v>
      </c>
      <c r="FF176" s="18">
        <f>FE176*VLOOKUP('Données projet'!$B$16,Paramètres!$A$1:$I$89,3,0)*VLOOKUP('Données projet'!$B$16,Paramètres!$A$1:$I$89,5,0)</f>
        <v>9.7543306765146564E-14</v>
      </c>
      <c r="FG176" s="14">
        <f t="shared" si="182"/>
        <v>1.4696264278629426E-12</v>
      </c>
      <c r="FH176" s="22">
        <f t="shared" si="183"/>
        <v>2.7294872878105889E-12</v>
      </c>
      <c r="FI176" s="62">
        <f t="shared" si="131"/>
        <v>288.8933136527512</v>
      </c>
      <c r="FJ176" s="62">
        <f ca="1">AVERAGE(OFFSET($FI$3,0,0,'Données projet'!$E$16+1,1))-AVERAGE(OFFSET($H$3,0,0,'Données projet'!$E$16+1,1))</f>
        <v>359.20464555327072</v>
      </c>
      <c r="FK176" s="62">
        <f t="shared" si="156"/>
        <v>305.54154052071863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0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0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-9.6633812063373625E-13</v>
      </c>
      <c r="O177" s="14">
        <f>N177*VLOOKUP('Données projet'!$B$9,Paramètres!$A$1:$I$89,3,0)*VLOOKUP('Données projet'!$B$9,Paramètres!$A$1:$I$89,5,0)</f>
        <v>-9.7986685432260874E-13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516.30971934066179</v>
      </c>
      <c r="T177" s="62">
        <f t="shared" si="142"/>
        <v>290.84286505723571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-9.6633812063373625E-13</v>
      </c>
      <c r="AJ177" s="14">
        <f>AI177*VLOOKUP('Données projet'!$B$10,Paramètres!$A$1:$I$89,3,0)*VLOOKUP('Données projet'!$B$10,Paramètres!$A$1:$I$89,5,0)</f>
        <v>-1.0401663530501537E-12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542.90832990875208</v>
      </c>
      <c r="AO177" s="62">
        <f t="shared" si="144"/>
        <v>304.94365539329362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-9.6633812063373625E-13</v>
      </c>
      <c r="BE177" s="14">
        <f>BD177*VLOOKUP('Données projet'!$B$11,Paramètres!$A$1:$I$89,3,0)*VLOOKUP('Données projet'!$B$11,Paramètres!$A$1:$I$89,5,0)</f>
        <v>-9.3464223027694966E-13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496.33873798282525</v>
      </c>
      <c r="BJ177" s="62">
        <f t="shared" si="146"/>
        <v>280.25465074992246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1.7053025658242404E-13</v>
      </c>
      <c r="BZ177" s="14">
        <f>BY177*VLOOKUP('Données projet'!$B$12,Paramètres!$A$1:$I$89,3,0)*VLOOKUP('Données projet'!$B$12,Paramètres!$A$1:$I$89,5,0)</f>
        <v>1.4897523215040567E-13</v>
      </c>
      <c r="CA177" s="14">
        <f t="shared" si="170"/>
        <v>2.136562777003313E-12</v>
      </c>
      <c r="CB177" s="22">
        <f t="shared" si="171"/>
        <v>3.9806453659427267E-12</v>
      </c>
      <c r="CC177" s="62">
        <f t="shared" si="119"/>
        <v>288.97033806781371</v>
      </c>
      <c r="CD177" s="62">
        <f ca="1">AVERAGE(OFFSET($CC$3,0,0,'Données projet'!$E$12+1,1))-AVERAGE(OFFSET($H$3,0,0,'Données projet'!$E$12+1,1))</f>
        <v>298.28891728374822</v>
      </c>
      <c r="CE177" s="62">
        <f t="shared" si="148"/>
        <v>275.07405533331371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1.1368683772161603E-13</v>
      </c>
      <c r="CU177" s="18">
        <f>CT177*VLOOKUP('Données projet'!$B$13,Paramètres!$A$1:$I$89,3,0)*VLOOKUP('Données projet'!$B$13,Paramètres!$A$1:$I$89,5,0)</f>
        <v>6.7984728957526396E-14</v>
      </c>
      <c r="CV177" s="14">
        <f t="shared" si="173"/>
        <v>1.0682447123141398E-12</v>
      </c>
      <c r="CW177" s="22">
        <f t="shared" si="174"/>
        <v>1.978932943548152E-12</v>
      </c>
      <c r="CX177" s="62">
        <f t="shared" si="122"/>
        <v>288.97033806781172</v>
      </c>
      <c r="CY177" s="62">
        <f ca="1">AVERAGE(OFFSET($CX$3,0,0,'Données projet'!$E$13+1,1))-AVERAGE(OFFSET($H$3,0,0,'Données projet'!$E$13+1,1))</f>
        <v>320.46614113586043</v>
      </c>
      <c r="CZ177" s="62">
        <f t="shared" si="150"/>
        <v>250.7806929924491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0</v>
      </c>
      <c r="DG177" s="23">
        <f>EXP(-LN(2)/25)*DG176+(1-EXP(-LN(2)/25))/(LN(2)/25)*Calculateur!DB177*Calculateur!DD177*VLOOKUP('Données projet'!$B$13,Paramètres!$A$1:$I$89,3,0)*0.475*44/12</f>
        <v>0</v>
      </c>
      <c r="DH177" s="23">
        <f>EXP(-LN(2)/2)*DH176+(1-EXP(-LN(2)/2))/(LN(2)/2)*DB177*DE177*VLOOKUP('Données projet'!$B$13,Paramètres!$A$1:$I$89,3,0)*0.475*44/12</f>
        <v>2.0072666594760849E-21</v>
      </c>
      <c r="DI177" s="24">
        <f t="shared" si="175"/>
        <v>2.0072666594760849E-21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-1.1368683772161603E-13</v>
      </c>
      <c r="DP177" s="18">
        <f>DO177*VLOOKUP('Données projet'!$B$14,Paramètres!$A$1:$I$89,3,0)*VLOOKUP('Données projet'!$B$14,Paramètres!$A$1:$I$89,5,0)</f>
        <v>-5.3205440053716299E-14</v>
      </c>
      <c r="DQ177" s="14" t="e">
        <f t="shared" si="176"/>
        <v>#NUM!</v>
      </c>
      <c r="DR177" s="22" t="e">
        <f t="shared" si="177"/>
        <v>#NUM!</v>
      </c>
      <c r="DS177" s="62" t="e">
        <f t="shared" si="125"/>
        <v>#NUM!</v>
      </c>
      <c r="DT177" s="62">
        <f ca="1">AVERAGE(OFFSET($DS$3,0,0,'Données projet'!$E$14+1,1))-AVERAGE(OFFSET($H$3,0,0,'Données projet'!$E$14+1,1))</f>
        <v>429.87867712133851</v>
      </c>
      <c r="DU177" s="62">
        <f t="shared" si="152"/>
        <v>182.81277865988014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0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0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1.1368683772161603E-13</v>
      </c>
      <c r="EK177" s="18">
        <f>EJ177*VLOOKUP('Données projet'!$B$15,Paramètres!$A$1:$I$89,3,0)*VLOOKUP('Données projet'!$B$15,Paramètres!$A$1:$I$89,5,0)</f>
        <v>7.626113074366004E-14</v>
      </c>
      <c r="EL177" s="14">
        <f t="shared" si="179"/>
        <v>1.1823749172251317E-12</v>
      </c>
      <c r="EM177" s="22">
        <f t="shared" si="180"/>
        <v>2.1921244502123119E-12</v>
      </c>
      <c r="EN177" s="62">
        <f t="shared" si="128"/>
        <v>288.97033806781195</v>
      </c>
      <c r="EO177" s="62">
        <f ca="1">AVERAGE(OFFSET($EN$3,0,0,'Données projet'!$E$15+1,1))-AVERAGE(OFFSET($H$3,0,0,'Données projet'!$E$15+1,1))</f>
        <v>296.18088377871669</v>
      </c>
      <c r="EP177" s="62">
        <f t="shared" si="154"/>
        <v>252.23833925792056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0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0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1.1368683772161603E-13</v>
      </c>
      <c r="FF177" s="18">
        <f>FE177*VLOOKUP('Données projet'!$B$16,Paramètres!$A$1:$I$89,3,0)*VLOOKUP('Données projet'!$B$16,Paramètres!$A$1:$I$89,5,0)</f>
        <v>9.7543306765146564E-14</v>
      </c>
      <c r="FG177" s="14">
        <f t="shared" si="182"/>
        <v>1.4696264278629426E-12</v>
      </c>
      <c r="FH177" s="22">
        <f t="shared" si="183"/>
        <v>2.7294872878105889E-12</v>
      </c>
      <c r="FI177" s="62">
        <f t="shared" si="131"/>
        <v>288.97033806781246</v>
      </c>
      <c r="FJ177" s="62">
        <f ca="1">AVERAGE(OFFSET($FI$3,0,0,'Données projet'!$E$16+1,1))-AVERAGE(OFFSET($H$3,0,0,'Données projet'!$E$16+1,1))</f>
        <v>359.20464555327072</v>
      </c>
      <c r="FK177" s="62">
        <f t="shared" si="156"/>
        <v>305.54154052071863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0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0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-9.6633812063373625E-13</v>
      </c>
      <c r="O178" s="14">
        <f>N178*VLOOKUP('Données projet'!$B$9,Paramètres!$A$1:$I$89,3,0)*VLOOKUP('Données projet'!$B$9,Paramètres!$A$1:$I$89,5,0)</f>
        <v>-9.7986685432260874E-13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516.30971934066179</v>
      </c>
      <c r="T178" s="62">
        <f t="shared" si="142"/>
        <v>290.84286505723571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-9.6633812063373625E-13</v>
      </c>
      <c r="AJ178" s="14">
        <f>AI178*VLOOKUP('Données projet'!$B$10,Paramètres!$A$1:$I$89,3,0)*VLOOKUP('Données projet'!$B$10,Paramètres!$A$1:$I$89,5,0)</f>
        <v>-1.0401663530501537E-12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542.90832990875208</v>
      </c>
      <c r="AO178" s="62">
        <f t="shared" si="144"/>
        <v>304.94365539329362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-9.6633812063373625E-13</v>
      </c>
      <c r="BE178" s="14">
        <f>BD178*VLOOKUP('Données projet'!$B$11,Paramètres!$A$1:$I$89,3,0)*VLOOKUP('Données projet'!$B$11,Paramètres!$A$1:$I$89,5,0)</f>
        <v>-9.3464223027694966E-13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496.33873798282525</v>
      </c>
      <c r="BJ178" s="62">
        <f t="shared" si="146"/>
        <v>280.25465074992246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1.7053025658242404E-13</v>
      </c>
      <c r="BZ178" s="14">
        <f>BY178*VLOOKUP('Données projet'!$B$12,Paramètres!$A$1:$I$89,3,0)*VLOOKUP('Données projet'!$B$12,Paramètres!$A$1:$I$89,5,0)</f>
        <v>1.4897523215040567E-13</v>
      </c>
      <c r="CA178" s="14">
        <f t="shared" si="170"/>
        <v>2.136562777003313E-12</v>
      </c>
      <c r="CB178" s="22">
        <f t="shared" si="171"/>
        <v>3.9806453659427267E-12</v>
      </c>
      <c r="CC178" s="62">
        <f t="shared" si="119"/>
        <v>289.04602628147438</v>
      </c>
      <c r="CD178" s="62">
        <f ca="1">AVERAGE(OFFSET($CC$3,0,0,'Données projet'!$E$12+1,1))-AVERAGE(OFFSET($H$3,0,0,'Données projet'!$E$12+1,1))</f>
        <v>298.28891728374822</v>
      </c>
      <c r="CE178" s="62">
        <f t="shared" si="148"/>
        <v>275.07405533331371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1.1368683772161603E-13</v>
      </c>
      <c r="CU178" s="18">
        <f>CT178*VLOOKUP('Données projet'!$B$13,Paramètres!$A$1:$I$89,3,0)*VLOOKUP('Données projet'!$B$13,Paramètres!$A$1:$I$89,5,0)</f>
        <v>6.7984728957526396E-14</v>
      </c>
      <c r="CV178" s="14">
        <f t="shared" si="173"/>
        <v>1.0682447123141398E-12</v>
      </c>
      <c r="CW178" s="22">
        <f t="shared" si="174"/>
        <v>1.978932943548152E-12</v>
      </c>
      <c r="CX178" s="62">
        <f t="shared" si="122"/>
        <v>289.04602628147239</v>
      </c>
      <c r="CY178" s="62">
        <f ca="1">AVERAGE(OFFSET($CX$3,0,0,'Données projet'!$E$13+1,1))-AVERAGE(OFFSET($H$3,0,0,'Données projet'!$E$13+1,1))</f>
        <v>320.46614113586043</v>
      </c>
      <c r="CZ178" s="62">
        <f t="shared" si="150"/>
        <v>250.7806929924491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0</v>
      </c>
      <c r="DG178" s="23">
        <f>EXP(-LN(2)/25)*DG177+(1-EXP(-LN(2)/25))/(LN(2)/25)*Calculateur!DB178*Calculateur!DD178*VLOOKUP('Données projet'!$B$13,Paramètres!$A$1:$I$89,3,0)*0.475*44/12</f>
        <v>0</v>
      </c>
      <c r="DH178" s="23">
        <f>EXP(-LN(2)/2)*DH177+(1-EXP(-LN(2)/2))/(LN(2)/2)*DB178*DE178*VLOOKUP('Données projet'!$B$13,Paramètres!$A$1:$I$89,3,0)*0.475*44/12</f>
        <v>1.4193518665652082E-21</v>
      </c>
      <c r="DI178" s="24">
        <f t="shared" si="175"/>
        <v>1.4193518665652082E-21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-1.1368683772161603E-13</v>
      </c>
      <c r="DP178" s="18">
        <f>DO178*VLOOKUP('Données projet'!$B$14,Paramètres!$A$1:$I$89,3,0)*VLOOKUP('Données projet'!$B$14,Paramètres!$A$1:$I$89,5,0)</f>
        <v>-5.3205440053716299E-14</v>
      </c>
      <c r="DQ178" s="14" t="e">
        <f t="shared" si="176"/>
        <v>#NUM!</v>
      </c>
      <c r="DR178" s="22" t="e">
        <f t="shared" si="177"/>
        <v>#NUM!</v>
      </c>
      <c r="DS178" s="62" t="e">
        <f t="shared" si="125"/>
        <v>#NUM!</v>
      </c>
      <c r="DT178" s="62">
        <f ca="1">AVERAGE(OFFSET($DS$3,0,0,'Données projet'!$E$14+1,1))-AVERAGE(OFFSET($H$3,0,0,'Données projet'!$E$14+1,1))</f>
        <v>429.87867712133851</v>
      </c>
      <c r="DU178" s="62">
        <f t="shared" si="152"/>
        <v>182.81277865988014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0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0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1.1368683772161603E-13</v>
      </c>
      <c r="EK178" s="18">
        <f>EJ178*VLOOKUP('Données projet'!$B$15,Paramètres!$A$1:$I$89,3,0)*VLOOKUP('Données projet'!$B$15,Paramètres!$A$1:$I$89,5,0)</f>
        <v>7.626113074366004E-14</v>
      </c>
      <c r="EL178" s="14">
        <f t="shared" si="179"/>
        <v>1.1823749172251317E-12</v>
      </c>
      <c r="EM178" s="22">
        <f t="shared" si="180"/>
        <v>2.1921244502123119E-12</v>
      </c>
      <c r="EN178" s="62">
        <f t="shared" si="128"/>
        <v>289.04602628147262</v>
      </c>
      <c r="EO178" s="62">
        <f ca="1">AVERAGE(OFFSET($EN$3,0,0,'Données projet'!$E$15+1,1))-AVERAGE(OFFSET($H$3,0,0,'Données projet'!$E$15+1,1))</f>
        <v>296.18088377871669</v>
      </c>
      <c r="EP178" s="62">
        <f t="shared" si="154"/>
        <v>252.23833925792056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0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0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1.1368683772161603E-13</v>
      </c>
      <c r="FF178" s="18">
        <f>FE178*VLOOKUP('Données projet'!$B$16,Paramètres!$A$1:$I$89,3,0)*VLOOKUP('Données projet'!$B$16,Paramètres!$A$1:$I$89,5,0)</f>
        <v>9.7543306765146564E-14</v>
      </c>
      <c r="FG178" s="14">
        <f t="shared" si="182"/>
        <v>1.4696264278629426E-12</v>
      </c>
      <c r="FH178" s="22">
        <f t="shared" si="183"/>
        <v>2.7294872878105889E-12</v>
      </c>
      <c r="FI178" s="62">
        <f t="shared" si="131"/>
        <v>289.04602628147313</v>
      </c>
      <c r="FJ178" s="62">
        <f ca="1">AVERAGE(OFFSET($FI$3,0,0,'Données projet'!$E$16+1,1))-AVERAGE(OFFSET($H$3,0,0,'Données projet'!$E$16+1,1))</f>
        <v>359.20464555327072</v>
      </c>
      <c r="FK178" s="62">
        <f t="shared" si="156"/>
        <v>305.54154052071863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0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0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-9.6633812063373625E-13</v>
      </c>
      <c r="O179" s="14">
        <f>N179*VLOOKUP('Données projet'!$B$9,Paramètres!$A$1:$I$89,3,0)*VLOOKUP('Données projet'!$B$9,Paramètres!$A$1:$I$89,5,0)</f>
        <v>-9.7986685432260874E-13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516.30971934066179</v>
      </c>
      <c r="T179" s="62">
        <f t="shared" si="142"/>
        <v>290.84286505723571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-9.6633812063373625E-13</v>
      </c>
      <c r="AJ179" s="14">
        <f>AI179*VLOOKUP('Données projet'!$B$10,Paramètres!$A$1:$I$89,3,0)*VLOOKUP('Données projet'!$B$10,Paramètres!$A$1:$I$89,5,0)</f>
        <v>-1.0401663530501537E-12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542.90832990875208</v>
      </c>
      <c r="AO179" s="62">
        <f t="shared" si="144"/>
        <v>304.94365539329362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-9.6633812063373625E-13</v>
      </c>
      <c r="BE179" s="14">
        <f>BD179*VLOOKUP('Données projet'!$B$11,Paramètres!$A$1:$I$89,3,0)*VLOOKUP('Données projet'!$B$11,Paramètres!$A$1:$I$89,5,0)</f>
        <v>-9.3464223027694966E-13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496.33873798282525</v>
      </c>
      <c r="BJ179" s="62">
        <f t="shared" si="146"/>
        <v>280.25465074992246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1.7053025658242404E-13</v>
      </c>
      <c r="BZ179" s="14">
        <f>BY179*VLOOKUP('Données projet'!$B$12,Paramètres!$A$1:$I$89,3,0)*VLOOKUP('Données projet'!$B$12,Paramètres!$A$1:$I$89,5,0)</f>
        <v>1.4897523215040567E-13</v>
      </c>
      <c r="CA179" s="14">
        <f t="shared" si="170"/>
        <v>2.136562777003313E-12</v>
      </c>
      <c r="CB179" s="22">
        <f t="shared" si="171"/>
        <v>3.9806453659427267E-12</v>
      </c>
      <c r="CC179" s="62">
        <f t="shared" si="119"/>
        <v>289.12040147384158</v>
      </c>
      <c r="CD179" s="62">
        <f ca="1">AVERAGE(OFFSET($CC$3,0,0,'Données projet'!$E$12+1,1))-AVERAGE(OFFSET($H$3,0,0,'Données projet'!$E$12+1,1))</f>
        <v>298.28891728374822</v>
      </c>
      <c r="CE179" s="62">
        <f t="shared" si="148"/>
        <v>275.07405533331371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1.1368683772161603E-13</v>
      </c>
      <c r="CU179" s="18">
        <f>CT179*VLOOKUP('Données projet'!$B$13,Paramètres!$A$1:$I$89,3,0)*VLOOKUP('Données projet'!$B$13,Paramètres!$A$1:$I$89,5,0)</f>
        <v>6.7984728957526396E-14</v>
      </c>
      <c r="CV179" s="14">
        <f t="shared" si="173"/>
        <v>1.0682447123141398E-12</v>
      </c>
      <c r="CW179" s="22">
        <f t="shared" si="174"/>
        <v>1.978932943548152E-12</v>
      </c>
      <c r="CX179" s="62">
        <f t="shared" si="122"/>
        <v>289.12040147383959</v>
      </c>
      <c r="CY179" s="62">
        <f ca="1">AVERAGE(OFFSET($CX$3,0,0,'Données projet'!$E$13+1,1))-AVERAGE(OFFSET($H$3,0,0,'Données projet'!$E$13+1,1))</f>
        <v>320.46614113586043</v>
      </c>
      <c r="CZ179" s="62">
        <f t="shared" si="150"/>
        <v>250.7806929924491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0</v>
      </c>
      <c r="DG179" s="23">
        <f>EXP(-LN(2)/25)*DG178+(1-EXP(-LN(2)/25))/(LN(2)/25)*Calculateur!DB179*Calculateur!DD179*VLOOKUP('Données projet'!$B$13,Paramètres!$A$1:$I$89,3,0)*0.475*44/12</f>
        <v>0</v>
      </c>
      <c r="DH179" s="23">
        <f>EXP(-LN(2)/2)*DH178+(1-EXP(-LN(2)/2))/(LN(2)/2)*DB179*DE179*VLOOKUP('Données projet'!$B$13,Paramètres!$A$1:$I$89,3,0)*0.475*44/12</f>
        <v>1.0036333297380424E-21</v>
      </c>
      <c r="DI179" s="24">
        <f t="shared" si="175"/>
        <v>1.0036333297380424E-21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-1.1368683772161603E-13</v>
      </c>
      <c r="DP179" s="18">
        <f>DO179*VLOOKUP('Données projet'!$B$14,Paramètres!$A$1:$I$89,3,0)*VLOOKUP('Données projet'!$B$14,Paramètres!$A$1:$I$89,5,0)</f>
        <v>-5.3205440053716299E-14</v>
      </c>
      <c r="DQ179" s="14" t="e">
        <f t="shared" si="176"/>
        <v>#NUM!</v>
      </c>
      <c r="DR179" s="22" t="e">
        <f t="shared" si="177"/>
        <v>#NUM!</v>
      </c>
      <c r="DS179" s="62" t="e">
        <f t="shared" si="125"/>
        <v>#NUM!</v>
      </c>
      <c r="DT179" s="62">
        <f ca="1">AVERAGE(OFFSET($DS$3,0,0,'Données projet'!$E$14+1,1))-AVERAGE(OFFSET($H$3,0,0,'Données projet'!$E$14+1,1))</f>
        <v>429.87867712133851</v>
      </c>
      <c r="DU179" s="62">
        <f t="shared" si="152"/>
        <v>182.81277865988014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0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0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1.1368683772161603E-13</v>
      </c>
      <c r="EK179" s="18">
        <f>EJ179*VLOOKUP('Données projet'!$B$15,Paramètres!$A$1:$I$89,3,0)*VLOOKUP('Données projet'!$B$15,Paramètres!$A$1:$I$89,5,0)</f>
        <v>7.626113074366004E-14</v>
      </c>
      <c r="EL179" s="14">
        <f t="shared" si="179"/>
        <v>1.1823749172251317E-12</v>
      </c>
      <c r="EM179" s="22">
        <f t="shared" si="180"/>
        <v>2.1921244502123119E-12</v>
      </c>
      <c r="EN179" s="62">
        <f t="shared" si="128"/>
        <v>289.12040147383982</v>
      </c>
      <c r="EO179" s="62">
        <f ca="1">AVERAGE(OFFSET($EN$3,0,0,'Données projet'!$E$15+1,1))-AVERAGE(OFFSET($H$3,0,0,'Données projet'!$E$15+1,1))</f>
        <v>296.18088377871669</v>
      </c>
      <c r="EP179" s="62">
        <f t="shared" si="154"/>
        <v>252.23833925792056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0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0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1.1368683772161603E-13</v>
      </c>
      <c r="FF179" s="18">
        <f>FE179*VLOOKUP('Données projet'!$B$16,Paramètres!$A$1:$I$89,3,0)*VLOOKUP('Données projet'!$B$16,Paramètres!$A$1:$I$89,5,0)</f>
        <v>9.7543306765146564E-14</v>
      </c>
      <c r="FG179" s="14">
        <f t="shared" si="182"/>
        <v>1.4696264278629426E-12</v>
      </c>
      <c r="FH179" s="22">
        <f t="shared" si="183"/>
        <v>2.7294872878105889E-12</v>
      </c>
      <c r="FI179" s="62">
        <f t="shared" si="131"/>
        <v>289.12040147384033</v>
      </c>
      <c r="FJ179" s="62">
        <f ca="1">AVERAGE(OFFSET($FI$3,0,0,'Données projet'!$E$16+1,1))-AVERAGE(OFFSET($H$3,0,0,'Données projet'!$E$16+1,1))</f>
        <v>359.20464555327072</v>
      </c>
      <c r="FK179" s="62">
        <f t="shared" si="156"/>
        <v>305.54154052071863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0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0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-9.6633812063373625E-13</v>
      </c>
      <c r="O180" s="14">
        <f>N180*VLOOKUP('Données projet'!$B$9,Paramètres!$A$1:$I$89,3,0)*VLOOKUP('Données projet'!$B$9,Paramètres!$A$1:$I$89,5,0)</f>
        <v>-9.7986685432260874E-13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516.30971934066179</v>
      </c>
      <c r="T180" s="62">
        <f t="shared" si="142"/>
        <v>290.84286505723571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-9.6633812063373625E-13</v>
      </c>
      <c r="AJ180" s="14">
        <f>AI180*VLOOKUP('Données projet'!$B$10,Paramètres!$A$1:$I$89,3,0)*VLOOKUP('Données projet'!$B$10,Paramètres!$A$1:$I$89,5,0)</f>
        <v>-1.0401663530501537E-12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542.90832990875208</v>
      </c>
      <c r="AO180" s="62">
        <f t="shared" si="144"/>
        <v>304.94365539329362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-9.6633812063373625E-13</v>
      </c>
      <c r="BE180" s="14">
        <f>BD180*VLOOKUP('Données projet'!$B$11,Paramètres!$A$1:$I$89,3,0)*VLOOKUP('Données projet'!$B$11,Paramètres!$A$1:$I$89,5,0)</f>
        <v>-9.3464223027694966E-13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496.33873798282525</v>
      </c>
      <c r="BJ180" s="62">
        <f t="shared" si="146"/>
        <v>280.25465074992246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1.7053025658242404E-13</v>
      </c>
      <c r="BZ180" s="14">
        <f>BY180*VLOOKUP('Données projet'!$B$12,Paramètres!$A$1:$I$89,3,0)*VLOOKUP('Données projet'!$B$12,Paramètres!$A$1:$I$89,5,0)</f>
        <v>1.4897523215040567E-13</v>
      </c>
      <c r="CA180" s="14">
        <f t="shared" si="170"/>
        <v>2.136562777003313E-12</v>
      </c>
      <c r="CB180" s="22">
        <f t="shared" si="171"/>
        <v>3.9806453659427267E-12</v>
      </c>
      <c r="CC180" s="62">
        <f t="shared" si="119"/>
        <v>289.19348642289924</v>
      </c>
      <c r="CD180" s="62">
        <f ca="1">AVERAGE(OFFSET($CC$3,0,0,'Données projet'!$E$12+1,1))-AVERAGE(OFFSET($H$3,0,0,'Données projet'!$E$12+1,1))</f>
        <v>298.28891728374822</v>
      </c>
      <c r="CE180" s="62">
        <f t="shared" si="148"/>
        <v>275.07405533331371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1.1368683772161603E-13</v>
      </c>
      <c r="CU180" s="18">
        <f>CT180*VLOOKUP('Données projet'!$B$13,Paramètres!$A$1:$I$89,3,0)*VLOOKUP('Données projet'!$B$13,Paramètres!$A$1:$I$89,5,0)</f>
        <v>6.7984728957526396E-14</v>
      </c>
      <c r="CV180" s="14">
        <f t="shared" si="173"/>
        <v>1.0682447123141398E-12</v>
      </c>
      <c r="CW180" s="22">
        <f t="shared" si="174"/>
        <v>1.978932943548152E-12</v>
      </c>
      <c r="CX180" s="62">
        <f t="shared" si="122"/>
        <v>289.19348642289725</v>
      </c>
      <c r="CY180" s="62">
        <f ca="1">AVERAGE(OFFSET($CX$3,0,0,'Données projet'!$E$13+1,1))-AVERAGE(OFFSET($H$3,0,0,'Données projet'!$E$13+1,1))</f>
        <v>320.46614113586043</v>
      </c>
      <c r="CZ180" s="62">
        <f t="shared" si="150"/>
        <v>250.7806929924491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0</v>
      </c>
      <c r="DG180" s="23">
        <f>EXP(-LN(2)/25)*DG179+(1-EXP(-LN(2)/25))/(LN(2)/25)*Calculateur!DB180*Calculateur!DD180*VLOOKUP('Données projet'!$B$13,Paramètres!$A$1:$I$89,3,0)*0.475*44/12</f>
        <v>0</v>
      </c>
      <c r="DH180" s="23">
        <f>EXP(-LN(2)/2)*DH179+(1-EXP(-LN(2)/2))/(LN(2)/2)*DB180*DE180*VLOOKUP('Données projet'!$B$13,Paramètres!$A$1:$I$89,3,0)*0.475*44/12</f>
        <v>7.0967593328260408E-22</v>
      </c>
      <c r="DI180" s="24">
        <f t="shared" si="175"/>
        <v>7.0967593328260408E-22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-1.1368683772161603E-13</v>
      </c>
      <c r="DP180" s="18">
        <f>DO180*VLOOKUP('Données projet'!$B$14,Paramètres!$A$1:$I$89,3,0)*VLOOKUP('Données projet'!$B$14,Paramètres!$A$1:$I$89,5,0)</f>
        <v>-5.3205440053716299E-14</v>
      </c>
      <c r="DQ180" s="14" t="e">
        <f t="shared" si="176"/>
        <v>#NUM!</v>
      </c>
      <c r="DR180" s="22" t="e">
        <f t="shared" si="177"/>
        <v>#NUM!</v>
      </c>
      <c r="DS180" s="62" t="e">
        <f t="shared" si="125"/>
        <v>#NUM!</v>
      </c>
      <c r="DT180" s="62">
        <f ca="1">AVERAGE(OFFSET($DS$3,0,0,'Données projet'!$E$14+1,1))-AVERAGE(OFFSET($H$3,0,0,'Données projet'!$E$14+1,1))</f>
        <v>429.87867712133851</v>
      </c>
      <c r="DU180" s="62">
        <f t="shared" si="152"/>
        <v>182.81277865988014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0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0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1.1368683772161603E-13</v>
      </c>
      <c r="EK180" s="18">
        <f>EJ180*VLOOKUP('Données projet'!$B$15,Paramètres!$A$1:$I$89,3,0)*VLOOKUP('Données projet'!$B$15,Paramètres!$A$1:$I$89,5,0)</f>
        <v>7.626113074366004E-14</v>
      </c>
      <c r="EL180" s="14">
        <f t="shared" si="179"/>
        <v>1.1823749172251317E-12</v>
      </c>
      <c r="EM180" s="22">
        <f t="shared" si="180"/>
        <v>2.1921244502123119E-12</v>
      </c>
      <c r="EN180" s="62">
        <f t="shared" si="128"/>
        <v>289.19348642289748</v>
      </c>
      <c r="EO180" s="62">
        <f ca="1">AVERAGE(OFFSET($EN$3,0,0,'Données projet'!$E$15+1,1))-AVERAGE(OFFSET($H$3,0,0,'Données projet'!$E$15+1,1))</f>
        <v>296.18088377871669</v>
      </c>
      <c r="EP180" s="62">
        <f t="shared" si="154"/>
        <v>252.23833925792056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0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0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1.1368683772161603E-13</v>
      </c>
      <c r="FF180" s="18">
        <f>FE180*VLOOKUP('Données projet'!$B$16,Paramètres!$A$1:$I$89,3,0)*VLOOKUP('Données projet'!$B$16,Paramètres!$A$1:$I$89,5,0)</f>
        <v>9.7543306765146564E-14</v>
      </c>
      <c r="FG180" s="14">
        <f t="shared" si="182"/>
        <v>1.4696264278629426E-12</v>
      </c>
      <c r="FH180" s="22">
        <f t="shared" si="183"/>
        <v>2.7294872878105889E-12</v>
      </c>
      <c r="FI180" s="62">
        <f t="shared" si="131"/>
        <v>289.19348642289799</v>
      </c>
      <c r="FJ180" s="62">
        <f ca="1">AVERAGE(OFFSET($FI$3,0,0,'Données projet'!$E$16+1,1))-AVERAGE(OFFSET($H$3,0,0,'Données projet'!$E$16+1,1))</f>
        <v>359.20464555327072</v>
      </c>
      <c r="FK180" s="62">
        <f t="shared" si="156"/>
        <v>305.54154052071863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0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0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-9.6633812063373625E-13</v>
      </c>
      <c r="O181" s="14">
        <f>N181*VLOOKUP('Données projet'!$B$9,Paramètres!$A$1:$I$89,3,0)*VLOOKUP('Données projet'!$B$9,Paramètres!$A$1:$I$89,5,0)</f>
        <v>-9.7986685432260874E-13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516.30971934066179</v>
      </c>
      <c r="T181" s="62">
        <f t="shared" si="142"/>
        <v>290.84286505723571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-9.6633812063373625E-13</v>
      </c>
      <c r="AJ181" s="14">
        <f>AI181*VLOOKUP('Données projet'!$B$10,Paramètres!$A$1:$I$89,3,0)*VLOOKUP('Données projet'!$B$10,Paramètres!$A$1:$I$89,5,0)</f>
        <v>-1.0401663530501537E-12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542.90832990875208</v>
      </c>
      <c r="AO181" s="62">
        <f t="shared" si="144"/>
        <v>304.94365539329362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-9.6633812063373625E-13</v>
      </c>
      <c r="BE181" s="14">
        <f>BD181*VLOOKUP('Données projet'!$B$11,Paramètres!$A$1:$I$89,3,0)*VLOOKUP('Données projet'!$B$11,Paramètres!$A$1:$I$89,5,0)</f>
        <v>-9.3464223027694966E-13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496.33873798282525</v>
      </c>
      <c r="BJ181" s="62">
        <f t="shared" si="146"/>
        <v>280.25465074992246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1.7053025658242404E-13</v>
      </c>
      <c r="BZ181" s="14">
        <f>BY181*VLOOKUP('Données projet'!$B$12,Paramètres!$A$1:$I$89,3,0)*VLOOKUP('Données projet'!$B$12,Paramètres!$A$1:$I$89,5,0)</f>
        <v>1.4897523215040567E-13</v>
      </c>
      <c r="CA181" s="14">
        <f t="shared" si="170"/>
        <v>2.136562777003313E-12</v>
      </c>
      <c r="CB181" s="22">
        <f t="shared" si="171"/>
        <v>3.9806453659427267E-12</v>
      </c>
      <c r="CC181" s="62">
        <f t="shared" si="119"/>
        <v>289.26530351148415</v>
      </c>
      <c r="CD181" s="62">
        <f ca="1">AVERAGE(OFFSET($CC$3,0,0,'Données projet'!$E$12+1,1))-AVERAGE(OFFSET($H$3,0,0,'Données projet'!$E$12+1,1))</f>
        <v>298.28891728374822</v>
      </c>
      <c r="CE181" s="62">
        <f t="shared" si="148"/>
        <v>275.07405533331371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1.1368683772161603E-13</v>
      </c>
      <c r="CU181" s="18">
        <f>CT181*VLOOKUP('Données projet'!$B$13,Paramètres!$A$1:$I$89,3,0)*VLOOKUP('Données projet'!$B$13,Paramètres!$A$1:$I$89,5,0)</f>
        <v>6.7984728957526396E-14</v>
      </c>
      <c r="CV181" s="14">
        <f t="shared" si="173"/>
        <v>1.0682447123141398E-12</v>
      </c>
      <c r="CW181" s="22">
        <f t="shared" si="174"/>
        <v>1.978932943548152E-12</v>
      </c>
      <c r="CX181" s="62">
        <f t="shared" si="122"/>
        <v>289.26530351148216</v>
      </c>
      <c r="CY181" s="62">
        <f ca="1">AVERAGE(OFFSET($CX$3,0,0,'Données projet'!$E$13+1,1))-AVERAGE(OFFSET($H$3,0,0,'Données projet'!$E$13+1,1))</f>
        <v>320.46614113586043</v>
      </c>
      <c r="CZ181" s="62">
        <f t="shared" si="150"/>
        <v>250.7806929924491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0</v>
      </c>
      <c r="DG181" s="23">
        <f>EXP(-LN(2)/25)*DG180+(1-EXP(-LN(2)/25))/(LN(2)/25)*Calculateur!DB181*Calculateur!DD181*VLOOKUP('Données projet'!$B$13,Paramètres!$A$1:$I$89,3,0)*0.475*44/12</f>
        <v>0</v>
      </c>
      <c r="DH181" s="23">
        <f>EXP(-LN(2)/2)*DH180+(1-EXP(-LN(2)/2))/(LN(2)/2)*DB181*DE181*VLOOKUP('Données projet'!$B$13,Paramètres!$A$1:$I$89,3,0)*0.475*44/12</f>
        <v>5.0181666486902122E-22</v>
      </c>
      <c r="DI181" s="24">
        <f t="shared" si="175"/>
        <v>5.0181666486902122E-22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-1.1368683772161603E-13</v>
      </c>
      <c r="DP181" s="18">
        <f>DO181*VLOOKUP('Données projet'!$B$14,Paramètres!$A$1:$I$89,3,0)*VLOOKUP('Données projet'!$B$14,Paramètres!$A$1:$I$89,5,0)</f>
        <v>-5.3205440053716299E-14</v>
      </c>
      <c r="DQ181" s="14" t="e">
        <f t="shared" si="176"/>
        <v>#NUM!</v>
      </c>
      <c r="DR181" s="22" t="e">
        <f t="shared" si="177"/>
        <v>#NUM!</v>
      </c>
      <c r="DS181" s="62" t="e">
        <f t="shared" si="125"/>
        <v>#NUM!</v>
      </c>
      <c r="DT181" s="62">
        <f ca="1">AVERAGE(OFFSET($DS$3,0,0,'Données projet'!$E$14+1,1))-AVERAGE(OFFSET($H$3,0,0,'Données projet'!$E$14+1,1))</f>
        <v>429.87867712133851</v>
      </c>
      <c r="DU181" s="62">
        <f t="shared" si="152"/>
        <v>182.81277865988014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0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0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1.1368683772161603E-13</v>
      </c>
      <c r="EK181" s="18">
        <f>EJ181*VLOOKUP('Données projet'!$B$15,Paramètres!$A$1:$I$89,3,0)*VLOOKUP('Données projet'!$B$15,Paramètres!$A$1:$I$89,5,0)</f>
        <v>7.626113074366004E-14</v>
      </c>
      <c r="EL181" s="14">
        <f t="shared" si="179"/>
        <v>1.1823749172251317E-12</v>
      </c>
      <c r="EM181" s="22">
        <f t="shared" si="180"/>
        <v>2.1921244502123119E-12</v>
      </c>
      <c r="EN181" s="62">
        <f t="shared" si="128"/>
        <v>289.26530351148239</v>
      </c>
      <c r="EO181" s="62">
        <f ca="1">AVERAGE(OFFSET($EN$3,0,0,'Données projet'!$E$15+1,1))-AVERAGE(OFFSET($H$3,0,0,'Données projet'!$E$15+1,1))</f>
        <v>296.18088377871669</v>
      </c>
      <c r="EP181" s="62">
        <f t="shared" si="154"/>
        <v>252.23833925792056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0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0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1.1368683772161603E-13</v>
      </c>
      <c r="FF181" s="18">
        <f>FE181*VLOOKUP('Données projet'!$B$16,Paramètres!$A$1:$I$89,3,0)*VLOOKUP('Données projet'!$B$16,Paramètres!$A$1:$I$89,5,0)</f>
        <v>9.7543306765146564E-14</v>
      </c>
      <c r="FG181" s="14">
        <f t="shared" si="182"/>
        <v>1.4696264278629426E-12</v>
      </c>
      <c r="FH181" s="22">
        <f t="shared" si="183"/>
        <v>2.7294872878105889E-12</v>
      </c>
      <c r="FI181" s="62">
        <f t="shared" si="131"/>
        <v>289.2653035114829</v>
      </c>
      <c r="FJ181" s="62">
        <f ca="1">AVERAGE(OFFSET($FI$3,0,0,'Données projet'!$E$16+1,1))-AVERAGE(OFFSET($H$3,0,0,'Données projet'!$E$16+1,1))</f>
        <v>359.20464555327072</v>
      </c>
      <c r="FK181" s="62">
        <f t="shared" si="156"/>
        <v>305.54154052071863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0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0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-9.6633812063373625E-13</v>
      </c>
      <c r="O182" s="14">
        <f>N182*VLOOKUP('Données projet'!$B$9,Paramètres!$A$1:$I$89,3,0)*VLOOKUP('Données projet'!$B$9,Paramètres!$A$1:$I$89,5,0)</f>
        <v>-9.7986685432260874E-13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516.30971934066179</v>
      </c>
      <c r="T182" s="62">
        <f t="shared" si="142"/>
        <v>290.84286505723571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-9.6633812063373625E-13</v>
      </c>
      <c r="AJ182" s="14">
        <f>AI182*VLOOKUP('Données projet'!$B$10,Paramètres!$A$1:$I$89,3,0)*VLOOKUP('Données projet'!$B$10,Paramètres!$A$1:$I$89,5,0)</f>
        <v>-1.0401663530501537E-12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542.90832990875208</v>
      </c>
      <c r="AO182" s="62">
        <f t="shared" si="144"/>
        <v>304.94365539329362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-9.6633812063373625E-13</v>
      </c>
      <c r="BE182" s="14">
        <f>BD182*VLOOKUP('Données projet'!$B$11,Paramètres!$A$1:$I$89,3,0)*VLOOKUP('Données projet'!$B$11,Paramètres!$A$1:$I$89,5,0)</f>
        <v>-9.3464223027694966E-13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496.33873798282525</v>
      </c>
      <c r="BJ182" s="62">
        <f t="shared" si="146"/>
        <v>280.25465074992246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1.7053025658242404E-13</v>
      </c>
      <c r="BZ182" s="14">
        <f>BY182*VLOOKUP('Données projet'!$B$12,Paramètres!$A$1:$I$89,3,0)*VLOOKUP('Données projet'!$B$12,Paramètres!$A$1:$I$89,5,0)</f>
        <v>1.4897523215040567E-13</v>
      </c>
      <c r="CA182" s="14">
        <f t="shared" si="170"/>
        <v>2.136562777003313E-12</v>
      </c>
      <c r="CB182" s="22">
        <f t="shared" si="171"/>
        <v>3.9806453659427267E-12</v>
      </c>
      <c r="CC182" s="62">
        <f t="shared" si="119"/>
        <v>289.3358747341411</v>
      </c>
      <c r="CD182" s="62">
        <f ca="1">AVERAGE(OFFSET($CC$3,0,0,'Données projet'!$E$12+1,1))-AVERAGE(OFFSET($H$3,0,0,'Données projet'!$E$12+1,1))</f>
        <v>298.28891728374822</v>
      </c>
      <c r="CE182" s="62">
        <f t="shared" si="148"/>
        <v>275.07405533331371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1.1368683772161603E-13</v>
      </c>
      <c r="CU182" s="18">
        <f>CT182*VLOOKUP('Données projet'!$B$13,Paramètres!$A$1:$I$89,3,0)*VLOOKUP('Données projet'!$B$13,Paramètres!$A$1:$I$89,5,0)</f>
        <v>6.7984728957526396E-14</v>
      </c>
      <c r="CV182" s="14">
        <f t="shared" si="173"/>
        <v>1.0682447123141398E-12</v>
      </c>
      <c r="CW182" s="22">
        <f t="shared" si="174"/>
        <v>1.978932943548152E-12</v>
      </c>
      <c r="CX182" s="62">
        <f t="shared" si="122"/>
        <v>289.33587473413911</v>
      </c>
      <c r="CY182" s="62">
        <f ca="1">AVERAGE(OFFSET($CX$3,0,0,'Données projet'!$E$13+1,1))-AVERAGE(OFFSET($H$3,0,0,'Données projet'!$E$13+1,1))</f>
        <v>320.46614113586043</v>
      </c>
      <c r="CZ182" s="62">
        <f t="shared" si="150"/>
        <v>250.7806929924491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0</v>
      </c>
      <c r="DG182" s="23">
        <f>EXP(-LN(2)/25)*DG181+(1-EXP(-LN(2)/25))/(LN(2)/25)*Calculateur!DB182*Calculateur!DD182*VLOOKUP('Données projet'!$B$13,Paramètres!$A$1:$I$89,3,0)*0.475*44/12</f>
        <v>0</v>
      </c>
      <c r="DH182" s="23">
        <f>EXP(-LN(2)/2)*DH181+(1-EXP(-LN(2)/2))/(LN(2)/2)*DB182*DE182*VLOOKUP('Données projet'!$B$13,Paramètres!$A$1:$I$89,3,0)*0.475*44/12</f>
        <v>3.5483796664130204E-22</v>
      </c>
      <c r="DI182" s="24">
        <f t="shared" si="175"/>
        <v>3.5483796664130204E-22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-1.1368683772161603E-13</v>
      </c>
      <c r="DP182" s="18">
        <f>DO182*VLOOKUP('Données projet'!$B$14,Paramètres!$A$1:$I$89,3,0)*VLOOKUP('Données projet'!$B$14,Paramètres!$A$1:$I$89,5,0)</f>
        <v>-5.3205440053716299E-14</v>
      </c>
      <c r="DQ182" s="14" t="e">
        <f t="shared" si="176"/>
        <v>#NUM!</v>
      </c>
      <c r="DR182" s="22" t="e">
        <f t="shared" si="177"/>
        <v>#NUM!</v>
      </c>
      <c r="DS182" s="62" t="e">
        <f t="shared" si="125"/>
        <v>#NUM!</v>
      </c>
      <c r="DT182" s="62">
        <f ca="1">AVERAGE(OFFSET($DS$3,0,0,'Données projet'!$E$14+1,1))-AVERAGE(OFFSET($H$3,0,0,'Données projet'!$E$14+1,1))</f>
        <v>429.87867712133851</v>
      </c>
      <c r="DU182" s="62">
        <f t="shared" si="152"/>
        <v>182.81277865988014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0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0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1.1368683772161603E-13</v>
      </c>
      <c r="EK182" s="18">
        <f>EJ182*VLOOKUP('Données projet'!$B$15,Paramètres!$A$1:$I$89,3,0)*VLOOKUP('Données projet'!$B$15,Paramètres!$A$1:$I$89,5,0)</f>
        <v>7.626113074366004E-14</v>
      </c>
      <c r="EL182" s="14">
        <f t="shared" si="179"/>
        <v>1.1823749172251317E-12</v>
      </c>
      <c r="EM182" s="22">
        <f t="shared" si="180"/>
        <v>2.1921244502123119E-12</v>
      </c>
      <c r="EN182" s="62">
        <f t="shared" si="128"/>
        <v>289.33587473413934</v>
      </c>
      <c r="EO182" s="62">
        <f ca="1">AVERAGE(OFFSET($EN$3,0,0,'Données projet'!$E$15+1,1))-AVERAGE(OFFSET($H$3,0,0,'Données projet'!$E$15+1,1))</f>
        <v>296.18088377871669</v>
      </c>
      <c r="EP182" s="62">
        <f t="shared" si="154"/>
        <v>252.23833925792056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0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0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1.1368683772161603E-13</v>
      </c>
      <c r="FF182" s="18">
        <f>FE182*VLOOKUP('Données projet'!$B$16,Paramètres!$A$1:$I$89,3,0)*VLOOKUP('Données projet'!$B$16,Paramètres!$A$1:$I$89,5,0)</f>
        <v>9.7543306765146564E-14</v>
      </c>
      <c r="FG182" s="14">
        <f t="shared" si="182"/>
        <v>1.4696264278629426E-12</v>
      </c>
      <c r="FH182" s="22">
        <f t="shared" si="183"/>
        <v>2.7294872878105889E-12</v>
      </c>
      <c r="FI182" s="62">
        <f t="shared" si="131"/>
        <v>289.33587473413985</v>
      </c>
      <c r="FJ182" s="62">
        <f ca="1">AVERAGE(OFFSET($FI$3,0,0,'Données projet'!$E$16+1,1))-AVERAGE(OFFSET($H$3,0,0,'Données projet'!$E$16+1,1))</f>
        <v>359.20464555327072</v>
      </c>
      <c r="FK182" s="62">
        <f t="shared" si="156"/>
        <v>305.54154052071863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0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0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-9.6633812063373625E-13</v>
      </c>
      <c r="O183" s="14">
        <f>N183*VLOOKUP('Données projet'!$B$9,Paramètres!$A$1:$I$89,3,0)*VLOOKUP('Données projet'!$B$9,Paramètres!$A$1:$I$89,5,0)</f>
        <v>-9.7986685432260874E-13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516.30971934066179</v>
      </c>
      <c r="T183" s="62">
        <f t="shared" si="142"/>
        <v>290.84286505723571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-9.6633812063373625E-13</v>
      </c>
      <c r="AJ183" s="14">
        <f>AI183*VLOOKUP('Données projet'!$B$10,Paramètres!$A$1:$I$89,3,0)*VLOOKUP('Données projet'!$B$10,Paramètres!$A$1:$I$89,5,0)</f>
        <v>-1.0401663530501537E-12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542.90832990875208</v>
      </c>
      <c r="AO183" s="62">
        <f t="shared" si="144"/>
        <v>304.94365539329362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-9.6633812063373625E-13</v>
      </c>
      <c r="BE183" s="14">
        <f>BD183*VLOOKUP('Données projet'!$B$11,Paramètres!$A$1:$I$89,3,0)*VLOOKUP('Données projet'!$B$11,Paramètres!$A$1:$I$89,5,0)</f>
        <v>-9.3464223027694966E-13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496.33873798282525</v>
      </c>
      <c r="BJ183" s="62">
        <f t="shared" si="146"/>
        <v>280.25465074992246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1.7053025658242404E-13</v>
      </c>
      <c r="BZ183" s="14">
        <f>BY183*VLOOKUP('Données projet'!$B$12,Paramètres!$A$1:$I$89,3,0)*VLOOKUP('Données projet'!$B$12,Paramètres!$A$1:$I$89,5,0)</f>
        <v>1.4897523215040567E-13</v>
      </c>
      <c r="CA183" s="14">
        <f t="shared" si="170"/>
        <v>2.136562777003313E-12</v>
      </c>
      <c r="CB183" s="22">
        <f t="shared" si="171"/>
        <v>3.9806453659427267E-12</v>
      </c>
      <c r="CC183" s="62">
        <f t="shared" si="119"/>
        <v>289.40522170385862</v>
      </c>
      <c r="CD183" s="62">
        <f ca="1">AVERAGE(OFFSET($CC$3,0,0,'Données projet'!$E$12+1,1))-AVERAGE(OFFSET($H$3,0,0,'Données projet'!$E$12+1,1))</f>
        <v>298.28891728374822</v>
      </c>
      <c r="CE183" s="62">
        <f t="shared" si="148"/>
        <v>275.07405533331371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1.1368683772161603E-13</v>
      </c>
      <c r="CU183" s="18">
        <f>CT183*VLOOKUP('Données projet'!$B$13,Paramètres!$A$1:$I$89,3,0)*VLOOKUP('Données projet'!$B$13,Paramètres!$A$1:$I$89,5,0)</f>
        <v>6.7984728957526396E-14</v>
      </c>
      <c r="CV183" s="14">
        <f t="shared" si="173"/>
        <v>1.0682447123141398E-12</v>
      </c>
      <c r="CW183" s="22">
        <f t="shared" si="174"/>
        <v>1.978932943548152E-12</v>
      </c>
      <c r="CX183" s="62">
        <f t="shared" si="122"/>
        <v>289.40522170385663</v>
      </c>
      <c r="CY183" s="62">
        <f ca="1">AVERAGE(OFFSET($CX$3,0,0,'Données projet'!$E$13+1,1))-AVERAGE(OFFSET($H$3,0,0,'Données projet'!$E$13+1,1))</f>
        <v>320.46614113586043</v>
      </c>
      <c r="CZ183" s="62">
        <f t="shared" si="150"/>
        <v>250.7806929924491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0</v>
      </c>
      <c r="DG183" s="23">
        <f>EXP(-LN(2)/25)*DG182+(1-EXP(-LN(2)/25))/(LN(2)/25)*Calculateur!DB183*Calculateur!DD183*VLOOKUP('Données projet'!$B$13,Paramètres!$A$1:$I$89,3,0)*0.475*44/12</f>
        <v>0</v>
      </c>
      <c r="DH183" s="23">
        <f>EXP(-LN(2)/2)*DH182+(1-EXP(-LN(2)/2))/(LN(2)/2)*DB183*DE183*VLOOKUP('Données projet'!$B$13,Paramètres!$A$1:$I$89,3,0)*0.475*44/12</f>
        <v>2.5090833243451061E-22</v>
      </c>
      <c r="DI183" s="24">
        <f t="shared" si="175"/>
        <v>2.5090833243451061E-22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-1.1368683772161603E-13</v>
      </c>
      <c r="DP183" s="18">
        <f>DO183*VLOOKUP('Données projet'!$B$14,Paramètres!$A$1:$I$89,3,0)*VLOOKUP('Données projet'!$B$14,Paramètres!$A$1:$I$89,5,0)</f>
        <v>-5.3205440053716299E-14</v>
      </c>
      <c r="DQ183" s="14" t="e">
        <f t="shared" si="176"/>
        <v>#NUM!</v>
      </c>
      <c r="DR183" s="22" t="e">
        <f t="shared" si="177"/>
        <v>#NUM!</v>
      </c>
      <c r="DS183" s="62" t="e">
        <f t="shared" si="125"/>
        <v>#NUM!</v>
      </c>
      <c r="DT183" s="62">
        <f ca="1">AVERAGE(OFFSET($DS$3,0,0,'Données projet'!$E$14+1,1))-AVERAGE(OFFSET($H$3,0,0,'Données projet'!$E$14+1,1))</f>
        <v>429.87867712133851</v>
      </c>
      <c r="DU183" s="62">
        <f t="shared" si="152"/>
        <v>182.81277865988014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0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0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1.1368683772161603E-13</v>
      </c>
      <c r="EK183" s="18">
        <f>EJ183*VLOOKUP('Données projet'!$B$15,Paramètres!$A$1:$I$89,3,0)*VLOOKUP('Données projet'!$B$15,Paramètres!$A$1:$I$89,5,0)</f>
        <v>7.626113074366004E-14</v>
      </c>
      <c r="EL183" s="14">
        <f t="shared" si="179"/>
        <v>1.1823749172251317E-12</v>
      </c>
      <c r="EM183" s="22">
        <f t="shared" si="180"/>
        <v>2.1921244502123119E-12</v>
      </c>
      <c r="EN183" s="62">
        <f t="shared" si="128"/>
        <v>289.40522170385685</v>
      </c>
      <c r="EO183" s="62">
        <f ca="1">AVERAGE(OFFSET($EN$3,0,0,'Données projet'!$E$15+1,1))-AVERAGE(OFFSET($H$3,0,0,'Données projet'!$E$15+1,1))</f>
        <v>296.18088377871669</v>
      </c>
      <c r="EP183" s="62">
        <f t="shared" si="154"/>
        <v>252.23833925792056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0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0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1.1368683772161603E-13</v>
      </c>
      <c r="FF183" s="18">
        <f>FE183*VLOOKUP('Données projet'!$B$16,Paramètres!$A$1:$I$89,3,0)*VLOOKUP('Données projet'!$B$16,Paramètres!$A$1:$I$89,5,0)</f>
        <v>9.7543306765146564E-14</v>
      </c>
      <c r="FG183" s="14">
        <f t="shared" si="182"/>
        <v>1.4696264278629426E-12</v>
      </c>
      <c r="FH183" s="22">
        <f t="shared" si="183"/>
        <v>2.7294872878105889E-12</v>
      </c>
      <c r="FI183" s="62">
        <f t="shared" si="131"/>
        <v>289.40522170385736</v>
      </c>
      <c r="FJ183" s="62">
        <f ca="1">AVERAGE(OFFSET($FI$3,0,0,'Données projet'!$E$16+1,1))-AVERAGE(OFFSET($H$3,0,0,'Données projet'!$E$16+1,1))</f>
        <v>359.20464555327072</v>
      </c>
      <c r="FK183" s="62">
        <f t="shared" si="156"/>
        <v>305.54154052071863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0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0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-9.6633812063373625E-13</v>
      </c>
      <c r="O184" s="14">
        <f>N184*VLOOKUP('Données projet'!$B$9,Paramètres!$A$1:$I$89,3,0)*VLOOKUP('Données projet'!$B$9,Paramètres!$A$1:$I$89,5,0)</f>
        <v>-9.7986685432260874E-13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516.30971934066179</v>
      </c>
      <c r="T184" s="62">
        <f t="shared" si="142"/>
        <v>290.84286505723571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-9.6633812063373625E-13</v>
      </c>
      <c r="AJ184" s="14">
        <f>AI184*VLOOKUP('Données projet'!$B$10,Paramètres!$A$1:$I$89,3,0)*VLOOKUP('Données projet'!$B$10,Paramètres!$A$1:$I$89,5,0)</f>
        <v>-1.0401663530501537E-12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542.90832990875208</v>
      </c>
      <c r="AO184" s="62">
        <f t="shared" si="144"/>
        <v>304.94365539329362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-9.6633812063373625E-13</v>
      </c>
      <c r="BE184" s="14">
        <f>BD184*VLOOKUP('Données projet'!$B$11,Paramètres!$A$1:$I$89,3,0)*VLOOKUP('Données projet'!$B$11,Paramètres!$A$1:$I$89,5,0)</f>
        <v>-9.3464223027694966E-13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496.33873798282525</v>
      </c>
      <c r="BJ184" s="62">
        <f t="shared" si="146"/>
        <v>280.25465074992246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1.7053025658242404E-13</v>
      </c>
      <c r="BZ184" s="14">
        <f>BY184*VLOOKUP('Données projet'!$B$12,Paramètres!$A$1:$I$89,3,0)*VLOOKUP('Données projet'!$B$12,Paramètres!$A$1:$I$89,5,0)</f>
        <v>1.4897523215040567E-13</v>
      </c>
      <c r="CA184" s="14">
        <f t="shared" si="170"/>
        <v>2.136562777003313E-12</v>
      </c>
      <c r="CB184" s="22">
        <f t="shared" si="171"/>
        <v>3.9806453659427267E-12</v>
      </c>
      <c r="CC184" s="62">
        <f t="shared" si="119"/>
        <v>289.47336565868807</v>
      </c>
      <c r="CD184" s="62">
        <f ca="1">AVERAGE(OFFSET($CC$3,0,0,'Données projet'!$E$12+1,1))-AVERAGE(OFFSET($H$3,0,0,'Données projet'!$E$12+1,1))</f>
        <v>298.28891728374822</v>
      </c>
      <c r="CE184" s="62">
        <f t="shared" si="148"/>
        <v>275.07405533331371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1.1368683772161603E-13</v>
      </c>
      <c r="CU184" s="18">
        <f>CT184*VLOOKUP('Données projet'!$B$13,Paramètres!$A$1:$I$89,3,0)*VLOOKUP('Données projet'!$B$13,Paramètres!$A$1:$I$89,5,0)</f>
        <v>6.7984728957526396E-14</v>
      </c>
      <c r="CV184" s="14">
        <f t="shared" si="173"/>
        <v>1.0682447123141398E-12</v>
      </c>
      <c r="CW184" s="22">
        <f t="shared" si="174"/>
        <v>1.978932943548152E-12</v>
      </c>
      <c r="CX184" s="62">
        <f t="shared" si="122"/>
        <v>289.47336565868608</v>
      </c>
      <c r="CY184" s="62">
        <f ca="1">AVERAGE(OFFSET($CX$3,0,0,'Données projet'!$E$13+1,1))-AVERAGE(OFFSET($H$3,0,0,'Données projet'!$E$13+1,1))</f>
        <v>320.46614113586043</v>
      </c>
      <c r="CZ184" s="62">
        <f t="shared" si="150"/>
        <v>250.7806929924491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0</v>
      </c>
      <c r="DG184" s="23">
        <f>EXP(-LN(2)/25)*DG183+(1-EXP(-LN(2)/25))/(LN(2)/25)*Calculateur!DB184*Calculateur!DD184*VLOOKUP('Données projet'!$B$13,Paramètres!$A$1:$I$89,3,0)*0.475*44/12</f>
        <v>0</v>
      </c>
      <c r="DH184" s="23">
        <f>EXP(-LN(2)/2)*DH183+(1-EXP(-LN(2)/2))/(LN(2)/2)*DB184*DE184*VLOOKUP('Données projet'!$B$13,Paramètres!$A$1:$I$89,3,0)*0.475*44/12</f>
        <v>1.7741898332065102E-22</v>
      </c>
      <c r="DI184" s="24">
        <f t="shared" si="175"/>
        <v>1.7741898332065102E-22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-1.1368683772161603E-13</v>
      </c>
      <c r="DP184" s="18">
        <f>DO184*VLOOKUP('Données projet'!$B$14,Paramètres!$A$1:$I$89,3,0)*VLOOKUP('Données projet'!$B$14,Paramètres!$A$1:$I$89,5,0)</f>
        <v>-5.3205440053716299E-14</v>
      </c>
      <c r="DQ184" s="14" t="e">
        <f t="shared" si="176"/>
        <v>#NUM!</v>
      </c>
      <c r="DR184" s="22" t="e">
        <f t="shared" si="177"/>
        <v>#NUM!</v>
      </c>
      <c r="DS184" s="62" t="e">
        <f t="shared" si="125"/>
        <v>#NUM!</v>
      </c>
      <c r="DT184" s="62">
        <f ca="1">AVERAGE(OFFSET($DS$3,0,0,'Données projet'!$E$14+1,1))-AVERAGE(OFFSET($H$3,0,0,'Données projet'!$E$14+1,1))</f>
        <v>429.87867712133851</v>
      </c>
      <c r="DU184" s="62">
        <f t="shared" si="152"/>
        <v>182.81277865988014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0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0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1.1368683772161603E-13</v>
      </c>
      <c r="EK184" s="18">
        <f>EJ184*VLOOKUP('Données projet'!$B$15,Paramètres!$A$1:$I$89,3,0)*VLOOKUP('Données projet'!$B$15,Paramètres!$A$1:$I$89,5,0)</f>
        <v>7.626113074366004E-14</v>
      </c>
      <c r="EL184" s="14">
        <f t="shared" si="179"/>
        <v>1.1823749172251317E-12</v>
      </c>
      <c r="EM184" s="22">
        <f t="shared" si="180"/>
        <v>2.1921244502123119E-12</v>
      </c>
      <c r="EN184" s="62">
        <f t="shared" si="128"/>
        <v>289.4733656586863</v>
      </c>
      <c r="EO184" s="62">
        <f ca="1">AVERAGE(OFFSET($EN$3,0,0,'Données projet'!$E$15+1,1))-AVERAGE(OFFSET($H$3,0,0,'Données projet'!$E$15+1,1))</f>
        <v>296.18088377871669</v>
      </c>
      <c r="EP184" s="62">
        <f t="shared" si="154"/>
        <v>252.23833925792056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0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0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1.1368683772161603E-13</v>
      </c>
      <c r="FF184" s="18">
        <f>FE184*VLOOKUP('Données projet'!$B$16,Paramètres!$A$1:$I$89,3,0)*VLOOKUP('Données projet'!$B$16,Paramètres!$A$1:$I$89,5,0)</f>
        <v>9.7543306765146564E-14</v>
      </c>
      <c r="FG184" s="14">
        <f t="shared" si="182"/>
        <v>1.4696264278629426E-12</v>
      </c>
      <c r="FH184" s="22">
        <f t="shared" si="183"/>
        <v>2.7294872878105889E-12</v>
      </c>
      <c r="FI184" s="62">
        <f t="shared" si="131"/>
        <v>289.47336565868682</v>
      </c>
      <c r="FJ184" s="62">
        <f ca="1">AVERAGE(OFFSET($FI$3,0,0,'Données projet'!$E$16+1,1))-AVERAGE(OFFSET($H$3,0,0,'Données projet'!$E$16+1,1))</f>
        <v>359.20464555327072</v>
      </c>
      <c r="FK184" s="62">
        <f t="shared" si="156"/>
        <v>305.54154052071863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0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0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-9.6633812063373625E-13</v>
      </c>
      <c r="O185" s="14">
        <f>N185*VLOOKUP('Données projet'!$B$9,Paramètres!$A$1:$I$89,3,0)*VLOOKUP('Données projet'!$B$9,Paramètres!$A$1:$I$89,5,0)</f>
        <v>-9.7986685432260874E-13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516.30971934066179</v>
      </c>
      <c r="T185" s="62">
        <f t="shared" si="142"/>
        <v>290.84286505723571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-9.6633812063373625E-13</v>
      </c>
      <c r="AJ185" s="14">
        <f>AI185*VLOOKUP('Données projet'!$B$10,Paramètres!$A$1:$I$89,3,0)*VLOOKUP('Données projet'!$B$10,Paramètres!$A$1:$I$89,5,0)</f>
        <v>-1.0401663530501537E-12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542.90832990875208</v>
      </c>
      <c r="AO185" s="62">
        <f t="shared" si="144"/>
        <v>304.94365539329362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-9.6633812063373625E-13</v>
      </c>
      <c r="BE185" s="14">
        <f>BD185*VLOOKUP('Données projet'!$B$11,Paramètres!$A$1:$I$89,3,0)*VLOOKUP('Données projet'!$B$11,Paramètres!$A$1:$I$89,5,0)</f>
        <v>-9.3464223027694966E-13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496.33873798282525</v>
      </c>
      <c r="BJ185" s="62">
        <f t="shared" si="146"/>
        <v>280.25465074992246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1.7053025658242404E-13</v>
      </c>
      <c r="BZ185" s="14">
        <f>BY185*VLOOKUP('Données projet'!$B$12,Paramètres!$A$1:$I$89,3,0)*VLOOKUP('Données projet'!$B$12,Paramètres!$A$1:$I$89,5,0)</f>
        <v>1.4897523215040567E-13</v>
      </c>
      <c r="CA185" s="14">
        <f t="shared" si="170"/>
        <v>2.136562777003313E-12</v>
      </c>
      <c r="CB185" s="22">
        <f t="shared" si="171"/>
        <v>3.9806453659427267E-12</v>
      </c>
      <c r="CC185" s="62">
        <f t="shared" si="119"/>
        <v>289.54032746824839</v>
      </c>
      <c r="CD185" s="62">
        <f ca="1">AVERAGE(OFFSET($CC$3,0,0,'Données projet'!$E$12+1,1))-AVERAGE(OFFSET($H$3,0,0,'Données projet'!$E$12+1,1))</f>
        <v>298.28891728374822</v>
      </c>
      <c r="CE185" s="62">
        <f t="shared" si="148"/>
        <v>275.07405533331371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1.1368683772161603E-13</v>
      </c>
      <c r="CU185" s="18">
        <f>CT185*VLOOKUP('Données projet'!$B$13,Paramètres!$A$1:$I$89,3,0)*VLOOKUP('Données projet'!$B$13,Paramètres!$A$1:$I$89,5,0)</f>
        <v>6.7984728957526396E-14</v>
      </c>
      <c r="CV185" s="14">
        <f t="shared" si="173"/>
        <v>1.0682447123141398E-12</v>
      </c>
      <c r="CW185" s="22">
        <f t="shared" si="174"/>
        <v>1.978932943548152E-12</v>
      </c>
      <c r="CX185" s="62">
        <f t="shared" si="122"/>
        <v>289.5403274682464</v>
      </c>
      <c r="CY185" s="62">
        <f ca="1">AVERAGE(OFFSET($CX$3,0,0,'Données projet'!$E$13+1,1))-AVERAGE(OFFSET($H$3,0,0,'Données projet'!$E$13+1,1))</f>
        <v>320.46614113586043</v>
      </c>
      <c r="CZ185" s="62">
        <f t="shared" si="150"/>
        <v>250.7806929924491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0</v>
      </c>
      <c r="DG185" s="23">
        <f>EXP(-LN(2)/25)*DG184+(1-EXP(-LN(2)/25))/(LN(2)/25)*Calculateur!DB185*Calculateur!DD185*VLOOKUP('Données projet'!$B$13,Paramètres!$A$1:$I$89,3,0)*0.475*44/12</f>
        <v>0</v>
      </c>
      <c r="DH185" s="23">
        <f>EXP(-LN(2)/2)*DH184+(1-EXP(-LN(2)/2))/(LN(2)/2)*DB185*DE185*VLOOKUP('Données projet'!$B$13,Paramètres!$A$1:$I$89,3,0)*0.475*44/12</f>
        <v>1.254541662172553E-22</v>
      </c>
      <c r="DI185" s="24">
        <f t="shared" si="175"/>
        <v>1.254541662172553E-22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-1.1368683772161603E-13</v>
      </c>
      <c r="DP185" s="18">
        <f>DO185*VLOOKUP('Données projet'!$B$14,Paramètres!$A$1:$I$89,3,0)*VLOOKUP('Données projet'!$B$14,Paramètres!$A$1:$I$89,5,0)</f>
        <v>-5.3205440053716299E-14</v>
      </c>
      <c r="DQ185" s="14" t="e">
        <f t="shared" si="176"/>
        <v>#NUM!</v>
      </c>
      <c r="DR185" s="22" t="e">
        <f t="shared" si="177"/>
        <v>#NUM!</v>
      </c>
      <c r="DS185" s="62" t="e">
        <f t="shared" si="125"/>
        <v>#NUM!</v>
      </c>
      <c r="DT185" s="62">
        <f ca="1">AVERAGE(OFFSET($DS$3,0,0,'Données projet'!$E$14+1,1))-AVERAGE(OFFSET($H$3,0,0,'Données projet'!$E$14+1,1))</f>
        <v>429.87867712133851</v>
      </c>
      <c r="DU185" s="62">
        <f t="shared" si="152"/>
        <v>182.81277865988014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0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0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1.1368683772161603E-13</v>
      </c>
      <c r="EK185" s="18">
        <f>EJ185*VLOOKUP('Données projet'!$B$15,Paramètres!$A$1:$I$89,3,0)*VLOOKUP('Données projet'!$B$15,Paramètres!$A$1:$I$89,5,0)</f>
        <v>7.626113074366004E-14</v>
      </c>
      <c r="EL185" s="14">
        <f t="shared" si="179"/>
        <v>1.1823749172251317E-12</v>
      </c>
      <c r="EM185" s="22">
        <f t="shared" si="180"/>
        <v>2.1921244502123119E-12</v>
      </c>
      <c r="EN185" s="62">
        <f t="shared" si="128"/>
        <v>289.54032746824663</v>
      </c>
      <c r="EO185" s="62">
        <f ca="1">AVERAGE(OFFSET($EN$3,0,0,'Données projet'!$E$15+1,1))-AVERAGE(OFFSET($H$3,0,0,'Données projet'!$E$15+1,1))</f>
        <v>296.18088377871669</v>
      </c>
      <c r="EP185" s="62">
        <f t="shared" si="154"/>
        <v>252.23833925792056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0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0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1.1368683772161603E-13</v>
      </c>
      <c r="FF185" s="18">
        <f>FE185*VLOOKUP('Données projet'!$B$16,Paramètres!$A$1:$I$89,3,0)*VLOOKUP('Données projet'!$B$16,Paramètres!$A$1:$I$89,5,0)</f>
        <v>9.7543306765146564E-14</v>
      </c>
      <c r="FG185" s="14">
        <f t="shared" si="182"/>
        <v>1.4696264278629426E-12</v>
      </c>
      <c r="FH185" s="22">
        <f t="shared" si="183"/>
        <v>2.7294872878105889E-12</v>
      </c>
      <c r="FI185" s="62">
        <f t="shared" si="131"/>
        <v>289.54032746824714</v>
      </c>
      <c r="FJ185" s="62">
        <f ca="1">AVERAGE(OFFSET($FI$3,0,0,'Données projet'!$E$16+1,1))-AVERAGE(OFFSET($H$3,0,0,'Données projet'!$E$16+1,1))</f>
        <v>359.20464555327072</v>
      </c>
      <c r="FK185" s="62">
        <f t="shared" si="156"/>
        <v>305.54154052071863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0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0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-9.6633812063373625E-13</v>
      </c>
      <c r="O186" s="14">
        <f>N186*VLOOKUP('Données projet'!$B$9,Paramètres!$A$1:$I$89,3,0)*VLOOKUP('Données projet'!$B$9,Paramètres!$A$1:$I$89,5,0)</f>
        <v>-9.7986685432260874E-13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516.30971934066179</v>
      </c>
      <c r="T186" s="62">
        <f t="shared" si="142"/>
        <v>290.84286505723571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-9.6633812063373625E-13</v>
      </c>
      <c r="AJ186" s="14">
        <f>AI186*VLOOKUP('Données projet'!$B$10,Paramètres!$A$1:$I$89,3,0)*VLOOKUP('Données projet'!$B$10,Paramètres!$A$1:$I$89,5,0)</f>
        <v>-1.0401663530501537E-12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542.90832990875208</v>
      </c>
      <c r="AO186" s="62">
        <f t="shared" si="144"/>
        <v>304.94365539329362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-9.6633812063373625E-13</v>
      </c>
      <c r="BE186" s="14">
        <f>BD186*VLOOKUP('Données projet'!$B$11,Paramètres!$A$1:$I$89,3,0)*VLOOKUP('Données projet'!$B$11,Paramètres!$A$1:$I$89,5,0)</f>
        <v>-9.3464223027694966E-13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496.33873798282525</v>
      </c>
      <c r="BJ186" s="62">
        <f t="shared" si="146"/>
        <v>280.25465074992246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1.7053025658242404E-13</v>
      </c>
      <c r="BZ186" s="14">
        <f>BY186*VLOOKUP('Données projet'!$B$12,Paramètres!$A$1:$I$89,3,0)*VLOOKUP('Données projet'!$B$12,Paramètres!$A$1:$I$89,5,0)</f>
        <v>1.4897523215040567E-13</v>
      </c>
      <c r="CA186" s="14">
        <f t="shared" si="170"/>
        <v>2.136562777003313E-12</v>
      </c>
      <c r="CB186" s="22">
        <f t="shared" si="171"/>
        <v>3.9806453659427267E-12</v>
      </c>
      <c r="CC186" s="62">
        <f t="shared" si="119"/>
        <v>289.60612764011694</v>
      </c>
      <c r="CD186" s="62">
        <f ca="1">AVERAGE(OFFSET($CC$3,0,0,'Données projet'!$E$12+1,1))-AVERAGE(OFFSET($H$3,0,0,'Données projet'!$E$12+1,1))</f>
        <v>298.28891728374822</v>
      </c>
      <c r="CE186" s="62">
        <f t="shared" si="148"/>
        <v>275.07405533331371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1.1368683772161603E-13</v>
      </c>
      <c r="CU186" s="18">
        <f>CT186*VLOOKUP('Données projet'!$B$13,Paramètres!$A$1:$I$89,3,0)*VLOOKUP('Données projet'!$B$13,Paramètres!$A$1:$I$89,5,0)</f>
        <v>6.7984728957526396E-14</v>
      </c>
      <c r="CV186" s="14">
        <f t="shared" si="173"/>
        <v>1.0682447123141398E-12</v>
      </c>
      <c r="CW186" s="22">
        <f t="shared" si="174"/>
        <v>1.978932943548152E-12</v>
      </c>
      <c r="CX186" s="62">
        <f t="shared" si="122"/>
        <v>289.60612764011495</v>
      </c>
      <c r="CY186" s="62">
        <f ca="1">AVERAGE(OFFSET($CX$3,0,0,'Données projet'!$E$13+1,1))-AVERAGE(OFFSET($H$3,0,0,'Données projet'!$E$13+1,1))</f>
        <v>320.46614113586043</v>
      </c>
      <c r="CZ186" s="62">
        <f t="shared" si="150"/>
        <v>250.7806929924491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0</v>
      </c>
      <c r="DG186" s="23">
        <f>EXP(-LN(2)/25)*DG185+(1-EXP(-LN(2)/25))/(LN(2)/25)*Calculateur!DB186*Calculateur!DD186*VLOOKUP('Données projet'!$B$13,Paramètres!$A$1:$I$89,3,0)*0.475*44/12</f>
        <v>0</v>
      </c>
      <c r="DH186" s="23">
        <f>EXP(-LN(2)/2)*DH185+(1-EXP(-LN(2)/2))/(LN(2)/2)*DB186*DE186*VLOOKUP('Données projet'!$B$13,Paramètres!$A$1:$I$89,3,0)*0.475*44/12</f>
        <v>8.8709491660325511E-23</v>
      </c>
      <c r="DI186" s="24">
        <f t="shared" si="175"/>
        <v>8.8709491660325511E-23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-1.1368683772161603E-13</v>
      </c>
      <c r="DP186" s="18">
        <f>DO186*VLOOKUP('Données projet'!$B$14,Paramètres!$A$1:$I$89,3,0)*VLOOKUP('Données projet'!$B$14,Paramètres!$A$1:$I$89,5,0)</f>
        <v>-5.3205440053716299E-14</v>
      </c>
      <c r="DQ186" s="14" t="e">
        <f t="shared" si="176"/>
        <v>#NUM!</v>
      </c>
      <c r="DR186" s="22" t="e">
        <f t="shared" si="177"/>
        <v>#NUM!</v>
      </c>
      <c r="DS186" s="62" t="e">
        <f t="shared" si="125"/>
        <v>#NUM!</v>
      </c>
      <c r="DT186" s="62">
        <f ca="1">AVERAGE(OFFSET($DS$3,0,0,'Données projet'!$E$14+1,1))-AVERAGE(OFFSET($H$3,0,0,'Données projet'!$E$14+1,1))</f>
        <v>429.87867712133851</v>
      </c>
      <c r="DU186" s="62">
        <f t="shared" si="152"/>
        <v>182.81277865988014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0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0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1.1368683772161603E-13</v>
      </c>
      <c r="EK186" s="18">
        <f>EJ186*VLOOKUP('Données projet'!$B$15,Paramètres!$A$1:$I$89,3,0)*VLOOKUP('Données projet'!$B$15,Paramètres!$A$1:$I$89,5,0)</f>
        <v>7.626113074366004E-14</v>
      </c>
      <c r="EL186" s="14">
        <f t="shared" si="179"/>
        <v>1.1823749172251317E-12</v>
      </c>
      <c r="EM186" s="22">
        <f t="shared" si="180"/>
        <v>2.1921244502123119E-12</v>
      </c>
      <c r="EN186" s="62">
        <f t="shared" si="128"/>
        <v>289.60612764011518</v>
      </c>
      <c r="EO186" s="62">
        <f ca="1">AVERAGE(OFFSET($EN$3,0,0,'Données projet'!$E$15+1,1))-AVERAGE(OFFSET($H$3,0,0,'Données projet'!$E$15+1,1))</f>
        <v>296.18088377871669</v>
      </c>
      <c r="EP186" s="62">
        <f t="shared" si="154"/>
        <v>252.23833925792056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0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0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1.1368683772161603E-13</v>
      </c>
      <c r="FF186" s="18">
        <f>FE186*VLOOKUP('Données projet'!$B$16,Paramètres!$A$1:$I$89,3,0)*VLOOKUP('Données projet'!$B$16,Paramètres!$A$1:$I$89,5,0)</f>
        <v>9.7543306765146564E-14</v>
      </c>
      <c r="FG186" s="14">
        <f t="shared" si="182"/>
        <v>1.4696264278629426E-12</v>
      </c>
      <c r="FH186" s="22">
        <f t="shared" si="183"/>
        <v>2.7294872878105889E-12</v>
      </c>
      <c r="FI186" s="62">
        <f t="shared" si="131"/>
        <v>289.60612764011569</v>
      </c>
      <c r="FJ186" s="62">
        <f ca="1">AVERAGE(OFFSET($FI$3,0,0,'Données projet'!$E$16+1,1))-AVERAGE(OFFSET($H$3,0,0,'Données projet'!$E$16+1,1))</f>
        <v>359.20464555327072</v>
      </c>
      <c r="FK186" s="62">
        <f t="shared" si="156"/>
        <v>305.54154052071863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0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0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-9.6633812063373625E-13</v>
      </c>
      <c r="O187" s="14">
        <f>N187*VLOOKUP('Données projet'!$B$9,Paramètres!$A$1:$I$89,3,0)*VLOOKUP('Données projet'!$B$9,Paramètres!$A$1:$I$89,5,0)</f>
        <v>-9.7986685432260874E-13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516.30971934066179</v>
      </c>
      <c r="T187" s="62">
        <f t="shared" si="142"/>
        <v>290.84286505723571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-9.6633812063373625E-13</v>
      </c>
      <c r="AJ187" s="14">
        <f>AI187*VLOOKUP('Données projet'!$B$10,Paramètres!$A$1:$I$89,3,0)*VLOOKUP('Données projet'!$B$10,Paramètres!$A$1:$I$89,5,0)</f>
        <v>-1.0401663530501537E-12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542.90832990875208</v>
      </c>
      <c r="AO187" s="62">
        <f t="shared" si="144"/>
        <v>304.94365539329362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-9.6633812063373625E-13</v>
      </c>
      <c r="BE187" s="14">
        <f>BD187*VLOOKUP('Données projet'!$B$11,Paramètres!$A$1:$I$89,3,0)*VLOOKUP('Données projet'!$B$11,Paramètres!$A$1:$I$89,5,0)</f>
        <v>-9.3464223027694966E-13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496.33873798282525</v>
      </c>
      <c r="BJ187" s="62">
        <f t="shared" si="146"/>
        <v>280.25465074992246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1.7053025658242404E-13</v>
      </c>
      <c r="BZ187" s="14">
        <f>BY187*VLOOKUP('Données projet'!$B$12,Paramètres!$A$1:$I$89,3,0)*VLOOKUP('Données projet'!$B$12,Paramètres!$A$1:$I$89,5,0)</f>
        <v>1.4897523215040567E-13</v>
      </c>
      <c r="CA187" s="14">
        <f t="shared" si="170"/>
        <v>2.136562777003313E-12</v>
      </c>
      <c r="CB187" s="22">
        <f t="shared" si="171"/>
        <v>3.9806453659427267E-12</v>
      </c>
      <c r="CC187" s="62">
        <f t="shared" si="119"/>
        <v>289.67078632611071</v>
      </c>
      <c r="CD187" s="62">
        <f ca="1">AVERAGE(OFFSET($CC$3,0,0,'Données projet'!$E$12+1,1))-AVERAGE(OFFSET($H$3,0,0,'Données projet'!$E$12+1,1))</f>
        <v>298.28891728374822</v>
      </c>
      <c r="CE187" s="62">
        <f t="shared" si="148"/>
        <v>275.07405533331371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1.1368683772161603E-13</v>
      </c>
      <c r="CU187" s="18">
        <f>CT187*VLOOKUP('Données projet'!$B$13,Paramètres!$A$1:$I$89,3,0)*VLOOKUP('Données projet'!$B$13,Paramètres!$A$1:$I$89,5,0)</f>
        <v>6.7984728957526396E-14</v>
      </c>
      <c r="CV187" s="14">
        <f t="shared" si="173"/>
        <v>1.0682447123141398E-12</v>
      </c>
      <c r="CW187" s="22">
        <f t="shared" si="174"/>
        <v>1.978932943548152E-12</v>
      </c>
      <c r="CX187" s="62">
        <f t="shared" si="122"/>
        <v>289.67078632610873</v>
      </c>
      <c r="CY187" s="62">
        <f ca="1">AVERAGE(OFFSET($CX$3,0,0,'Données projet'!$E$13+1,1))-AVERAGE(OFFSET($H$3,0,0,'Données projet'!$E$13+1,1))</f>
        <v>320.46614113586043</v>
      </c>
      <c r="CZ187" s="62">
        <f t="shared" si="150"/>
        <v>250.7806929924491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0</v>
      </c>
      <c r="DG187" s="23">
        <f>EXP(-LN(2)/25)*DG186+(1-EXP(-LN(2)/25))/(LN(2)/25)*Calculateur!DB187*Calculateur!DD187*VLOOKUP('Données projet'!$B$13,Paramètres!$A$1:$I$89,3,0)*0.475*44/12</f>
        <v>0</v>
      </c>
      <c r="DH187" s="23">
        <f>EXP(-LN(2)/2)*DH186+(1-EXP(-LN(2)/2))/(LN(2)/2)*DB187*DE187*VLOOKUP('Données projet'!$B$13,Paramètres!$A$1:$I$89,3,0)*0.475*44/12</f>
        <v>6.2727083108627652E-23</v>
      </c>
      <c r="DI187" s="24">
        <f t="shared" si="175"/>
        <v>6.2727083108627652E-23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-1.1368683772161603E-13</v>
      </c>
      <c r="DP187" s="18">
        <f>DO187*VLOOKUP('Données projet'!$B$14,Paramètres!$A$1:$I$89,3,0)*VLOOKUP('Données projet'!$B$14,Paramètres!$A$1:$I$89,5,0)</f>
        <v>-5.3205440053716299E-14</v>
      </c>
      <c r="DQ187" s="14" t="e">
        <f t="shared" si="176"/>
        <v>#NUM!</v>
      </c>
      <c r="DR187" s="22" t="e">
        <f t="shared" si="177"/>
        <v>#NUM!</v>
      </c>
      <c r="DS187" s="62" t="e">
        <f t="shared" si="125"/>
        <v>#NUM!</v>
      </c>
      <c r="DT187" s="62">
        <f ca="1">AVERAGE(OFFSET($DS$3,0,0,'Données projet'!$E$14+1,1))-AVERAGE(OFFSET($H$3,0,0,'Données projet'!$E$14+1,1))</f>
        <v>429.87867712133851</v>
      </c>
      <c r="DU187" s="62">
        <f t="shared" si="152"/>
        <v>182.81277865988014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0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0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1.1368683772161603E-13</v>
      </c>
      <c r="EK187" s="18">
        <f>EJ187*VLOOKUP('Données projet'!$B$15,Paramètres!$A$1:$I$89,3,0)*VLOOKUP('Données projet'!$B$15,Paramètres!$A$1:$I$89,5,0)</f>
        <v>7.626113074366004E-14</v>
      </c>
      <c r="EL187" s="14">
        <f t="shared" si="179"/>
        <v>1.1823749172251317E-12</v>
      </c>
      <c r="EM187" s="22">
        <f t="shared" si="180"/>
        <v>2.1921244502123119E-12</v>
      </c>
      <c r="EN187" s="62">
        <f t="shared" si="128"/>
        <v>289.67078632610895</v>
      </c>
      <c r="EO187" s="62">
        <f ca="1">AVERAGE(OFFSET($EN$3,0,0,'Données projet'!$E$15+1,1))-AVERAGE(OFFSET($H$3,0,0,'Données projet'!$E$15+1,1))</f>
        <v>296.18088377871669</v>
      </c>
      <c r="EP187" s="62">
        <f t="shared" si="154"/>
        <v>252.23833925792056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0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0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1.1368683772161603E-13</v>
      </c>
      <c r="FF187" s="18">
        <f>FE187*VLOOKUP('Données projet'!$B$16,Paramètres!$A$1:$I$89,3,0)*VLOOKUP('Données projet'!$B$16,Paramètres!$A$1:$I$89,5,0)</f>
        <v>9.7543306765146564E-14</v>
      </c>
      <c r="FG187" s="14">
        <f t="shared" si="182"/>
        <v>1.4696264278629426E-12</v>
      </c>
      <c r="FH187" s="22">
        <f t="shared" si="183"/>
        <v>2.7294872878105889E-12</v>
      </c>
      <c r="FI187" s="62">
        <f t="shared" si="131"/>
        <v>289.67078632610946</v>
      </c>
      <c r="FJ187" s="62">
        <f ca="1">AVERAGE(OFFSET($FI$3,0,0,'Données projet'!$E$16+1,1))-AVERAGE(OFFSET($H$3,0,0,'Données projet'!$E$16+1,1))</f>
        <v>359.20464555327072</v>
      </c>
      <c r="FK187" s="62">
        <f t="shared" si="156"/>
        <v>305.54154052071863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0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0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-9.6633812063373625E-13</v>
      </c>
      <c r="O188" s="14">
        <f>N188*VLOOKUP('Données projet'!$B$9,Paramètres!$A$1:$I$89,3,0)*VLOOKUP('Données projet'!$B$9,Paramètres!$A$1:$I$89,5,0)</f>
        <v>-9.7986685432260874E-13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516.30971934066179</v>
      </c>
      <c r="T188" s="62">
        <f t="shared" si="142"/>
        <v>290.84286505723571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-9.6633812063373625E-13</v>
      </c>
      <c r="AJ188" s="14">
        <f>AI188*VLOOKUP('Données projet'!$B$10,Paramètres!$A$1:$I$89,3,0)*VLOOKUP('Données projet'!$B$10,Paramètres!$A$1:$I$89,5,0)</f>
        <v>-1.0401663530501537E-12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542.90832990875208</v>
      </c>
      <c r="AO188" s="62">
        <f t="shared" si="144"/>
        <v>304.94365539329362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-9.6633812063373625E-13</v>
      </c>
      <c r="BE188" s="14">
        <f>BD188*VLOOKUP('Données projet'!$B$11,Paramètres!$A$1:$I$89,3,0)*VLOOKUP('Données projet'!$B$11,Paramètres!$A$1:$I$89,5,0)</f>
        <v>-9.3464223027694966E-13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496.33873798282525</v>
      </c>
      <c r="BJ188" s="62">
        <f t="shared" si="146"/>
        <v>280.25465074992246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1.7053025658242404E-13</v>
      </c>
      <c r="BZ188" s="14">
        <f>BY188*VLOOKUP('Données projet'!$B$12,Paramètres!$A$1:$I$89,3,0)*VLOOKUP('Données projet'!$B$12,Paramètres!$A$1:$I$89,5,0)</f>
        <v>1.4897523215040567E-13</v>
      </c>
      <c r="CA188" s="14">
        <f t="shared" si="170"/>
        <v>2.136562777003313E-12</v>
      </c>
      <c r="CB188" s="22">
        <f t="shared" si="171"/>
        <v>3.9806453659427267E-12</v>
      </c>
      <c r="CC188" s="62">
        <f t="shared" si="119"/>
        <v>289.73432332845772</v>
      </c>
      <c r="CD188" s="62">
        <f ca="1">AVERAGE(OFFSET($CC$3,0,0,'Données projet'!$E$12+1,1))-AVERAGE(OFFSET($H$3,0,0,'Données projet'!$E$12+1,1))</f>
        <v>298.28891728374822</v>
      </c>
      <c r="CE188" s="62">
        <f t="shared" si="148"/>
        <v>275.07405533331371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1.1368683772161603E-13</v>
      </c>
      <c r="CU188" s="18">
        <f>CT188*VLOOKUP('Données projet'!$B$13,Paramètres!$A$1:$I$89,3,0)*VLOOKUP('Données projet'!$B$13,Paramètres!$A$1:$I$89,5,0)</f>
        <v>6.7984728957526396E-14</v>
      </c>
      <c r="CV188" s="14">
        <f t="shared" si="173"/>
        <v>1.0682447123141398E-12</v>
      </c>
      <c r="CW188" s="22">
        <f t="shared" si="174"/>
        <v>1.978932943548152E-12</v>
      </c>
      <c r="CX188" s="62">
        <f t="shared" si="122"/>
        <v>289.73432332845573</v>
      </c>
      <c r="CY188" s="62">
        <f ca="1">AVERAGE(OFFSET($CX$3,0,0,'Données projet'!$E$13+1,1))-AVERAGE(OFFSET($H$3,0,0,'Données projet'!$E$13+1,1))</f>
        <v>320.46614113586043</v>
      </c>
      <c r="CZ188" s="62">
        <f t="shared" si="150"/>
        <v>250.7806929924491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0</v>
      </c>
      <c r="DG188" s="23">
        <f>EXP(-LN(2)/25)*DG187+(1-EXP(-LN(2)/25))/(LN(2)/25)*Calculateur!DB188*Calculateur!DD188*VLOOKUP('Données projet'!$B$13,Paramètres!$A$1:$I$89,3,0)*0.475*44/12</f>
        <v>0</v>
      </c>
      <c r="DH188" s="23">
        <f>EXP(-LN(2)/2)*DH187+(1-EXP(-LN(2)/2))/(LN(2)/2)*DB188*DE188*VLOOKUP('Données projet'!$B$13,Paramètres!$A$1:$I$89,3,0)*0.475*44/12</f>
        <v>4.4354745830162755E-23</v>
      </c>
      <c r="DI188" s="24">
        <f t="shared" si="175"/>
        <v>4.4354745830162755E-23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-1.1368683772161603E-13</v>
      </c>
      <c r="DP188" s="18">
        <f>DO188*VLOOKUP('Données projet'!$B$14,Paramètres!$A$1:$I$89,3,0)*VLOOKUP('Données projet'!$B$14,Paramètres!$A$1:$I$89,5,0)</f>
        <v>-5.3205440053716299E-14</v>
      </c>
      <c r="DQ188" s="14" t="e">
        <f t="shared" si="176"/>
        <v>#NUM!</v>
      </c>
      <c r="DR188" s="22" t="e">
        <f t="shared" si="177"/>
        <v>#NUM!</v>
      </c>
      <c r="DS188" s="62" t="e">
        <f t="shared" si="125"/>
        <v>#NUM!</v>
      </c>
      <c r="DT188" s="62">
        <f ca="1">AVERAGE(OFFSET($DS$3,0,0,'Données projet'!$E$14+1,1))-AVERAGE(OFFSET($H$3,0,0,'Données projet'!$E$14+1,1))</f>
        <v>429.87867712133851</v>
      </c>
      <c r="DU188" s="62">
        <f t="shared" si="152"/>
        <v>182.81277865988014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0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0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1.1368683772161603E-13</v>
      </c>
      <c r="EK188" s="18">
        <f>EJ188*VLOOKUP('Données projet'!$B$15,Paramètres!$A$1:$I$89,3,0)*VLOOKUP('Données projet'!$B$15,Paramètres!$A$1:$I$89,5,0)</f>
        <v>7.626113074366004E-14</v>
      </c>
      <c r="EL188" s="14">
        <f t="shared" si="179"/>
        <v>1.1823749172251317E-12</v>
      </c>
      <c r="EM188" s="22">
        <f t="shared" si="180"/>
        <v>2.1921244502123119E-12</v>
      </c>
      <c r="EN188" s="62">
        <f t="shared" si="128"/>
        <v>289.73432332845596</v>
      </c>
      <c r="EO188" s="62">
        <f ca="1">AVERAGE(OFFSET($EN$3,0,0,'Données projet'!$E$15+1,1))-AVERAGE(OFFSET($H$3,0,0,'Données projet'!$E$15+1,1))</f>
        <v>296.18088377871669</v>
      </c>
      <c r="EP188" s="62">
        <f t="shared" si="154"/>
        <v>252.23833925792056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0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0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1.1368683772161603E-13</v>
      </c>
      <c r="FF188" s="18">
        <f>FE188*VLOOKUP('Données projet'!$B$16,Paramètres!$A$1:$I$89,3,0)*VLOOKUP('Données projet'!$B$16,Paramètres!$A$1:$I$89,5,0)</f>
        <v>9.7543306765146564E-14</v>
      </c>
      <c r="FG188" s="14">
        <f t="shared" si="182"/>
        <v>1.4696264278629426E-12</v>
      </c>
      <c r="FH188" s="22">
        <f t="shared" si="183"/>
        <v>2.7294872878105889E-12</v>
      </c>
      <c r="FI188" s="62">
        <f t="shared" si="131"/>
        <v>289.73432332845647</v>
      </c>
      <c r="FJ188" s="62">
        <f ca="1">AVERAGE(OFFSET($FI$3,0,0,'Données projet'!$E$16+1,1))-AVERAGE(OFFSET($H$3,0,0,'Données projet'!$E$16+1,1))</f>
        <v>359.20464555327072</v>
      </c>
      <c r="FK188" s="62">
        <f t="shared" si="156"/>
        <v>305.54154052071863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0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0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-9.6633812063373625E-13</v>
      </c>
      <c r="O189" s="14">
        <f>N189*VLOOKUP('Données projet'!$B$9,Paramètres!$A$1:$I$89,3,0)*VLOOKUP('Données projet'!$B$9,Paramètres!$A$1:$I$89,5,0)</f>
        <v>-9.7986685432260874E-13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516.30971934066179</v>
      </c>
      <c r="T189" s="62">
        <f t="shared" si="142"/>
        <v>290.84286505723571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-9.6633812063373625E-13</v>
      </c>
      <c r="AJ189" s="14">
        <f>AI189*VLOOKUP('Données projet'!$B$10,Paramètres!$A$1:$I$89,3,0)*VLOOKUP('Données projet'!$B$10,Paramètres!$A$1:$I$89,5,0)</f>
        <v>-1.0401663530501537E-12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542.90832990875208</v>
      </c>
      <c r="AO189" s="62">
        <f t="shared" si="144"/>
        <v>304.94365539329362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-9.6633812063373625E-13</v>
      </c>
      <c r="BE189" s="14">
        <f>BD189*VLOOKUP('Données projet'!$B$11,Paramètres!$A$1:$I$89,3,0)*VLOOKUP('Données projet'!$B$11,Paramètres!$A$1:$I$89,5,0)</f>
        <v>-9.3464223027694966E-13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496.33873798282525</v>
      </c>
      <c r="BJ189" s="62">
        <f t="shared" si="146"/>
        <v>280.25465074992246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1.7053025658242404E-13</v>
      </c>
      <c r="BZ189" s="14">
        <f>BY189*VLOOKUP('Données projet'!$B$12,Paramètres!$A$1:$I$89,3,0)*VLOOKUP('Données projet'!$B$12,Paramètres!$A$1:$I$89,5,0)</f>
        <v>1.4897523215040567E-13</v>
      </c>
      <c r="CA189" s="14">
        <f t="shared" si="170"/>
        <v>2.136562777003313E-12</v>
      </c>
      <c r="CB189" s="22">
        <f t="shared" si="171"/>
        <v>3.9806453659427267E-12</v>
      </c>
      <c r="CC189" s="62">
        <f t="shared" si="119"/>
        <v>289.79675810586139</v>
      </c>
      <c r="CD189" s="62">
        <f ca="1">AVERAGE(OFFSET($CC$3,0,0,'Données projet'!$E$12+1,1))-AVERAGE(OFFSET($H$3,0,0,'Données projet'!$E$12+1,1))</f>
        <v>298.28891728374822</v>
      </c>
      <c r="CE189" s="62">
        <f t="shared" si="148"/>
        <v>275.07405533331371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1.1368683772161603E-13</v>
      </c>
      <c r="CU189" s="18">
        <f>CT189*VLOOKUP('Données projet'!$B$13,Paramètres!$A$1:$I$89,3,0)*VLOOKUP('Données projet'!$B$13,Paramètres!$A$1:$I$89,5,0)</f>
        <v>6.7984728957526396E-14</v>
      </c>
      <c r="CV189" s="14">
        <f t="shared" si="173"/>
        <v>1.0682447123141398E-12</v>
      </c>
      <c r="CW189" s="22">
        <f t="shared" si="174"/>
        <v>1.978932943548152E-12</v>
      </c>
      <c r="CX189" s="62">
        <f t="shared" si="122"/>
        <v>289.7967581058594</v>
      </c>
      <c r="CY189" s="62">
        <f ca="1">AVERAGE(OFFSET($CX$3,0,0,'Données projet'!$E$13+1,1))-AVERAGE(OFFSET($H$3,0,0,'Données projet'!$E$13+1,1))</f>
        <v>320.46614113586043</v>
      </c>
      <c r="CZ189" s="62">
        <f t="shared" si="150"/>
        <v>250.7806929924491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0</v>
      </c>
      <c r="DG189" s="23">
        <f>EXP(-LN(2)/25)*DG188+(1-EXP(-LN(2)/25))/(LN(2)/25)*Calculateur!DB189*Calculateur!DD189*VLOOKUP('Données projet'!$B$13,Paramètres!$A$1:$I$89,3,0)*0.475*44/12</f>
        <v>0</v>
      </c>
      <c r="DH189" s="23">
        <f>EXP(-LN(2)/2)*DH188+(1-EXP(-LN(2)/2))/(LN(2)/2)*DB189*DE189*VLOOKUP('Données projet'!$B$13,Paramètres!$A$1:$I$89,3,0)*0.475*44/12</f>
        <v>3.1363541554313826E-23</v>
      </c>
      <c r="DI189" s="24">
        <f t="shared" si="175"/>
        <v>3.1363541554313826E-23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-1.1368683772161603E-13</v>
      </c>
      <c r="DP189" s="18">
        <f>DO189*VLOOKUP('Données projet'!$B$14,Paramètres!$A$1:$I$89,3,0)*VLOOKUP('Données projet'!$B$14,Paramètres!$A$1:$I$89,5,0)</f>
        <v>-5.3205440053716299E-14</v>
      </c>
      <c r="DQ189" s="14" t="e">
        <f t="shared" si="176"/>
        <v>#NUM!</v>
      </c>
      <c r="DR189" s="22" t="e">
        <f t="shared" si="177"/>
        <v>#NUM!</v>
      </c>
      <c r="DS189" s="62" t="e">
        <f t="shared" si="125"/>
        <v>#NUM!</v>
      </c>
      <c r="DT189" s="62">
        <f ca="1">AVERAGE(OFFSET($DS$3,0,0,'Données projet'!$E$14+1,1))-AVERAGE(OFFSET($H$3,0,0,'Données projet'!$E$14+1,1))</f>
        <v>429.87867712133851</v>
      </c>
      <c r="DU189" s="62">
        <f t="shared" si="152"/>
        <v>182.81277865988014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0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0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1.1368683772161603E-13</v>
      </c>
      <c r="EK189" s="18">
        <f>EJ189*VLOOKUP('Données projet'!$B$15,Paramètres!$A$1:$I$89,3,0)*VLOOKUP('Données projet'!$B$15,Paramètres!$A$1:$I$89,5,0)</f>
        <v>7.626113074366004E-14</v>
      </c>
      <c r="EL189" s="14">
        <f t="shared" si="179"/>
        <v>1.1823749172251317E-12</v>
      </c>
      <c r="EM189" s="22">
        <f t="shared" si="180"/>
        <v>2.1921244502123119E-12</v>
      </c>
      <c r="EN189" s="62">
        <f t="shared" si="128"/>
        <v>289.79675810585962</v>
      </c>
      <c r="EO189" s="62">
        <f ca="1">AVERAGE(OFFSET($EN$3,0,0,'Données projet'!$E$15+1,1))-AVERAGE(OFFSET($H$3,0,0,'Données projet'!$E$15+1,1))</f>
        <v>296.18088377871669</v>
      </c>
      <c r="EP189" s="62">
        <f t="shared" si="154"/>
        <v>252.23833925792056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0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0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1.1368683772161603E-13</v>
      </c>
      <c r="FF189" s="18">
        <f>FE189*VLOOKUP('Données projet'!$B$16,Paramètres!$A$1:$I$89,3,0)*VLOOKUP('Données projet'!$B$16,Paramètres!$A$1:$I$89,5,0)</f>
        <v>9.7543306765146564E-14</v>
      </c>
      <c r="FG189" s="14">
        <f t="shared" si="182"/>
        <v>1.4696264278629426E-12</v>
      </c>
      <c r="FH189" s="22">
        <f t="shared" si="183"/>
        <v>2.7294872878105889E-12</v>
      </c>
      <c r="FI189" s="62">
        <f t="shared" si="131"/>
        <v>289.79675810586014</v>
      </c>
      <c r="FJ189" s="62">
        <f ca="1">AVERAGE(OFFSET($FI$3,0,0,'Données projet'!$E$16+1,1))-AVERAGE(OFFSET($H$3,0,0,'Données projet'!$E$16+1,1))</f>
        <v>359.20464555327072</v>
      </c>
      <c r="FK189" s="62">
        <f t="shared" si="156"/>
        <v>305.54154052071863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0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0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-9.6633812063373625E-13</v>
      </c>
      <c r="O190" s="14">
        <f>N190*VLOOKUP('Données projet'!$B$9,Paramètres!$A$1:$I$89,3,0)*VLOOKUP('Données projet'!$B$9,Paramètres!$A$1:$I$89,5,0)</f>
        <v>-9.7986685432260874E-13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516.30971934066179</v>
      </c>
      <c r="T190" s="62">
        <f t="shared" si="142"/>
        <v>290.84286505723571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-9.6633812063373625E-13</v>
      </c>
      <c r="AJ190" s="14">
        <f>AI190*VLOOKUP('Données projet'!$B$10,Paramètres!$A$1:$I$89,3,0)*VLOOKUP('Données projet'!$B$10,Paramètres!$A$1:$I$89,5,0)</f>
        <v>-1.0401663530501537E-12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542.90832990875208</v>
      </c>
      <c r="AO190" s="62">
        <f t="shared" si="144"/>
        <v>304.94365539329362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-9.6633812063373625E-13</v>
      </c>
      <c r="BE190" s="14">
        <f>BD190*VLOOKUP('Données projet'!$B$11,Paramètres!$A$1:$I$89,3,0)*VLOOKUP('Données projet'!$B$11,Paramètres!$A$1:$I$89,5,0)</f>
        <v>-9.3464223027694966E-13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496.33873798282525</v>
      </c>
      <c r="BJ190" s="62">
        <f t="shared" si="146"/>
        <v>280.25465074992246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1.7053025658242404E-13</v>
      </c>
      <c r="BZ190" s="14">
        <f>BY190*VLOOKUP('Données projet'!$B$12,Paramètres!$A$1:$I$89,3,0)*VLOOKUP('Données projet'!$B$12,Paramètres!$A$1:$I$89,5,0)</f>
        <v>1.4897523215040567E-13</v>
      </c>
      <c r="CA190" s="14">
        <f t="shared" si="170"/>
        <v>2.136562777003313E-12</v>
      </c>
      <c r="CB190" s="22">
        <f t="shared" si="171"/>
        <v>3.9806453659427267E-12</v>
      </c>
      <c r="CC190" s="62">
        <f t="shared" si="119"/>
        <v>289.85810977946039</v>
      </c>
      <c r="CD190" s="62">
        <f ca="1">AVERAGE(OFFSET($CC$3,0,0,'Données projet'!$E$12+1,1))-AVERAGE(OFFSET($H$3,0,0,'Données projet'!$E$12+1,1))</f>
        <v>298.28891728374822</v>
      </c>
      <c r="CE190" s="62">
        <f t="shared" si="148"/>
        <v>275.07405533331371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1.1368683772161603E-13</v>
      </c>
      <c r="CU190" s="18">
        <f>CT190*VLOOKUP('Données projet'!$B$13,Paramètres!$A$1:$I$89,3,0)*VLOOKUP('Données projet'!$B$13,Paramètres!$A$1:$I$89,5,0)</f>
        <v>6.7984728957526396E-14</v>
      </c>
      <c r="CV190" s="14">
        <f t="shared" si="173"/>
        <v>1.0682447123141398E-12</v>
      </c>
      <c r="CW190" s="22">
        <f t="shared" si="174"/>
        <v>1.978932943548152E-12</v>
      </c>
      <c r="CX190" s="62">
        <f t="shared" si="122"/>
        <v>289.8581097794584</v>
      </c>
      <c r="CY190" s="62">
        <f ca="1">AVERAGE(OFFSET($CX$3,0,0,'Données projet'!$E$13+1,1))-AVERAGE(OFFSET($H$3,0,0,'Données projet'!$E$13+1,1))</f>
        <v>320.46614113586043</v>
      </c>
      <c r="CZ190" s="62">
        <f t="shared" si="150"/>
        <v>250.7806929924491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0</v>
      </c>
      <c r="DG190" s="23">
        <f>EXP(-LN(2)/25)*DG189+(1-EXP(-LN(2)/25))/(LN(2)/25)*Calculateur!DB190*Calculateur!DD190*VLOOKUP('Données projet'!$B$13,Paramètres!$A$1:$I$89,3,0)*0.475*44/12</f>
        <v>0</v>
      </c>
      <c r="DH190" s="23">
        <f>EXP(-LN(2)/2)*DH189+(1-EXP(-LN(2)/2))/(LN(2)/2)*DB190*DE190*VLOOKUP('Données projet'!$B$13,Paramètres!$A$1:$I$89,3,0)*0.475*44/12</f>
        <v>2.2177372915081378E-23</v>
      </c>
      <c r="DI190" s="24">
        <f t="shared" si="175"/>
        <v>2.2177372915081378E-23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-1.1368683772161603E-13</v>
      </c>
      <c r="DP190" s="18">
        <f>DO190*VLOOKUP('Données projet'!$B$14,Paramètres!$A$1:$I$89,3,0)*VLOOKUP('Données projet'!$B$14,Paramètres!$A$1:$I$89,5,0)</f>
        <v>-5.3205440053716299E-14</v>
      </c>
      <c r="DQ190" s="14" t="e">
        <f t="shared" si="176"/>
        <v>#NUM!</v>
      </c>
      <c r="DR190" s="22" t="e">
        <f t="shared" si="177"/>
        <v>#NUM!</v>
      </c>
      <c r="DS190" s="62" t="e">
        <f t="shared" si="125"/>
        <v>#NUM!</v>
      </c>
      <c r="DT190" s="62">
        <f ca="1">AVERAGE(OFFSET($DS$3,0,0,'Données projet'!$E$14+1,1))-AVERAGE(OFFSET($H$3,0,0,'Données projet'!$E$14+1,1))</f>
        <v>429.87867712133851</v>
      </c>
      <c r="DU190" s="62">
        <f t="shared" si="152"/>
        <v>182.81277865988014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0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0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1.1368683772161603E-13</v>
      </c>
      <c r="EK190" s="18">
        <f>EJ190*VLOOKUP('Données projet'!$B$15,Paramètres!$A$1:$I$89,3,0)*VLOOKUP('Données projet'!$B$15,Paramètres!$A$1:$I$89,5,0)</f>
        <v>7.626113074366004E-14</v>
      </c>
      <c r="EL190" s="14">
        <f t="shared" si="179"/>
        <v>1.1823749172251317E-12</v>
      </c>
      <c r="EM190" s="22">
        <f t="shared" si="180"/>
        <v>2.1921244502123119E-12</v>
      </c>
      <c r="EN190" s="62">
        <f t="shared" si="128"/>
        <v>289.85810977945863</v>
      </c>
      <c r="EO190" s="62">
        <f ca="1">AVERAGE(OFFSET($EN$3,0,0,'Données projet'!$E$15+1,1))-AVERAGE(OFFSET($H$3,0,0,'Données projet'!$E$15+1,1))</f>
        <v>296.18088377871669</v>
      </c>
      <c r="EP190" s="62">
        <f t="shared" si="154"/>
        <v>252.23833925792056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0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0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1.1368683772161603E-13</v>
      </c>
      <c r="FF190" s="18">
        <f>FE190*VLOOKUP('Données projet'!$B$16,Paramètres!$A$1:$I$89,3,0)*VLOOKUP('Données projet'!$B$16,Paramètres!$A$1:$I$89,5,0)</f>
        <v>9.7543306765146564E-14</v>
      </c>
      <c r="FG190" s="14">
        <f t="shared" si="182"/>
        <v>1.4696264278629426E-12</v>
      </c>
      <c r="FH190" s="22">
        <f t="shared" si="183"/>
        <v>2.7294872878105889E-12</v>
      </c>
      <c r="FI190" s="62">
        <f t="shared" si="131"/>
        <v>289.85810977945914</v>
      </c>
      <c r="FJ190" s="62">
        <f ca="1">AVERAGE(OFFSET($FI$3,0,0,'Données projet'!$E$16+1,1))-AVERAGE(OFFSET($H$3,0,0,'Données projet'!$E$16+1,1))</f>
        <v>359.20464555327072</v>
      </c>
      <c r="FK190" s="62">
        <f t="shared" si="156"/>
        <v>305.54154052071863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0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0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-9.6633812063373625E-13</v>
      </c>
      <c r="O191" s="14">
        <f>N191*VLOOKUP('Données projet'!$B$9,Paramètres!$A$1:$I$89,3,0)*VLOOKUP('Données projet'!$B$9,Paramètres!$A$1:$I$89,5,0)</f>
        <v>-9.7986685432260874E-13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516.30971934066179</v>
      </c>
      <c r="T191" s="62">
        <f t="shared" si="142"/>
        <v>290.84286505723571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-9.6633812063373625E-13</v>
      </c>
      <c r="AJ191" s="14">
        <f>AI191*VLOOKUP('Données projet'!$B$10,Paramètres!$A$1:$I$89,3,0)*VLOOKUP('Données projet'!$B$10,Paramètres!$A$1:$I$89,5,0)</f>
        <v>-1.0401663530501537E-12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542.90832990875208</v>
      </c>
      <c r="AO191" s="62">
        <f t="shared" si="144"/>
        <v>304.94365539329362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-9.6633812063373625E-13</v>
      </c>
      <c r="BE191" s="14">
        <f>BD191*VLOOKUP('Données projet'!$B$11,Paramètres!$A$1:$I$89,3,0)*VLOOKUP('Données projet'!$B$11,Paramètres!$A$1:$I$89,5,0)</f>
        <v>-9.3464223027694966E-13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496.33873798282525</v>
      </c>
      <c r="BJ191" s="62">
        <f t="shared" si="146"/>
        <v>280.25465074992246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1.7053025658242404E-13</v>
      </c>
      <c r="BZ191" s="14">
        <f>BY191*VLOOKUP('Données projet'!$B$12,Paramètres!$A$1:$I$89,3,0)*VLOOKUP('Données projet'!$B$12,Paramètres!$A$1:$I$89,5,0)</f>
        <v>1.4897523215040567E-13</v>
      </c>
      <c r="CA191" s="14">
        <f t="shared" si="170"/>
        <v>2.136562777003313E-12</v>
      </c>
      <c r="CB191" s="22">
        <f t="shared" si="171"/>
        <v>3.9806453659427267E-12</v>
      </c>
      <c r="CC191" s="62">
        <f t="shared" si="119"/>
        <v>289.91839713868421</v>
      </c>
      <c r="CD191" s="62">
        <f ca="1">AVERAGE(OFFSET($CC$3,0,0,'Données projet'!$E$12+1,1))-AVERAGE(OFFSET($H$3,0,0,'Données projet'!$E$12+1,1))</f>
        <v>298.28891728374822</v>
      </c>
      <c r="CE191" s="62">
        <f t="shared" si="148"/>
        <v>275.07405533331371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1.1368683772161603E-13</v>
      </c>
      <c r="CU191" s="18">
        <f>CT191*VLOOKUP('Données projet'!$B$13,Paramètres!$A$1:$I$89,3,0)*VLOOKUP('Données projet'!$B$13,Paramètres!$A$1:$I$89,5,0)</f>
        <v>6.7984728957526396E-14</v>
      </c>
      <c r="CV191" s="14">
        <f t="shared" si="173"/>
        <v>1.0682447123141398E-12</v>
      </c>
      <c r="CW191" s="22">
        <f t="shared" si="174"/>
        <v>1.978932943548152E-12</v>
      </c>
      <c r="CX191" s="62">
        <f t="shared" si="122"/>
        <v>289.91839713868222</v>
      </c>
      <c r="CY191" s="62">
        <f ca="1">AVERAGE(OFFSET($CX$3,0,0,'Données projet'!$E$13+1,1))-AVERAGE(OFFSET($H$3,0,0,'Données projet'!$E$13+1,1))</f>
        <v>320.46614113586043</v>
      </c>
      <c r="CZ191" s="62">
        <f t="shared" si="150"/>
        <v>250.7806929924491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0</v>
      </c>
      <c r="DG191" s="23">
        <f>EXP(-LN(2)/25)*DG190+(1-EXP(-LN(2)/25))/(LN(2)/25)*Calculateur!DB191*Calculateur!DD191*VLOOKUP('Données projet'!$B$13,Paramètres!$A$1:$I$89,3,0)*0.475*44/12</f>
        <v>0</v>
      </c>
      <c r="DH191" s="23">
        <f>EXP(-LN(2)/2)*DH190+(1-EXP(-LN(2)/2))/(LN(2)/2)*DB191*DE191*VLOOKUP('Données projet'!$B$13,Paramètres!$A$1:$I$89,3,0)*0.475*44/12</f>
        <v>1.5681770777156913E-23</v>
      </c>
      <c r="DI191" s="24">
        <f t="shared" si="175"/>
        <v>1.5681770777156913E-23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-1.1368683772161603E-13</v>
      </c>
      <c r="DP191" s="18">
        <f>DO191*VLOOKUP('Données projet'!$B$14,Paramètres!$A$1:$I$89,3,0)*VLOOKUP('Données projet'!$B$14,Paramètres!$A$1:$I$89,5,0)</f>
        <v>-5.3205440053716299E-14</v>
      </c>
      <c r="DQ191" s="14" t="e">
        <f t="shared" si="176"/>
        <v>#NUM!</v>
      </c>
      <c r="DR191" s="22" t="e">
        <f t="shared" si="177"/>
        <v>#NUM!</v>
      </c>
      <c r="DS191" s="62" t="e">
        <f t="shared" si="125"/>
        <v>#NUM!</v>
      </c>
      <c r="DT191" s="62">
        <f ca="1">AVERAGE(OFFSET($DS$3,0,0,'Données projet'!$E$14+1,1))-AVERAGE(OFFSET($H$3,0,0,'Données projet'!$E$14+1,1))</f>
        <v>429.87867712133851</v>
      </c>
      <c r="DU191" s="62">
        <f t="shared" si="152"/>
        <v>182.81277865988014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0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0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1.1368683772161603E-13</v>
      </c>
      <c r="EK191" s="18">
        <f>EJ191*VLOOKUP('Données projet'!$B$15,Paramètres!$A$1:$I$89,3,0)*VLOOKUP('Données projet'!$B$15,Paramètres!$A$1:$I$89,5,0)</f>
        <v>7.626113074366004E-14</v>
      </c>
      <c r="EL191" s="14">
        <f t="shared" si="179"/>
        <v>1.1823749172251317E-12</v>
      </c>
      <c r="EM191" s="22">
        <f t="shared" si="180"/>
        <v>2.1921244502123119E-12</v>
      </c>
      <c r="EN191" s="62">
        <f t="shared" si="128"/>
        <v>289.91839713868245</v>
      </c>
      <c r="EO191" s="62">
        <f ca="1">AVERAGE(OFFSET($EN$3,0,0,'Données projet'!$E$15+1,1))-AVERAGE(OFFSET($H$3,0,0,'Données projet'!$E$15+1,1))</f>
        <v>296.18088377871669</v>
      </c>
      <c r="EP191" s="62">
        <f t="shared" si="154"/>
        <v>252.23833925792056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0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0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1.1368683772161603E-13</v>
      </c>
      <c r="FF191" s="18">
        <f>FE191*VLOOKUP('Données projet'!$B$16,Paramètres!$A$1:$I$89,3,0)*VLOOKUP('Données projet'!$B$16,Paramètres!$A$1:$I$89,5,0)</f>
        <v>9.7543306765146564E-14</v>
      </c>
      <c r="FG191" s="14">
        <f t="shared" si="182"/>
        <v>1.4696264278629426E-12</v>
      </c>
      <c r="FH191" s="22">
        <f t="shared" si="183"/>
        <v>2.7294872878105889E-12</v>
      </c>
      <c r="FI191" s="62">
        <f t="shared" si="131"/>
        <v>289.91839713868296</v>
      </c>
      <c r="FJ191" s="62">
        <f ca="1">AVERAGE(OFFSET($FI$3,0,0,'Données projet'!$E$16+1,1))-AVERAGE(OFFSET($H$3,0,0,'Données projet'!$E$16+1,1))</f>
        <v>359.20464555327072</v>
      </c>
      <c r="FK191" s="62">
        <f t="shared" si="156"/>
        <v>305.54154052071863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0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0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-9.6633812063373625E-13</v>
      </c>
      <c r="O192" s="14">
        <f>N192*VLOOKUP('Données projet'!$B$9,Paramètres!$A$1:$I$89,3,0)*VLOOKUP('Données projet'!$B$9,Paramètres!$A$1:$I$89,5,0)</f>
        <v>-9.7986685432260874E-13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516.30971934066179</v>
      </c>
      <c r="T192" s="62">
        <f t="shared" si="142"/>
        <v>290.84286505723571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-9.6633812063373625E-13</v>
      </c>
      <c r="AJ192" s="14">
        <f>AI192*VLOOKUP('Données projet'!$B$10,Paramètres!$A$1:$I$89,3,0)*VLOOKUP('Données projet'!$B$10,Paramètres!$A$1:$I$89,5,0)</f>
        <v>-1.0401663530501537E-12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542.90832990875208</v>
      </c>
      <c r="AO192" s="62">
        <f t="shared" si="144"/>
        <v>304.94365539329362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-9.6633812063373625E-13</v>
      </c>
      <c r="BE192" s="14">
        <f>BD192*VLOOKUP('Données projet'!$B$11,Paramètres!$A$1:$I$89,3,0)*VLOOKUP('Données projet'!$B$11,Paramètres!$A$1:$I$89,5,0)</f>
        <v>-9.3464223027694966E-13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496.33873798282525</v>
      </c>
      <c r="BJ192" s="62">
        <f t="shared" si="146"/>
        <v>280.25465074992246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1.7053025658242404E-13</v>
      </c>
      <c r="BZ192" s="14">
        <f>BY192*VLOOKUP('Données projet'!$B$12,Paramètres!$A$1:$I$89,3,0)*VLOOKUP('Données projet'!$B$12,Paramètres!$A$1:$I$89,5,0)</f>
        <v>1.4897523215040567E-13</v>
      </c>
      <c r="CA192" s="14">
        <f t="shared" si="170"/>
        <v>2.136562777003313E-12</v>
      </c>
      <c r="CB192" s="22">
        <f t="shared" si="171"/>
        <v>3.9806453659427267E-12</v>
      </c>
      <c r="CC192" s="62">
        <f t="shared" si="119"/>
        <v>289.97763864700784</v>
      </c>
      <c r="CD192" s="62">
        <f ca="1">AVERAGE(OFFSET($CC$3,0,0,'Données projet'!$E$12+1,1))-AVERAGE(OFFSET($H$3,0,0,'Données projet'!$E$12+1,1))</f>
        <v>298.28891728374822</v>
      </c>
      <c r="CE192" s="62">
        <f t="shared" si="148"/>
        <v>275.07405533331371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1.1368683772161603E-13</v>
      </c>
      <c r="CU192" s="18">
        <f>CT192*VLOOKUP('Données projet'!$B$13,Paramètres!$A$1:$I$89,3,0)*VLOOKUP('Données projet'!$B$13,Paramètres!$A$1:$I$89,5,0)</f>
        <v>6.7984728957526396E-14</v>
      </c>
      <c r="CV192" s="14">
        <f t="shared" si="173"/>
        <v>1.0682447123141398E-12</v>
      </c>
      <c r="CW192" s="22">
        <f t="shared" si="174"/>
        <v>1.978932943548152E-12</v>
      </c>
      <c r="CX192" s="62">
        <f t="shared" si="122"/>
        <v>289.97763864700585</v>
      </c>
      <c r="CY192" s="62">
        <f ca="1">AVERAGE(OFFSET($CX$3,0,0,'Données projet'!$E$13+1,1))-AVERAGE(OFFSET($H$3,0,0,'Données projet'!$E$13+1,1))</f>
        <v>320.46614113586043</v>
      </c>
      <c r="CZ192" s="62">
        <f t="shared" si="150"/>
        <v>250.7806929924491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0</v>
      </c>
      <c r="DG192" s="23">
        <f>EXP(-LN(2)/25)*DG191+(1-EXP(-LN(2)/25))/(LN(2)/25)*Calculateur!DB192*Calculateur!DD192*VLOOKUP('Données projet'!$B$13,Paramètres!$A$1:$I$89,3,0)*0.475*44/12</f>
        <v>0</v>
      </c>
      <c r="DH192" s="23">
        <f>EXP(-LN(2)/2)*DH191+(1-EXP(-LN(2)/2))/(LN(2)/2)*DB192*DE192*VLOOKUP('Données projet'!$B$13,Paramètres!$A$1:$I$89,3,0)*0.475*44/12</f>
        <v>1.1088686457540689E-23</v>
      </c>
      <c r="DI192" s="24">
        <f t="shared" si="175"/>
        <v>1.1088686457540689E-23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-1.1368683772161603E-13</v>
      </c>
      <c r="DP192" s="18">
        <f>DO192*VLOOKUP('Données projet'!$B$14,Paramètres!$A$1:$I$89,3,0)*VLOOKUP('Données projet'!$B$14,Paramètres!$A$1:$I$89,5,0)</f>
        <v>-5.3205440053716299E-14</v>
      </c>
      <c r="DQ192" s="14" t="e">
        <f t="shared" si="176"/>
        <v>#NUM!</v>
      </c>
      <c r="DR192" s="22" t="e">
        <f t="shared" si="177"/>
        <v>#NUM!</v>
      </c>
      <c r="DS192" s="62" t="e">
        <f t="shared" si="125"/>
        <v>#NUM!</v>
      </c>
      <c r="DT192" s="62">
        <f ca="1">AVERAGE(OFFSET($DS$3,0,0,'Données projet'!$E$14+1,1))-AVERAGE(OFFSET($H$3,0,0,'Données projet'!$E$14+1,1))</f>
        <v>429.87867712133851</v>
      </c>
      <c r="DU192" s="62">
        <f t="shared" si="152"/>
        <v>182.81277865988014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0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0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1.1368683772161603E-13</v>
      </c>
      <c r="EK192" s="18">
        <f>EJ192*VLOOKUP('Données projet'!$B$15,Paramètres!$A$1:$I$89,3,0)*VLOOKUP('Données projet'!$B$15,Paramètres!$A$1:$I$89,5,0)</f>
        <v>7.626113074366004E-14</v>
      </c>
      <c r="EL192" s="14">
        <f t="shared" si="179"/>
        <v>1.1823749172251317E-12</v>
      </c>
      <c r="EM192" s="22">
        <f t="shared" si="180"/>
        <v>2.1921244502123119E-12</v>
      </c>
      <c r="EN192" s="62">
        <f t="shared" si="128"/>
        <v>289.97763864700607</v>
      </c>
      <c r="EO192" s="62">
        <f ca="1">AVERAGE(OFFSET($EN$3,0,0,'Données projet'!$E$15+1,1))-AVERAGE(OFFSET($H$3,0,0,'Données projet'!$E$15+1,1))</f>
        <v>296.18088377871669</v>
      </c>
      <c r="EP192" s="62">
        <f t="shared" si="154"/>
        <v>252.23833925792056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0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0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1.1368683772161603E-13</v>
      </c>
      <c r="FF192" s="18">
        <f>FE192*VLOOKUP('Données projet'!$B$16,Paramètres!$A$1:$I$89,3,0)*VLOOKUP('Données projet'!$B$16,Paramètres!$A$1:$I$89,5,0)</f>
        <v>9.7543306765146564E-14</v>
      </c>
      <c r="FG192" s="14">
        <f t="shared" si="182"/>
        <v>1.4696264278629426E-12</v>
      </c>
      <c r="FH192" s="22">
        <f t="shared" si="183"/>
        <v>2.7294872878105889E-12</v>
      </c>
      <c r="FI192" s="62">
        <f t="shared" si="131"/>
        <v>289.97763864700659</v>
      </c>
      <c r="FJ192" s="62">
        <f ca="1">AVERAGE(OFFSET($FI$3,0,0,'Données projet'!$E$16+1,1))-AVERAGE(OFFSET($H$3,0,0,'Données projet'!$E$16+1,1))</f>
        <v>359.20464555327072</v>
      </c>
      <c r="FK192" s="62">
        <f t="shared" si="156"/>
        <v>305.54154052071863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0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0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-9.6633812063373625E-13</v>
      </c>
      <c r="O193" s="14">
        <f>N193*VLOOKUP('Données projet'!$B$9,Paramètres!$A$1:$I$89,3,0)*VLOOKUP('Données projet'!$B$9,Paramètres!$A$1:$I$89,5,0)</f>
        <v>-9.7986685432260874E-13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516.30971934066179</v>
      </c>
      <c r="T193" s="62">
        <f t="shared" si="142"/>
        <v>290.84286505723571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-9.6633812063373625E-13</v>
      </c>
      <c r="AJ193" s="14">
        <f>AI193*VLOOKUP('Données projet'!$B$10,Paramètres!$A$1:$I$89,3,0)*VLOOKUP('Données projet'!$B$10,Paramètres!$A$1:$I$89,5,0)</f>
        <v>-1.0401663530501537E-12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542.90832990875208</v>
      </c>
      <c r="AO193" s="62">
        <f t="shared" si="144"/>
        <v>304.94365539329362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-9.6633812063373625E-13</v>
      </c>
      <c r="BE193" s="14">
        <f>BD193*VLOOKUP('Données projet'!$B$11,Paramètres!$A$1:$I$89,3,0)*VLOOKUP('Données projet'!$B$11,Paramètres!$A$1:$I$89,5,0)</f>
        <v>-9.3464223027694966E-13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496.33873798282525</v>
      </c>
      <c r="BJ193" s="62">
        <f t="shared" si="146"/>
        <v>280.25465074992246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1.7053025658242404E-13</v>
      </c>
      <c r="BZ193" s="14">
        <f>BY193*VLOOKUP('Données projet'!$B$12,Paramètres!$A$1:$I$89,3,0)*VLOOKUP('Données projet'!$B$12,Paramètres!$A$1:$I$89,5,0)</f>
        <v>1.4897523215040567E-13</v>
      </c>
      <c r="CA193" s="14">
        <f t="shared" si="170"/>
        <v>2.136562777003313E-12</v>
      </c>
      <c r="CB193" s="22">
        <f t="shared" si="171"/>
        <v>3.9806453659427267E-12</v>
      </c>
      <c r="CC193" s="62">
        <f t="shared" si="119"/>
        <v>290.03585244760626</v>
      </c>
      <c r="CD193" s="62">
        <f ca="1">AVERAGE(OFFSET($CC$3,0,0,'Données projet'!$E$12+1,1))-AVERAGE(OFFSET($H$3,0,0,'Données projet'!$E$12+1,1))</f>
        <v>298.28891728374822</v>
      </c>
      <c r="CE193" s="62">
        <f t="shared" si="148"/>
        <v>275.07405533331371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1.1368683772161603E-13</v>
      </c>
      <c r="CU193" s="18">
        <f>CT193*VLOOKUP('Données projet'!$B$13,Paramètres!$A$1:$I$89,3,0)*VLOOKUP('Données projet'!$B$13,Paramètres!$A$1:$I$89,5,0)</f>
        <v>6.7984728957526396E-14</v>
      </c>
      <c r="CV193" s="14">
        <f t="shared" si="173"/>
        <v>1.0682447123141398E-12</v>
      </c>
      <c r="CW193" s="22">
        <f t="shared" si="174"/>
        <v>1.978932943548152E-12</v>
      </c>
      <c r="CX193" s="62">
        <f t="shared" si="122"/>
        <v>290.03585244760427</v>
      </c>
      <c r="CY193" s="62">
        <f ca="1">AVERAGE(OFFSET($CX$3,0,0,'Données projet'!$E$13+1,1))-AVERAGE(OFFSET($H$3,0,0,'Données projet'!$E$13+1,1))</f>
        <v>320.46614113586043</v>
      </c>
      <c r="CZ193" s="62">
        <f t="shared" si="150"/>
        <v>250.7806929924491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0</v>
      </c>
      <c r="DG193" s="23">
        <f>EXP(-LN(2)/25)*DG192+(1-EXP(-LN(2)/25))/(LN(2)/25)*Calculateur!DB193*Calculateur!DD193*VLOOKUP('Données projet'!$B$13,Paramètres!$A$1:$I$89,3,0)*0.475*44/12</f>
        <v>0</v>
      </c>
      <c r="DH193" s="23">
        <f>EXP(-LN(2)/2)*DH192+(1-EXP(-LN(2)/2))/(LN(2)/2)*DB193*DE193*VLOOKUP('Données projet'!$B$13,Paramètres!$A$1:$I$89,3,0)*0.475*44/12</f>
        <v>7.8408853885784565E-24</v>
      </c>
      <c r="DI193" s="24">
        <f t="shared" si="175"/>
        <v>7.8408853885784565E-24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-1.1368683772161603E-13</v>
      </c>
      <c r="DP193" s="18">
        <f>DO193*VLOOKUP('Données projet'!$B$14,Paramètres!$A$1:$I$89,3,0)*VLOOKUP('Données projet'!$B$14,Paramètres!$A$1:$I$89,5,0)</f>
        <v>-5.3205440053716299E-14</v>
      </c>
      <c r="DQ193" s="14" t="e">
        <f t="shared" si="176"/>
        <v>#NUM!</v>
      </c>
      <c r="DR193" s="22" t="e">
        <f t="shared" si="177"/>
        <v>#NUM!</v>
      </c>
      <c r="DS193" s="62" t="e">
        <f t="shared" si="125"/>
        <v>#NUM!</v>
      </c>
      <c r="DT193" s="62">
        <f ca="1">AVERAGE(OFFSET($DS$3,0,0,'Données projet'!$E$14+1,1))-AVERAGE(OFFSET($H$3,0,0,'Données projet'!$E$14+1,1))</f>
        <v>429.87867712133851</v>
      </c>
      <c r="DU193" s="62">
        <f t="shared" si="152"/>
        <v>182.81277865988014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0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0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1.1368683772161603E-13</v>
      </c>
      <c r="EK193" s="18">
        <f>EJ193*VLOOKUP('Données projet'!$B$15,Paramètres!$A$1:$I$89,3,0)*VLOOKUP('Données projet'!$B$15,Paramètres!$A$1:$I$89,5,0)</f>
        <v>7.626113074366004E-14</v>
      </c>
      <c r="EL193" s="14">
        <f t="shared" si="179"/>
        <v>1.1823749172251317E-12</v>
      </c>
      <c r="EM193" s="22">
        <f t="shared" si="180"/>
        <v>2.1921244502123119E-12</v>
      </c>
      <c r="EN193" s="62">
        <f t="shared" si="128"/>
        <v>290.0358524476045</v>
      </c>
      <c r="EO193" s="62">
        <f ca="1">AVERAGE(OFFSET($EN$3,0,0,'Données projet'!$E$15+1,1))-AVERAGE(OFFSET($H$3,0,0,'Données projet'!$E$15+1,1))</f>
        <v>296.18088377871669</v>
      </c>
      <c r="EP193" s="62">
        <f t="shared" si="154"/>
        <v>252.23833925792056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0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0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1.1368683772161603E-13</v>
      </c>
      <c r="FF193" s="18">
        <f>FE193*VLOOKUP('Données projet'!$B$16,Paramètres!$A$1:$I$89,3,0)*VLOOKUP('Données projet'!$B$16,Paramètres!$A$1:$I$89,5,0)</f>
        <v>9.7543306765146564E-14</v>
      </c>
      <c r="FG193" s="14">
        <f t="shared" si="182"/>
        <v>1.4696264278629426E-12</v>
      </c>
      <c r="FH193" s="22">
        <f t="shared" si="183"/>
        <v>2.7294872878105889E-12</v>
      </c>
      <c r="FI193" s="62">
        <f t="shared" si="131"/>
        <v>290.03585244760501</v>
      </c>
      <c r="FJ193" s="62">
        <f ca="1">AVERAGE(OFFSET($FI$3,0,0,'Données projet'!$E$16+1,1))-AVERAGE(OFFSET($H$3,0,0,'Données projet'!$E$16+1,1))</f>
        <v>359.20464555327072</v>
      </c>
      <c r="FK193" s="62">
        <f t="shared" si="156"/>
        <v>305.54154052071863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0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0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-9.6633812063373625E-13</v>
      </c>
      <c r="O194" s="14">
        <f>N194*VLOOKUP('Données projet'!$B$9,Paramètres!$A$1:$I$89,3,0)*VLOOKUP('Données projet'!$B$9,Paramètres!$A$1:$I$89,5,0)</f>
        <v>-9.7986685432260874E-13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516.30971934066179</v>
      </c>
      <c r="T194" s="62">
        <f t="shared" si="142"/>
        <v>290.84286505723571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-9.6633812063373625E-13</v>
      </c>
      <c r="AJ194" s="14">
        <f>AI194*VLOOKUP('Données projet'!$B$10,Paramètres!$A$1:$I$89,3,0)*VLOOKUP('Données projet'!$B$10,Paramètres!$A$1:$I$89,5,0)</f>
        <v>-1.0401663530501537E-12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542.90832990875208</v>
      </c>
      <c r="AO194" s="62">
        <f t="shared" si="144"/>
        <v>304.94365539329362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-9.6633812063373625E-13</v>
      </c>
      <c r="BE194" s="14">
        <f>BD194*VLOOKUP('Données projet'!$B$11,Paramètres!$A$1:$I$89,3,0)*VLOOKUP('Données projet'!$B$11,Paramètres!$A$1:$I$89,5,0)</f>
        <v>-9.3464223027694966E-13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496.33873798282525</v>
      </c>
      <c r="BJ194" s="62">
        <f t="shared" si="146"/>
        <v>280.25465074992246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1.7053025658242404E-13</v>
      </c>
      <c r="BZ194" s="14">
        <f>BY194*VLOOKUP('Données projet'!$B$12,Paramètres!$A$1:$I$89,3,0)*VLOOKUP('Données projet'!$B$12,Paramètres!$A$1:$I$89,5,0)</f>
        <v>1.4897523215040567E-13</v>
      </c>
      <c r="CA194" s="14">
        <f t="shared" si="170"/>
        <v>2.136562777003313E-12</v>
      </c>
      <c r="CB194" s="22">
        <f t="shared" si="171"/>
        <v>3.9806453659427267E-12</v>
      </c>
      <c r="CC194" s="62">
        <f t="shared" si="119"/>
        <v>290.09305636891082</v>
      </c>
      <c r="CD194" s="62">
        <f ca="1">AVERAGE(OFFSET($CC$3,0,0,'Données projet'!$E$12+1,1))-AVERAGE(OFFSET($H$3,0,0,'Données projet'!$E$12+1,1))</f>
        <v>298.28891728374822</v>
      </c>
      <c r="CE194" s="62">
        <f t="shared" si="148"/>
        <v>275.07405533331371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1.1368683772161603E-13</v>
      </c>
      <c r="CU194" s="18">
        <f>CT194*VLOOKUP('Données projet'!$B$13,Paramètres!$A$1:$I$89,3,0)*VLOOKUP('Données projet'!$B$13,Paramètres!$A$1:$I$89,5,0)</f>
        <v>6.7984728957526396E-14</v>
      </c>
      <c r="CV194" s="14">
        <f t="shared" si="173"/>
        <v>1.0682447123141398E-12</v>
      </c>
      <c r="CW194" s="22">
        <f t="shared" si="174"/>
        <v>1.978932943548152E-12</v>
      </c>
      <c r="CX194" s="62">
        <f t="shared" si="122"/>
        <v>290.09305636890883</v>
      </c>
      <c r="CY194" s="62">
        <f ca="1">AVERAGE(OFFSET($CX$3,0,0,'Données projet'!$E$13+1,1))-AVERAGE(OFFSET($H$3,0,0,'Données projet'!$E$13+1,1))</f>
        <v>320.46614113586043</v>
      </c>
      <c r="CZ194" s="62">
        <f t="shared" si="150"/>
        <v>250.7806929924491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0</v>
      </c>
      <c r="DG194" s="23">
        <f>EXP(-LN(2)/25)*DG193+(1-EXP(-LN(2)/25))/(LN(2)/25)*Calculateur!DB194*Calculateur!DD194*VLOOKUP('Données projet'!$B$13,Paramètres!$A$1:$I$89,3,0)*0.475*44/12</f>
        <v>0</v>
      </c>
      <c r="DH194" s="23">
        <f>EXP(-LN(2)/2)*DH193+(1-EXP(-LN(2)/2))/(LN(2)/2)*DB194*DE194*VLOOKUP('Données projet'!$B$13,Paramètres!$A$1:$I$89,3,0)*0.475*44/12</f>
        <v>5.5443432287703444E-24</v>
      </c>
      <c r="DI194" s="24">
        <f t="shared" si="175"/>
        <v>5.5443432287703444E-24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-1.1368683772161603E-13</v>
      </c>
      <c r="DP194" s="18">
        <f>DO194*VLOOKUP('Données projet'!$B$14,Paramètres!$A$1:$I$89,3,0)*VLOOKUP('Données projet'!$B$14,Paramètres!$A$1:$I$89,5,0)</f>
        <v>-5.3205440053716299E-14</v>
      </c>
      <c r="DQ194" s="14" t="e">
        <f t="shared" si="176"/>
        <v>#NUM!</v>
      </c>
      <c r="DR194" s="22" t="e">
        <f t="shared" si="177"/>
        <v>#NUM!</v>
      </c>
      <c r="DS194" s="62" t="e">
        <f t="shared" si="125"/>
        <v>#NUM!</v>
      </c>
      <c r="DT194" s="62">
        <f ca="1">AVERAGE(OFFSET($DS$3,0,0,'Données projet'!$E$14+1,1))-AVERAGE(OFFSET($H$3,0,0,'Données projet'!$E$14+1,1))</f>
        <v>429.87867712133851</v>
      </c>
      <c r="DU194" s="62">
        <f t="shared" si="152"/>
        <v>182.81277865988014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0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0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1.1368683772161603E-13</v>
      </c>
      <c r="EK194" s="18">
        <f>EJ194*VLOOKUP('Données projet'!$B$15,Paramètres!$A$1:$I$89,3,0)*VLOOKUP('Données projet'!$B$15,Paramètres!$A$1:$I$89,5,0)</f>
        <v>7.626113074366004E-14</v>
      </c>
      <c r="EL194" s="14">
        <f t="shared" si="179"/>
        <v>1.1823749172251317E-12</v>
      </c>
      <c r="EM194" s="22">
        <f t="shared" si="180"/>
        <v>2.1921244502123119E-12</v>
      </c>
      <c r="EN194" s="62">
        <f t="shared" si="128"/>
        <v>290.09305636890906</v>
      </c>
      <c r="EO194" s="62">
        <f ca="1">AVERAGE(OFFSET($EN$3,0,0,'Données projet'!$E$15+1,1))-AVERAGE(OFFSET($H$3,0,0,'Données projet'!$E$15+1,1))</f>
        <v>296.18088377871669</v>
      </c>
      <c r="EP194" s="62">
        <f t="shared" si="154"/>
        <v>252.23833925792056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0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0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1.1368683772161603E-13</v>
      </c>
      <c r="FF194" s="18">
        <f>FE194*VLOOKUP('Données projet'!$B$16,Paramètres!$A$1:$I$89,3,0)*VLOOKUP('Données projet'!$B$16,Paramètres!$A$1:$I$89,5,0)</f>
        <v>9.7543306765146564E-14</v>
      </c>
      <c r="FG194" s="14">
        <f t="shared" si="182"/>
        <v>1.4696264278629426E-12</v>
      </c>
      <c r="FH194" s="22">
        <f t="shared" si="183"/>
        <v>2.7294872878105889E-12</v>
      </c>
      <c r="FI194" s="62">
        <f t="shared" si="131"/>
        <v>290.09305636890957</v>
      </c>
      <c r="FJ194" s="62">
        <f ca="1">AVERAGE(OFFSET($FI$3,0,0,'Données projet'!$E$16+1,1))-AVERAGE(OFFSET($H$3,0,0,'Données projet'!$E$16+1,1))</f>
        <v>359.20464555327072</v>
      </c>
      <c r="FK194" s="62">
        <f t="shared" si="156"/>
        <v>305.54154052071863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0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0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-9.6633812063373625E-13</v>
      </c>
      <c r="O195" s="14">
        <f>N195*VLOOKUP('Données projet'!$B$9,Paramètres!$A$1:$I$89,3,0)*VLOOKUP('Données projet'!$B$9,Paramètres!$A$1:$I$89,5,0)</f>
        <v>-9.7986685432260874E-13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516.30971934066179</v>
      </c>
      <c r="T195" s="62">
        <f t="shared" si="142"/>
        <v>290.84286505723571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-9.6633812063373625E-13</v>
      </c>
      <c r="AJ195" s="14">
        <f>AI195*VLOOKUP('Données projet'!$B$10,Paramètres!$A$1:$I$89,3,0)*VLOOKUP('Données projet'!$B$10,Paramètres!$A$1:$I$89,5,0)</f>
        <v>-1.0401663530501537E-12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542.90832990875208</v>
      </c>
      <c r="AO195" s="62">
        <f t="shared" si="144"/>
        <v>304.94365539329362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-9.6633812063373625E-13</v>
      </c>
      <c r="BE195" s="14">
        <f>BD195*VLOOKUP('Données projet'!$B$11,Paramètres!$A$1:$I$89,3,0)*VLOOKUP('Données projet'!$B$11,Paramètres!$A$1:$I$89,5,0)</f>
        <v>-9.3464223027694966E-13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496.33873798282525</v>
      </c>
      <c r="BJ195" s="62">
        <f t="shared" si="146"/>
        <v>280.25465074992246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1.7053025658242404E-13</v>
      </c>
      <c r="BZ195" s="14">
        <f>BY195*VLOOKUP('Données projet'!$B$12,Paramètres!$A$1:$I$89,3,0)*VLOOKUP('Données projet'!$B$12,Paramètres!$A$1:$I$89,5,0)</f>
        <v>1.4897523215040567E-13</v>
      </c>
      <c r="CA195" s="14">
        <f t="shared" si="170"/>
        <v>2.136562777003313E-12</v>
      </c>
      <c r="CB195" s="22">
        <f t="shared" si="171"/>
        <v>3.9806453659427267E-12</v>
      </c>
      <c r="CC195" s="62">
        <f t="shared" si="119"/>
        <v>290.14926793006964</v>
      </c>
      <c r="CD195" s="62">
        <f ca="1">AVERAGE(OFFSET($CC$3,0,0,'Données projet'!$E$12+1,1))-AVERAGE(OFFSET($H$3,0,0,'Données projet'!$E$12+1,1))</f>
        <v>298.28891728374822</v>
      </c>
      <c r="CE195" s="62">
        <f t="shared" si="148"/>
        <v>275.07405533331371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1.1368683772161603E-13</v>
      </c>
      <c r="CU195" s="18">
        <f>CT195*VLOOKUP('Données projet'!$B$13,Paramètres!$A$1:$I$89,3,0)*VLOOKUP('Données projet'!$B$13,Paramètres!$A$1:$I$89,5,0)</f>
        <v>6.7984728957526396E-14</v>
      </c>
      <c r="CV195" s="14">
        <f t="shared" si="173"/>
        <v>1.0682447123141398E-12</v>
      </c>
      <c r="CW195" s="22">
        <f t="shared" si="174"/>
        <v>1.978932943548152E-12</v>
      </c>
      <c r="CX195" s="62">
        <f t="shared" si="122"/>
        <v>290.14926793006765</v>
      </c>
      <c r="CY195" s="62">
        <f ca="1">AVERAGE(OFFSET($CX$3,0,0,'Données projet'!$E$13+1,1))-AVERAGE(OFFSET($H$3,0,0,'Données projet'!$E$13+1,1))</f>
        <v>320.46614113586043</v>
      </c>
      <c r="CZ195" s="62">
        <f t="shared" si="150"/>
        <v>250.7806929924491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0</v>
      </c>
      <c r="DG195" s="23">
        <f>EXP(-LN(2)/25)*DG194+(1-EXP(-LN(2)/25))/(LN(2)/25)*Calculateur!DB195*Calculateur!DD195*VLOOKUP('Données projet'!$B$13,Paramètres!$A$1:$I$89,3,0)*0.475*44/12</f>
        <v>0</v>
      </c>
      <c r="DH195" s="23">
        <f>EXP(-LN(2)/2)*DH194+(1-EXP(-LN(2)/2))/(LN(2)/2)*DB195*DE195*VLOOKUP('Données projet'!$B$13,Paramètres!$A$1:$I$89,3,0)*0.475*44/12</f>
        <v>3.9204426942892283E-24</v>
      </c>
      <c r="DI195" s="24">
        <f t="shared" si="175"/>
        <v>3.9204426942892283E-24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-1.1368683772161603E-13</v>
      </c>
      <c r="DP195" s="18">
        <f>DO195*VLOOKUP('Données projet'!$B$14,Paramètres!$A$1:$I$89,3,0)*VLOOKUP('Données projet'!$B$14,Paramètres!$A$1:$I$89,5,0)</f>
        <v>-5.3205440053716299E-14</v>
      </c>
      <c r="DQ195" s="14" t="e">
        <f t="shared" si="176"/>
        <v>#NUM!</v>
      </c>
      <c r="DR195" s="22" t="e">
        <f t="shared" si="177"/>
        <v>#NUM!</v>
      </c>
      <c r="DS195" s="62" t="e">
        <f t="shared" si="125"/>
        <v>#NUM!</v>
      </c>
      <c r="DT195" s="62">
        <f ca="1">AVERAGE(OFFSET($DS$3,0,0,'Données projet'!$E$14+1,1))-AVERAGE(OFFSET($H$3,0,0,'Données projet'!$E$14+1,1))</f>
        <v>429.87867712133851</v>
      </c>
      <c r="DU195" s="62">
        <f t="shared" si="152"/>
        <v>182.81277865988014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0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0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1.1368683772161603E-13</v>
      </c>
      <c r="EK195" s="18">
        <f>EJ195*VLOOKUP('Données projet'!$B$15,Paramètres!$A$1:$I$89,3,0)*VLOOKUP('Données projet'!$B$15,Paramètres!$A$1:$I$89,5,0)</f>
        <v>7.626113074366004E-14</v>
      </c>
      <c r="EL195" s="14">
        <f t="shared" si="179"/>
        <v>1.1823749172251317E-12</v>
      </c>
      <c r="EM195" s="22">
        <f t="shared" si="180"/>
        <v>2.1921244502123119E-12</v>
      </c>
      <c r="EN195" s="62">
        <f t="shared" si="128"/>
        <v>290.14926793006788</v>
      </c>
      <c r="EO195" s="62">
        <f ca="1">AVERAGE(OFFSET($EN$3,0,0,'Données projet'!$E$15+1,1))-AVERAGE(OFFSET($H$3,0,0,'Données projet'!$E$15+1,1))</f>
        <v>296.18088377871669</v>
      </c>
      <c r="EP195" s="62">
        <f t="shared" si="154"/>
        <v>252.23833925792056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0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0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1.1368683772161603E-13</v>
      </c>
      <c r="FF195" s="18">
        <f>FE195*VLOOKUP('Données projet'!$B$16,Paramètres!$A$1:$I$89,3,0)*VLOOKUP('Données projet'!$B$16,Paramètres!$A$1:$I$89,5,0)</f>
        <v>9.7543306765146564E-14</v>
      </c>
      <c r="FG195" s="14">
        <f t="shared" si="182"/>
        <v>1.4696264278629426E-12</v>
      </c>
      <c r="FH195" s="22">
        <f t="shared" si="183"/>
        <v>2.7294872878105889E-12</v>
      </c>
      <c r="FI195" s="62">
        <f t="shared" si="131"/>
        <v>290.14926793006839</v>
      </c>
      <c r="FJ195" s="62">
        <f ca="1">AVERAGE(OFFSET($FI$3,0,0,'Données projet'!$E$16+1,1))-AVERAGE(OFFSET($H$3,0,0,'Données projet'!$E$16+1,1))</f>
        <v>359.20464555327072</v>
      </c>
      <c r="FK195" s="62">
        <f t="shared" si="156"/>
        <v>305.54154052071863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0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0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-9.6633812063373625E-13</v>
      </c>
      <c r="O196" s="14">
        <f>N196*VLOOKUP('Données projet'!$B$9,Paramètres!$A$1:$I$89,3,0)*VLOOKUP('Données projet'!$B$9,Paramètres!$A$1:$I$89,5,0)</f>
        <v>-9.7986685432260874E-13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516.30971934066179</v>
      </c>
      <c r="T196" s="62">
        <f t="shared" si="142"/>
        <v>290.84286505723571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-9.6633812063373625E-13</v>
      </c>
      <c r="AJ196" s="14">
        <f>AI196*VLOOKUP('Données projet'!$B$10,Paramètres!$A$1:$I$89,3,0)*VLOOKUP('Données projet'!$B$10,Paramètres!$A$1:$I$89,5,0)</f>
        <v>-1.0401663530501537E-12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542.90832990875208</v>
      </c>
      <c r="AO196" s="62">
        <f t="shared" si="144"/>
        <v>304.94365539329362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-9.6633812063373625E-13</v>
      </c>
      <c r="BE196" s="14">
        <f>BD196*VLOOKUP('Données projet'!$B$11,Paramètres!$A$1:$I$89,3,0)*VLOOKUP('Données projet'!$B$11,Paramètres!$A$1:$I$89,5,0)</f>
        <v>-9.3464223027694966E-13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496.33873798282525</v>
      </c>
      <c r="BJ196" s="62">
        <f t="shared" si="146"/>
        <v>280.25465074992246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1.7053025658242404E-13</v>
      </c>
      <c r="BZ196" s="14">
        <f>BY196*VLOOKUP('Données projet'!$B$12,Paramètres!$A$1:$I$89,3,0)*VLOOKUP('Données projet'!$B$12,Paramètres!$A$1:$I$89,5,0)</f>
        <v>1.4897523215040567E-13</v>
      </c>
      <c r="CA196" s="14">
        <f t="shared" si="170"/>
        <v>2.136562777003313E-12</v>
      </c>
      <c r="CB196" s="22">
        <f t="shared" si="171"/>
        <v>3.9806453659427267E-12</v>
      </c>
      <c r="CC196" s="62">
        <f t="shared" ref="CC196:CC203" si="195">CB196+(BT196+BU196)*44/12</f>
        <v>290.20450434631249</v>
      </c>
      <c r="CD196" s="62">
        <f ca="1">AVERAGE(OFFSET($CC$3,0,0,'Données projet'!$E$12+1,1))-AVERAGE(OFFSET($H$3,0,0,'Données projet'!$E$12+1,1))</f>
        <v>298.28891728374822</v>
      </c>
      <c r="CE196" s="62">
        <f t="shared" si="148"/>
        <v>275.07405533331371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1.1368683772161603E-13</v>
      </c>
      <c r="CU196" s="18">
        <f>CT196*VLOOKUP('Données projet'!$B$13,Paramètres!$A$1:$I$89,3,0)*VLOOKUP('Données projet'!$B$13,Paramètres!$A$1:$I$89,5,0)</f>
        <v>6.7984728957526396E-14</v>
      </c>
      <c r="CV196" s="14">
        <f t="shared" si="173"/>
        <v>1.0682447123141398E-12</v>
      </c>
      <c r="CW196" s="22">
        <f t="shared" si="174"/>
        <v>1.978932943548152E-12</v>
      </c>
      <c r="CX196" s="62">
        <f t="shared" ref="CX196:CX203" si="196">CW196+(CO196+CP196)*44/12</f>
        <v>290.2045043463105</v>
      </c>
      <c r="CY196" s="62">
        <f ca="1">AVERAGE(OFFSET($CX$3,0,0,'Données projet'!$E$13+1,1))-AVERAGE(OFFSET($H$3,0,0,'Données projet'!$E$13+1,1))</f>
        <v>320.46614113586043</v>
      </c>
      <c r="CZ196" s="62">
        <f t="shared" si="150"/>
        <v>250.7806929924491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0</v>
      </c>
      <c r="DG196" s="23">
        <f>EXP(-LN(2)/25)*DG195+(1-EXP(-LN(2)/25))/(LN(2)/25)*Calculateur!DB196*Calculateur!DD196*VLOOKUP('Données projet'!$B$13,Paramètres!$A$1:$I$89,3,0)*0.475*44/12</f>
        <v>0</v>
      </c>
      <c r="DH196" s="23">
        <f>EXP(-LN(2)/2)*DH195+(1-EXP(-LN(2)/2))/(LN(2)/2)*DB196*DE196*VLOOKUP('Données projet'!$B$13,Paramètres!$A$1:$I$89,3,0)*0.475*44/12</f>
        <v>2.7721716143851722E-24</v>
      </c>
      <c r="DI196" s="24">
        <f t="shared" si="175"/>
        <v>2.7721716143851722E-24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-1.1368683772161603E-13</v>
      </c>
      <c r="DP196" s="18">
        <f>DO196*VLOOKUP('Données projet'!$B$14,Paramètres!$A$1:$I$89,3,0)*VLOOKUP('Données projet'!$B$14,Paramètres!$A$1:$I$89,5,0)</f>
        <v>-5.3205440053716299E-14</v>
      </c>
      <c r="DQ196" s="14" t="e">
        <f t="shared" si="176"/>
        <v>#NUM!</v>
      </c>
      <c r="DR196" s="22" t="e">
        <f t="shared" si="177"/>
        <v>#NUM!</v>
      </c>
      <c r="DS196" s="62" t="e">
        <f t="shared" ref="DS196:DS203" si="197">DR196+(DJ196+DK196)*44/12</f>
        <v>#NUM!</v>
      </c>
      <c r="DT196" s="62">
        <f ca="1">AVERAGE(OFFSET($DS$3,0,0,'Données projet'!$E$14+1,1))-AVERAGE(OFFSET($H$3,0,0,'Données projet'!$E$14+1,1))</f>
        <v>429.87867712133851</v>
      </c>
      <c r="DU196" s="62">
        <f t="shared" si="152"/>
        <v>182.81277865988014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0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0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1.1368683772161603E-13</v>
      </c>
      <c r="EK196" s="18">
        <f>EJ196*VLOOKUP('Données projet'!$B$15,Paramètres!$A$1:$I$89,3,0)*VLOOKUP('Données projet'!$B$15,Paramètres!$A$1:$I$89,5,0)</f>
        <v>7.626113074366004E-14</v>
      </c>
      <c r="EL196" s="14">
        <f t="shared" si="179"/>
        <v>1.1823749172251317E-12</v>
      </c>
      <c r="EM196" s="22">
        <f t="shared" si="180"/>
        <v>2.1921244502123119E-12</v>
      </c>
      <c r="EN196" s="62">
        <f t="shared" ref="EN196:EN203" si="198">EM196+(EE196+EF196)*44/12</f>
        <v>290.20450434631073</v>
      </c>
      <c r="EO196" s="62">
        <f ca="1">AVERAGE(OFFSET($EN$3,0,0,'Données projet'!$E$15+1,1))-AVERAGE(OFFSET($H$3,0,0,'Données projet'!$E$15+1,1))</f>
        <v>296.18088377871669</v>
      </c>
      <c r="EP196" s="62">
        <f t="shared" si="154"/>
        <v>252.23833925792056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0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0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1.1368683772161603E-13</v>
      </c>
      <c r="FF196" s="18">
        <f>FE196*VLOOKUP('Données projet'!$B$16,Paramètres!$A$1:$I$89,3,0)*VLOOKUP('Données projet'!$B$16,Paramètres!$A$1:$I$89,5,0)</f>
        <v>9.7543306765146564E-14</v>
      </c>
      <c r="FG196" s="14">
        <f t="shared" si="182"/>
        <v>1.4696264278629426E-12</v>
      </c>
      <c r="FH196" s="22">
        <f t="shared" si="183"/>
        <v>2.7294872878105889E-12</v>
      </c>
      <c r="FI196" s="62">
        <f t="shared" ref="FI196:FI203" si="199">FH196+(EZ196+FA196)*44/12</f>
        <v>290.20450434631124</v>
      </c>
      <c r="FJ196" s="62">
        <f ca="1">AVERAGE(OFFSET($FI$3,0,0,'Données projet'!$E$16+1,1))-AVERAGE(OFFSET($H$3,0,0,'Données projet'!$E$16+1,1))</f>
        <v>359.20464555327072</v>
      </c>
      <c r="FK196" s="62">
        <f t="shared" si="156"/>
        <v>305.54154052071863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0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0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-9.6633812063373625E-13</v>
      </c>
      <c r="O197" s="14">
        <f>N197*VLOOKUP('Données projet'!$B$9,Paramètres!$A$1:$I$89,3,0)*VLOOKUP('Données projet'!$B$9,Paramètres!$A$1:$I$89,5,0)</f>
        <v>-9.7986685432260874E-13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516.30971934066179</v>
      </c>
      <c r="T197" s="62">
        <f t="shared" ref="T197:T203" si="204">$T$3</f>
        <v>290.84286505723571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-9.6633812063373625E-13</v>
      </c>
      <c r="AJ197" s="14">
        <f>AI197*VLOOKUP('Données projet'!$B$10,Paramètres!$A$1:$I$89,3,0)*VLOOKUP('Données projet'!$B$10,Paramètres!$A$1:$I$89,5,0)</f>
        <v>-1.0401663530501537E-12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542.90832990875208</v>
      </c>
      <c r="AO197" s="62">
        <f t="shared" ref="AO197:AO203" si="205">$AO$3</f>
        <v>304.94365539329362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-9.6633812063373625E-13</v>
      </c>
      <c r="BE197" s="14">
        <f>BD197*VLOOKUP('Données projet'!$B$11,Paramètres!$A$1:$I$89,3,0)*VLOOKUP('Données projet'!$B$11,Paramètres!$A$1:$I$89,5,0)</f>
        <v>-9.3464223027694966E-13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496.33873798282525</v>
      </c>
      <c r="BJ197" s="62">
        <f t="shared" ref="BJ197:BJ203" si="206">$BJ$3</f>
        <v>280.25465074992246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1.7053025658242404E-13</v>
      </c>
      <c r="BZ197" s="14">
        <f>BY197*VLOOKUP('Données projet'!$B$12,Paramètres!$A$1:$I$89,3,0)*VLOOKUP('Données projet'!$B$12,Paramètres!$A$1:$I$89,5,0)</f>
        <v>1.4897523215040567E-13</v>
      </c>
      <c r="CA197" s="14">
        <f t="shared" si="170"/>
        <v>2.136562777003313E-12</v>
      </c>
      <c r="CB197" s="22">
        <f t="shared" si="171"/>
        <v>3.9806453659427267E-12</v>
      </c>
      <c r="CC197" s="62">
        <f t="shared" si="195"/>
        <v>290.25878253422371</v>
      </c>
      <c r="CD197" s="62">
        <f ca="1">AVERAGE(OFFSET($CC$3,0,0,'Données projet'!$E$12+1,1))-AVERAGE(OFFSET($H$3,0,0,'Données projet'!$E$12+1,1))</f>
        <v>298.28891728374822</v>
      </c>
      <c r="CE197" s="62">
        <f t="shared" ref="CE197:CE203" si="207">$CE$3</f>
        <v>275.07405533331371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1.1368683772161603E-13</v>
      </c>
      <c r="CU197" s="18">
        <f>CT197*VLOOKUP('Données projet'!$B$13,Paramètres!$A$1:$I$89,3,0)*VLOOKUP('Données projet'!$B$13,Paramètres!$A$1:$I$89,5,0)</f>
        <v>6.7984728957526396E-14</v>
      </c>
      <c r="CV197" s="14">
        <f t="shared" si="173"/>
        <v>1.0682447123141398E-12</v>
      </c>
      <c r="CW197" s="22">
        <f t="shared" si="174"/>
        <v>1.978932943548152E-12</v>
      </c>
      <c r="CX197" s="62">
        <f t="shared" si="196"/>
        <v>290.25878253422172</v>
      </c>
      <c r="CY197" s="62">
        <f ca="1">AVERAGE(OFFSET($CX$3,0,0,'Données projet'!$E$13+1,1))-AVERAGE(OFFSET($H$3,0,0,'Données projet'!$E$13+1,1))</f>
        <v>320.46614113586043</v>
      </c>
      <c r="CZ197" s="62">
        <f t="shared" ref="CZ197:CZ203" si="208">$CZ$3</f>
        <v>250.7806929924491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0</v>
      </c>
      <c r="DG197" s="23">
        <f>EXP(-LN(2)/25)*DG196+(1-EXP(-LN(2)/25))/(LN(2)/25)*Calculateur!DB197*Calculateur!DD197*VLOOKUP('Données projet'!$B$13,Paramètres!$A$1:$I$89,3,0)*0.475*44/12</f>
        <v>0</v>
      </c>
      <c r="DH197" s="23">
        <f>EXP(-LN(2)/2)*DH196+(1-EXP(-LN(2)/2))/(LN(2)/2)*DB197*DE197*VLOOKUP('Données projet'!$B$13,Paramètres!$A$1:$I$89,3,0)*0.475*44/12</f>
        <v>1.9602213471446141E-24</v>
      </c>
      <c r="DI197" s="24">
        <f t="shared" si="175"/>
        <v>1.9602213471446141E-24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-1.1368683772161603E-13</v>
      </c>
      <c r="DP197" s="18">
        <f>DO197*VLOOKUP('Données projet'!$B$14,Paramètres!$A$1:$I$89,3,0)*VLOOKUP('Données projet'!$B$14,Paramètres!$A$1:$I$89,5,0)</f>
        <v>-5.3205440053716299E-14</v>
      </c>
      <c r="DQ197" s="14" t="e">
        <f t="shared" si="176"/>
        <v>#NUM!</v>
      </c>
      <c r="DR197" s="22" t="e">
        <f t="shared" si="177"/>
        <v>#NUM!</v>
      </c>
      <c r="DS197" s="62" t="e">
        <f t="shared" si="197"/>
        <v>#NUM!</v>
      </c>
      <c r="DT197" s="62">
        <f ca="1">AVERAGE(OFFSET($DS$3,0,0,'Données projet'!$E$14+1,1))-AVERAGE(OFFSET($H$3,0,0,'Données projet'!$E$14+1,1))</f>
        <v>429.87867712133851</v>
      </c>
      <c r="DU197" s="62">
        <f t="shared" ref="DU197:DU203" si="209">$DU$3</f>
        <v>182.81277865988014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0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0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1.1368683772161603E-13</v>
      </c>
      <c r="EK197" s="18">
        <f>EJ197*VLOOKUP('Données projet'!$B$15,Paramètres!$A$1:$I$89,3,0)*VLOOKUP('Données projet'!$B$15,Paramètres!$A$1:$I$89,5,0)</f>
        <v>7.626113074366004E-14</v>
      </c>
      <c r="EL197" s="14">
        <f t="shared" si="179"/>
        <v>1.1823749172251317E-12</v>
      </c>
      <c r="EM197" s="22">
        <f t="shared" si="180"/>
        <v>2.1921244502123119E-12</v>
      </c>
      <c r="EN197" s="62">
        <f t="shared" si="198"/>
        <v>290.25878253422195</v>
      </c>
      <c r="EO197" s="62">
        <f ca="1">AVERAGE(OFFSET($EN$3,0,0,'Données projet'!$E$15+1,1))-AVERAGE(OFFSET($H$3,0,0,'Données projet'!$E$15+1,1))</f>
        <v>296.18088377871669</v>
      </c>
      <c r="EP197" s="62">
        <f t="shared" ref="EP197:EP203" si="210">$EP$3</f>
        <v>252.23833925792056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0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0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1.1368683772161603E-13</v>
      </c>
      <c r="FF197" s="18">
        <f>FE197*VLOOKUP('Données projet'!$B$16,Paramètres!$A$1:$I$89,3,0)*VLOOKUP('Données projet'!$B$16,Paramètres!$A$1:$I$89,5,0)</f>
        <v>9.7543306765146564E-14</v>
      </c>
      <c r="FG197" s="14">
        <f t="shared" si="182"/>
        <v>1.4696264278629426E-12</v>
      </c>
      <c r="FH197" s="22">
        <f t="shared" si="183"/>
        <v>2.7294872878105889E-12</v>
      </c>
      <c r="FI197" s="62">
        <f t="shared" si="199"/>
        <v>290.25878253422246</v>
      </c>
      <c r="FJ197" s="62">
        <f ca="1">AVERAGE(OFFSET($FI$3,0,0,'Données projet'!$E$16+1,1))-AVERAGE(OFFSET($H$3,0,0,'Données projet'!$E$16+1,1))</f>
        <v>359.20464555327072</v>
      </c>
      <c r="FK197" s="62">
        <f t="shared" ref="FK197:FK203" si="211">$FK$3</f>
        <v>305.54154052071863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0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0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-9.6633812063373625E-13</v>
      </c>
      <c r="O198" s="14">
        <f>N198*VLOOKUP('Données projet'!$B$9,Paramètres!$A$1:$I$89,3,0)*VLOOKUP('Données projet'!$B$9,Paramètres!$A$1:$I$89,5,0)</f>
        <v>-9.7986685432260874E-13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516.30971934066179</v>
      </c>
      <c r="T198" s="62">
        <f t="shared" si="204"/>
        <v>290.84286505723571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-9.6633812063373625E-13</v>
      </c>
      <c r="AJ198" s="14">
        <f>AI198*VLOOKUP('Données projet'!$B$10,Paramètres!$A$1:$I$89,3,0)*VLOOKUP('Données projet'!$B$10,Paramètres!$A$1:$I$89,5,0)</f>
        <v>-1.0401663530501537E-12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542.90832990875208</v>
      </c>
      <c r="AO198" s="62">
        <f t="shared" si="205"/>
        <v>304.94365539329362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-9.6633812063373625E-13</v>
      </c>
      <c r="BE198" s="14">
        <f>BD198*VLOOKUP('Données projet'!$B$11,Paramètres!$A$1:$I$89,3,0)*VLOOKUP('Données projet'!$B$11,Paramètres!$A$1:$I$89,5,0)</f>
        <v>-9.3464223027694966E-13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496.33873798282525</v>
      </c>
      <c r="BJ198" s="62">
        <f t="shared" si="206"/>
        <v>280.25465074992246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1.7053025658242404E-13</v>
      </c>
      <c r="BZ198" s="14">
        <f>BY198*VLOOKUP('Données projet'!$B$12,Paramètres!$A$1:$I$89,3,0)*VLOOKUP('Données projet'!$B$12,Paramètres!$A$1:$I$89,5,0)</f>
        <v>1.4897523215040567E-13</v>
      </c>
      <c r="CA198" s="14">
        <f t="shared" si="170"/>
        <v>2.136562777003313E-12</v>
      </c>
      <c r="CB198" s="22">
        <f t="shared" si="171"/>
        <v>3.9806453659427267E-12</v>
      </c>
      <c r="CC198" s="62">
        <f t="shared" si="195"/>
        <v>290.31211911692247</v>
      </c>
      <c r="CD198" s="62">
        <f ca="1">AVERAGE(OFFSET($CC$3,0,0,'Données projet'!$E$12+1,1))-AVERAGE(OFFSET($H$3,0,0,'Données projet'!$E$12+1,1))</f>
        <v>298.28891728374822</v>
      </c>
      <c r="CE198" s="62">
        <f t="shared" si="207"/>
        <v>275.07405533331371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1.1368683772161603E-13</v>
      </c>
      <c r="CU198" s="18">
        <f>CT198*VLOOKUP('Données projet'!$B$13,Paramètres!$A$1:$I$89,3,0)*VLOOKUP('Données projet'!$B$13,Paramètres!$A$1:$I$89,5,0)</f>
        <v>6.7984728957526396E-14</v>
      </c>
      <c r="CV198" s="14">
        <f t="shared" si="173"/>
        <v>1.0682447123141398E-12</v>
      </c>
      <c r="CW198" s="22">
        <f t="shared" si="174"/>
        <v>1.978932943548152E-12</v>
      </c>
      <c r="CX198" s="62">
        <f t="shared" si="196"/>
        <v>290.31211911692048</v>
      </c>
      <c r="CY198" s="62">
        <f ca="1">AVERAGE(OFFSET($CX$3,0,0,'Données projet'!$E$13+1,1))-AVERAGE(OFFSET($H$3,0,0,'Données projet'!$E$13+1,1))</f>
        <v>320.46614113586043</v>
      </c>
      <c r="CZ198" s="62">
        <f t="shared" si="208"/>
        <v>250.7806929924491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0</v>
      </c>
      <c r="DG198" s="23">
        <f>EXP(-LN(2)/25)*DG197+(1-EXP(-LN(2)/25))/(LN(2)/25)*Calculateur!DB198*Calculateur!DD198*VLOOKUP('Données projet'!$B$13,Paramètres!$A$1:$I$89,3,0)*0.475*44/12</f>
        <v>0</v>
      </c>
      <c r="DH198" s="23">
        <f>EXP(-LN(2)/2)*DH197+(1-EXP(-LN(2)/2))/(LN(2)/2)*DB198*DE198*VLOOKUP('Données projet'!$B$13,Paramètres!$A$1:$I$89,3,0)*0.475*44/12</f>
        <v>1.3860858071925861E-24</v>
      </c>
      <c r="DI198" s="24">
        <f t="shared" si="175"/>
        <v>1.3860858071925861E-24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-1.1368683772161603E-13</v>
      </c>
      <c r="DP198" s="18">
        <f>DO198*VLOOKUP('Données projet'!$B$14,Paramètres!$A$1:$I$89,3,0)*VLOOKUP('Données projet'!$B$14,Paramètres!$A$1:$I$89,5,0)</f>
        <v>-5.3205440053716299E-14</v>
      </c>
      <c r="DQ198" s="14" t="e">
        <f t="shared" si="176"/>
        <v>#NUM!</v>
      </c>
      <c r="DR198" s="22" t="e">
        <f t="shared" si="177"/>
        <v>#NUM!</v>
      </c>
      <c r="DS198" s="62" t="e">
        <f t="shared" si="197"/>
        <v>#NUM!</v>
      </c>
      <c r="DT198" s="62">
        <f ca="1">AVERAGE(OFFSET($DS$3,0,0,'Données projet'!$E$14+1,1))-AVERAGE(OFFSET($H$3,0,0,'Données projet'!$E$14+1,1))</f>
        <v>429.87867712133851</v>
      </c>
      <c r="DU198" s="62">
        <f t="shared" si="209"/>
        <v>182.81277865988014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0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0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1.1368683772161603E-13</v>
      </c>
      <c r="EK198" s="18">
        <f>EJ198*VLOOKUP('Données projet'!$B$15,Paramètres!$A$1:$I$89,3,0)*VLOOKUP('Données projet'!$B$15,Paramètres!$A$1:$I$89,5,0)</f>
        <v>7.626113074366004E-14</v>
      </c>
      <c r="EL198" s="14">
        <f t="shared" si="179"/>
        <v>1.1823749172251317E-12</v>
      </c>
      <c r="EM198" s="22">
        <f t="shared" si="180"/>
        <v>2.1921244502123119E-12</v>
      </c>
      <c r="EN198" s="62">
        <f t="shared" si="198"/>
        <v>290.31211911692071</v>
      </c>
      <c r="EO198" s="62">
        <f ca="1">AVERAGE(OFFSET($EN$3,0,0,'Données projet'!$E$15+1,1))-AVERAGE(OFFSET($H$3,0,0,'Données projet'!$E$15+1,1))</f>
        <v>296.18088377871669</v>
      </c>
      <c r="EP198" s="62">
        <f t="shared" si="210"/>
        <v>252.23833925792056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0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0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1.1368683772161603E-13</v>
      </c>
      <c r="FF198" s="18">
        <f>FE198*VLOOKUP('Données projet'!$B$16,Paramètres!$A$1:$I$89,3,0)*VLOOKUP('Données projet'!$B$16,Paramètres!$A$1:$I$89,5,0)</f>
        <v>9.7543306765146564E-14</v>
      </c>
      <c r="FG198" s="14">
        <f t="shared" si="182"/>
        <v>1.4696264278629426E-12</v>
      </c>
      <c r="FH198" s="22">
        <f t="shared" si="183"/>
        <v>2.7294872878105889E-12</v>
      </c>
      <c r="FI198" s="62">
        <f t="shared" si="199"/>
        <v>290.31211911692122</v>
      </c>
      <c r="FJ198" s="62">
        <f ca="1">AVERAGE(OFFSET($FI$3,0,0,'Données projet'!$E$16+1,1))-AVERAGE(OFFSET($H$3,0,0,'Données projet'!$E$16+1,1))</f>
        <v>359.20464555327072</v>
      </c>
      <c r="FK198" s="62">
        <f t="shared" si="211"/>
        <v>305.54154052071863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0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0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-9.6633812063373625E-13</v>
      </c>
      <c r="O199" s="14">
        <f>N199*VLOOKUP('Données projet'!$B$9,Paramètres!$A$1:$I$89,3,0)*VLOOKUP('Données projet'!$B$9,Paramètres!$A$1:$I$89,5,0)</f>
        <v>-9.7986685432260874E-13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516.30971934066179</v>
      </c>
      <c r="T199" s="62">
        <f t="shared" si="204"/>
        <v>290.84286505723571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-9.6633812063373625E-13</v>
      </c>
      <c r="AJ199" s="14">
        <f>AI199*VLOOKUP('Données projet'!$B$10,Paramètres!$A$1:$I$89,3,0)*VLOOKUP('Données projet'!$B$10,Paramètres!$A$1:$I$89,5,0)</f>
        <v>-1.0401663530501537E-12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542.90832990875208</v>
      </c>
      <c r="AO199" s="62">
        <f t="shared" si="205"/>
        <v>304.94365539329362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-9.6633812063373625E-13</v>
      </c>
      <c r="BE199" s="14">
        <f>BD199*VLOOKUP('Données projet'!$B$11,Paramètres!$A$1:$I$89,3,0)*VLOOKUP('Données projet'!$B$11,Paramètres!$A$1:$I$89,5,0)</f>
        <v>-9.3464223027694966E-13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496.33873798282525</v>
      </c>
      <c r="BJ199" s="62">
        <f t="shared" si="206"/>
        <v>280.25465074992246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1.7053025658242404E-13</v>
      </c>
      <c r="BZ199" s="14">
        <f>BY199*VLOOKUP('Données projet'!$B$12,Paramètres!$A$1:$I$89,3,0)*VLOOKUP('Données projet'!$B$12,Paramètres!$A$1:$I$89,5,0)</f>
        <v>1.4897523215040567E-13</v>
      </c>
      <c r="CA199" s="14">
        <f t="shared" si="170"/>
        <v>2.136562777003313E-12</v>
      </c>
      <c r="CB199" s="22">
        <f t="shared" si="171"/>
        <v>3.9806453659427267E-12</v>
      </c>
      <c r="CC199" s="62">
        <f t="shared" si="195"/>
        <v>290.36453042915417</v>
      </c>
      <c r="CD199" s="62">
        <f ca="1">AVERAGE(OFFSET($CC$3,0,0,'Données projet'!$E$12+1,1))-AVERAGE(OFFSET($H$3,0,0,'Données projet'!$E$12+1,1))</f>
        <v>298.28891728374822</v>
      </c>
      <c r="CE199" s="62">
        <f t="shared" si="207"/>
        <v>275.07405533331371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1.1368683772161603E-13</v>
      </c>
      <c r="CU199" s="18">
        <f>CT199*VLOOKUP('Données projet'!$B$13,Paramètres!$A$1:$I$89,3,0)*VLOOKUP('Données projet'!$B$13,Paramètres!$A$1:$I$89,5,0)</f>
        <v>6.7984728957526396E-14</v>
      </c>
      <c r="CV199" s="14">
        <f t="shared" si="173"/>
        <v>1.0682447123141398E-12</v>
      </c>
      <c r="CW199" s="22">
        <f t="shared" si="174"/>
        <v>1.978932943548152E-12</v>
      </c>
      <c r="CX199" s="62">
        <f t="shared" si="196"/>
        <v>290.36453042915218</v>
      </c>
      <c r="CY199" s="62">
        <f ca="1">AVERAGE(OFFSET($CX$3,0,0,'Données projet'!$E$13+1,1))-AVERAGE(OFFSET($H$3,0,0,'Données projet'!$E$13+1,1))</f>
        <v>320.46614113586043</v>
      </c>
      <c r="CZ199" s="62">
        <f t="shared" si="208"/>
        <v>250.7806929924491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0</v>
      </c>
      <c r="DG199" s="23">
        <f>EXP(-LN(2)/25)*DG198+(1-EXP(-LN(2)/25))/(LN(2)/25)*Calculateur!DB199*Calculateur!DD199*VLOOKUP('Données projet'!$B$13,Paramètres!$A$1:$I$89,3,0)*0.475*44/12</f>
        <v>0</v>
      </c>
      <c r="DH199" s="23">
        <f>EXP(-LN(2)/2)*DH198+(1-EXP(-LN(2)/2))/(LN(2)/2)*DB199*DE199*VLOOKUP('Données projet'!$B$13,Paramètres!$A$1:$I$89,3,0)*0.475*44/12</f>
        <v>9.8011067357230706E-25</v>
      </c>
      <c r="DI199" s="24">
        <f t="shared" si="175"/>
        <v>9.8011067357230706E-25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-1.1368683772161603E-13</v>
      </c>
      <c r="DP199" s="18">
        <f>DO199*VLOOKUP('Données projet'!$B$14,Paramètres!$A$1:$I$89,3,0)*VLOOKUP('Données projet'!$B$14,Paramètres!$A$1:$I$89,5,0)</f>
        <v>-5.3205440053716299E-14</v>
      </c>
      <c r="DQ199" s="14" t="e">
        <f t="shared" si="176"/>
        <v>#NUM!</v>
      </c>
      <c r="DR199" s="22" t="e">
        <f t="shared" si="177"/>
        <v>#NUM!</v>
      </c>
      <c r="DS199" s="62" t="e">
        <f t="shared" si="197"/>
        <v>#NUM!</v>
      </c>
      <c r="DT199" s="62">
        <f ca="1">AVERAGE(OFFSET($DS$3,0,0,'Données projet'!$E$14+1,1))-AVERAGE(OFFSET($H$3,0,0,'Données projet'!$E$14+1,1))</f>
        <v>429.87867712133851</v>
      </c>
      <c r="DU199" s="62">
        <f t="shared" si="209"/>
        <v>182.81277865988014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0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0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1.1368683772161603E-13</v>
      </c>
      <c r="EK199" s="18">
        <f>EJ199*VLOOKUP('Données projet'!$B$15,Paramètres!$A$1:$I$89,3,0)*VLOOKUP('Données projet'!$B$15,Paramètres!$A$1:$I$89,5,0)</f>
        <v>7.626113074366004E-14</v>
      </c>
      <c r="EL199" s="14">
        <f t="shared" si="179"/>
        <v>1.1823749172251317E-12</v>
      </c>
      <c r="EM199" s="22">
        <f t="shared" si="180"/>
        <v>2.1921244502123119E-12</v>
      </c>
      <c r="EN199" s="62">
        <f t="shared" si="198"/>
        <v>290.36453042915241</v>
      </c>
      <c r="EO199" s="62">
        <f ca="1">AVERAGE(OFFSET($EN$3,0,0,'Données projet'!$E$15+1,1))-AVERAGE(OFFSET($H$3,0,0,'Données projet'!$E$15+1,1))</f>
        <v>296.18088377871669</v>
      </c>
      <c r="EP199" s="62">
        <f t="shared" si="210"/>
        <v>252.23833925792056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0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0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1.1368683772161603E-13</v>
      </c>
      <c r="FF199" s="18">
        <f>FE199*VLOOKUP('Données projet'!$B$16,Paramètres!$A$1:$I$89,3,0)*VLOOKUP('Données projet'!$B$16,Paramètres!$A$1:$I$89,5,0)</f>
        <v>9.7543306765146564E-14</v>
      </c>
      <c r="FG199" s="14">
        <f t="shared" si="182"/>
        <v>1.4696264278629426E-12</v>
      </c>
      <c r="FH199" s="22">
        <f t="shared" si="183"/>
        <v>2.7294872878105889E-12</v>
      </c>
      <c r="FI199" s="62">
        <f t="shared" si="199"/>
        <v>290.36453042915292</v>
      </c>
      <c r="FJ199" s="62">
        <f ca="1">AVERAGE(OFFSET($FI$3,0,0,'Données projet'!$E$16+1,1))-AVERAGE(OFFSET($H$3,0,0,'Données projet'!$E$16+1,1))</f>
        <v>359.20464555327072</v>
      </c>
      <c r="FK199" s="62">
        <f t="shared" si="211"/>
        <v>305.54154052071863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0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0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-9.6633812063373625E-13</v>
      </c>
      <c r="O200" s="14">
        <f>N200*VLOOKUP('Données projet'!$B$9,Paramètres!$A$1:$I$89,3,0)*VLOOKUP('Données projet'!$B$9,Paramètres!$A$1:$I$89,5,0)</f>
        <v>-9.7986685432260874E-13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516.30971934066179</v>
      </c>
      <c r="T200" s="62">
        <f t="shared" si="204"/>
        <v>290.84286505723571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-9.6633812063373625E-13</v>
      </c>
      <c r="AJ200" s="14">
        <f>AI200*VLOOKUP('Données projet'!$B$10,Paramètres!$A$1:$I$89,3,0)*VLOOKUP('Données projet'!$B$10,Paramètres!$A$1:$I$89,5,0)</f>
        <v>-1.0401663530501537E-12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542.90832990875208</v>
      </c>
      <c r="AO200" s="62">
        <f t="shared" si="205"/>
        <v>304.94365539329362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-9.6633812063373625E-13</v>
      </c>
      <c r="BE200" s="14">
        <f>BD200*VLOOKUP('Données projet'!$B$11,Paramètres!$A$1:$I$89,3,0)*VLOOKUP('Données projet'!$B$11,Paramètres!$A$1:$I$89,5,0)</f>
        <v>-9.3464223027694966E-13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496.33873798282525</v>
      </c>
      <c r="BJ200" s="62">
        <f t="shared" si="206"/>
        <v>280.25465074992246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1.7053025658242404E-13</v>
      </c>
      <c r="BZ200" s="14">
        <f>BY200*VLOOKUP('Données projet'!$B$12,Paramètres!$A$1:$I$89,3,0)*VLOOKUP('Données projet'!$B$12,Paramètres!$A$1:$I$89,5,0)</f>
        <v>1.4897523215040567E-13</v>
      </c>
      <c r="CA200" s="14">
        <f t="shared" si="170"/>
        <v>2.136562777003313E-12</v>
      </c>
      <c r="CB200" s="22">
        <f t="shared" si="171"/>
        <v>3.9806453659427267E-12</v>
      </c>
      <c r="CC200" s="62">
        <f t="shared" si="195"/>
        <v>290.41603252229277</v>
      </c>
      <c r="CD200" s="62">
        <f ca="1">AVERAGE(OFFSET($CC$3,0,0,'Données projet'!$E$12+1,1))-AVERAGE(OFFSET($H$3,0,0,'Données projet'!$E$12+1,1))</f>
        <v>298.28891728374822</v>
      </c>
      <c r="CE200" s="62">
        <f t="shared" si="207"/>
        <v>275.07405533331371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1.1368683772161603E-13</v>
      </c>
      <c r="CU200" s="18">
        <f>CT200*VLOOKUP('Données projet'!$B$13,Paramètres!$A$1:$I$89,3,0)*VLOOKUP('Données projet'!$B$13,Paramètres!$A$1:$I$89,5,0)</f>
        <v>6.7984728957526396E-14</v>
      </c>
      <c r="CV200" s="14">
        <f t="shared" si="173"/>
        <v>1.0682447123141398E-12</v>
      </c>
      <c r="CW200" s="22">
        <f t="shared" si="174"/>
        <v>1.978932943548152E-12</v>
      </c>
      <c r="CX200" s="62">
        <f t="shared" si="196"/>
        <v>290.41603252229078</v>
      </c>
      <c r="CY200" s="62">
        <f ca="1">AVERAGE(OFFSET($CX$3,0,0,'Données projet'!$E$13+1,1))-AVERAGE(OFFSET($H$3,0,0,'Données projet'!$E$13+1,1))</f>
        <v>320.46614113586043</v>
      </c>
      <c r="CZ200" s="62">
        <f t="shared" si="208"/>
        <v>250.7806929924491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0</v>
      </c>
      <c r="DG200" s="23">
        <f>EXP(-LN(2)/25)*DG199+(1-EXP(-LN(2)/25))/(LN(2)/25)*Calculateur!DB200*Calculateur!DD200*VLOOKUP('Données projet'!$B$13,Paramètres!$A$1:$I$89,3,0)*0.475*44/12</f>
        <v>0</v>
      </c>
      <c r="DH200" s="23">
        <f>EXP(-LN(2)/2)*DH199+(1-EXP(-LN(2)/2))/(LN(2)/2)*DB200*DE200*VLOOKUP('Données projet'!$B$13,Paramètres!$A$1:$I$89,3,0)*0.475*44/12</f>
        <v>6.9304290359629305E-25</v>
      </c>
      <c r="DI200" s="24">
        <f t="shared" si="175"/>
        <v>6.9304290359629305E-25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-1.1368683772161603E-13</v>
      </c>
      <c r="DP200" s="18">
        <f>DO200*VLOOKUP('Données projet'!$B$14,Paramètres!$A$1:$I$89,3,0)*VLOOKUP('Données projet'!$B$14,Paramètres!$A$1:$I$89,5,0)</f>
        <v>-5.3205440053716299E-14</v>
      </c>
      <c r="DQ200" s="14" t="e">
        <f t="shared" si="176"/>
        <v>#NUM!</v>
      </c>
      <c r="DR200" s="22" t="e">
        <f t="shared" si="177"/>
        <v>#NUM!</v>
      </c>
      <c r="DS200" s="62" t="e">
        <f t="shared" si="197"/>
        <v>#NUM!</v>
      </c>
      <c r="DT200" s="62">
        <f ca="1">AVERAGE(OFFSET($DS$3,0,0,'Données projet'!$E$14+1,1))-AVERAGE(OFFSET($H$3,0,0,'Données projet'!$E$14+1,1))</f>
        <v>429.87867712133851</v>
      </c>
      <c r="DU200" s="62">
        <f t="shared" si="209"/>
        <v>182.81277865988014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0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0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1.1368683772161603E-13</v>
      </c>
      <c r="EK200" s="18">
        <f>EJ200*VLOOKUP('Données projet'!$B$15,Paramètres!$A$1:$I$89,3,0)*VLOOKUP('Données projet'!$B$15,Paramètres!$A$1:$I$89,5,0)</f>
        <v>7.626113074366004E-14</v>
      </c>
      <c r="EL200" s="14">
        <f t="shared" si="179"/>
        <v>1.1823749172251317E-12</v>
      </c>
      <c r="EM200" s="22">
        <f t="shared" si="180"/>
        <v>2.1921244502123119E-12</v>
      </c>
      <c r="EN200" s="62">
        <f t="shared" si="198"/>
        <v>290.416032522291</v>
      </c>
      <c r="EO200" s="62">
        <f ca="1">AVERAGE(OFFSET($EN$3,0,0,'Données projet'!$E$15+1,1))-AVERAGE(OFFSET($H$3,0,0,'Données projet'!$E$15+1,1))</f>
        <v>296.18088377871669</v>
      </c>
      <c r="EP200" s="62">
        <f t="shared" si="210"/>
        <v>252.23833925792056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0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0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1.1368683772161603E-13</v>
      </c>
      <c r="FF200" s="18">
        <f>FE200*VLOOKUP('Données projet'!$B$16,Paramètres!$A$1:$I$89,3,0)*VLOOKUP('Données projet'!$B$16,Paramètres!$A$1:$I$89,5,0)</f>
        <v>9.7543306765146564E-14</v>
      </c>
      <c r="FG200" s="14">
        <f t="shared" si="182"/>
        <v>1.4696264278629426E-12</v>
      </c>
      <c r="FH200" s="22">
        <f t="shared" si="183"/>
        <v>2.7294872878105889E-12</v>
      </c>
      <c r="FI200" s="62">
        <f t="shared" si="199"/>
        <v>290.41603252229152</v>
      </c>
      <c r="FJ200" s="62">
        <f ca="1">AVERAGE(OFFSET($FI$3,0,0,'Données projet'!$E$16+1,1))-AVERAGE(OFFSET($H$3,0,0,'Données projet'!$E$16+1,1))</f>
        <v>359.20464555327072</v>
      </c>
      <c r="FK200" s="62">
        <f t="shared" si="211"/>
        <v>305.54154052071863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0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0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-9.6633812063373625E-13</v>
      </c>
      <c r="O201" s="14">
        <f>N201*VLOOKUP('Données projet'!$B$9,Paramètres!$A$1:$I$89,3,0)*VLOOKUP('Données projet'!$B$9,Paramètres!$A$1:$I$89,5,0)</f>
        <v>-9.7986685432260874E-13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516.30971934066179</v>
      </c>
      <c r="T201" s="62">
        <f t="shared" si="204"/>
        <v>290.84286505723571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-9.6633812063373625E-13</v>
      </c>
      <c r="AJ201" s="14">
        <f>AI201*VLOOKUP('Données projet'!$B$10,Paramètres!$A$1:$I$89,3,0)*VLOOKUP('Données projet'!$B$10,Paramètres!$A$1:$I$89,5,0)</f>
        <v>-1.0401663530501537E-12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542.90832990875208</v>
      </c>
      <c r="AO201" s="62">
        <f t="shared" si="205"/>
        <v>304.94365539329362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-9.6633812063373625E-13</v>
      </c>
      <c r="BE201" s="14">
        <f>BD201*VLOOKUP('Données projet'!$B$11,Paramètres!$A$1:$I$89,3,0)*VLOOKUP('Données projet'!$B$11,Paramètres!$A$1:$I$89,5,0)</f>
        <v>-9.3464223027694966E-13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496.33873798282525</v>
      </c>
      <c r="BJ201" s="62">
        <f t="shared" si="206"/>
        <v>280.25465074992246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1.7053025658242404E-13</v>
      </c>
      <c r="BZ201" s="14">
        <f>BY201*VLOOKUP('Données projet'!$B$12,Paramètres!$A$1:$I$89,3,0)*VLOOKUP('Données projet'!$B$12,Paramètres!$A$1:$I$89,5,0)</f>
        <v>1.4897523215040567E-13</v>
      </c>
      <c r="CA201" s="14">
        <f t="shared" si="170"/>
        <v>2.136562777003313E-12</v>
      </c>
      <c r="CB201" s="22">
        <f t="shared" si="171"/>
        <v>3.9806453659427267E-12</v>
      </c>
      <c r="CC201" s="62">
        <f t="shared" si="195"/>
        <v>290.46664116925689</v>
      </c>
      <c r="CD201" s="62">
        <f ca="1">AVERAGE(OFFSET($CC$3,0,0,'Données projet'!$E$12+1,1))-AVERAGE(OFFSET($H$3,0,0,'Données projet'!$E$12+1,1))</f>
        <v>298.28891728374822</v>
      </c>
      <c r="CE201" s="62">
        <f t="shared" si="207"/>
        <v>275.07405533331371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1.1368683772161603E-13</v>
      </c>
      <c r="CU201" s="18">
        <f>CT201*VLOOKUP('Données projet'!$B$13,Paramètres!$A$1:$I$89,3,0)*VLOOKUP('Données projet'!$B$13,Paramètres!$A$1:$I$89,5,0)</f>
        <v>6.7984728957526396E-14</v>
      </c>
      <c r="CV201" s="14">
        <f t="shared" si="173"/>
        <v>1.0682447123141398E-12</v>
      </c>
      <c r="CW201" s="22">
        <f t="shared" si="174"/>
        <v>1.978932943548152E-12</v>
      </c>
      <c r="CX201" s="62">
        <f t="shared" si="196"/>
        <v>290.4666411692549</v>
      </c>
      <c r="CY201" s="62">
        <f ca="1">AVERAGE(OFFSET($CX$3,0,0,'Données projet'!$E$13+1,1))-AVERAGE(OFFSET($H$3,0,0,'Données projet'!$E$13+1,1))</f>
        <v>320.46614113586043</v>
      </c>
      <c r="CZ201" s="62">
        <f t="shared" si="208"/>
        <v>250.7806929924491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0</v>
      </c>
      <c r="DG201" s="23">
        <f>EXP(-LN(2)/25)*DG200+(1-EXP(-LN(2)/25))/(LN(2)/25)*Calculateur!DB201*Calculateur!DD201*VLOOKUP('Données projet'!$B$13,Paramètres!$A$1:$I$89,3,0)*0.475*44/12</f>
        <v>0</v>
      </c>
      <c r="DH201" s="23">
        <f>EXP(-LN(2)/2)*DH200+(1-EXP(-LN(2)/2))/(LN(2)/2)*DB201*DE201*VLOOKUP('Données projet'!$B$13,Paramètres!$A$1:$I$89,3,0)*0.475*44/12</f>
        <v>4.9005533678615353E-25</v>
      </c>
      <c r="DI201" s="24">
        <f t="shared" si="175"/>
        <v>4.9005533678615353E-25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-1.1368683772161603E-13</v>
      </c>
      <c r="DP201" s="18">
        <f>DO201*VLOOKUP('Données projet'!$B$14,Paramètres!$A$1:$I$89,3,0)*VLOOKUP('Données projet'!$B$14,Paramètres!$A$1:$I$89,5,0)</f>
        <v>-5.3205440053716299E-14</v>
      </c>
      <c r="DQ201" s="14" t="e">
        <f t="shared" si="176"/>
        <v>#NUM!</v>
      </c>
      <c r="DR201" s="22" t="e">
        <f t="shared" si="177"/>
        <v>#NUM!</v>
      </c>
      <c r="DS201" s="62" t="e">
        <f t="shared" si="197"/>
        <v>#NUM!</v>
      </c>
      <c r="DT201" s="62">
        <f ca="1">AVERAGE(OFFSET($DS$3,0,0,'Données projet'!$E$14+1,1))-AVERAGE(OFFSET($H$3,0,0,'Données projet'!$E$14+1,1))</f>
        <v>429.87867712133851</v>
      </c>
      <c r="DU201" s="62">
        <f t="shared" si="209"/>
        <v>182.81277865988014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0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0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1.1368683772161603E-13</v>
      </c>
      <c r="EK201" s="18">
        <f>EJ201*VLOOKUP('Données projet'!$B$15,Paramètres!$A$1:$I$89,3,0)*VLOOKUP('Données projet'!$B$15,Paramètres!$A$1:$I$89,5,0)</f>
        <v>7.626113074366004E-14</v>
      </c>
      <c r="EL201" s="14">
        <f t="shared" si="179"/>
        <v>1.1823749172251317E-12</v>
      </c>
      <c r="EM201" s="22">
        <f t="shared" si="180"/>
        <v>2.1921244502123119E-12</v>
      </c>
      <c r="EN201" s="62">
        <f t="shared" si="198"/>
        <v>290.46664116925513</v>
      </c>
      <c r="EO201" s="62">
        <f ca="1">AVERAGE(OFFSET($EN$3,0,0,'Données projet'!$E$15+1,1))-AVERAGE(OFFSET($H$3,0,0,'Données projet'!$E$15+1,1))</f>
        <v>296.18088377871669</v>
      </c>
      <c r="EP201" s="62">
        <f t="shared" si="210"/>
        <v>252.23833925792056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0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0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1.1368683772161603E-13</v>
      </c>
      <c r="FF201" s="18">
        <f>FE201*VLOOKUP('Données projet'!$B$16,Paramètres!$A$1:$I$89,3,0)*VLOOKUP('Données projet'!$B$16,Paramètres!$A$1:$I$89,5,0)</f>
        <v>9.7543306765146564E-14</v>
      </c>
      <c r="FG201" s="14">
        <f t="shared" si="182"/>
        <v>1.4696264278629426E-12</v>
      </c>
      <c r="FH201" s="22">
        <f t="shared" si="183"/>
        <v>2.7294872878105889E-12</v>
      </c>
      <c r="FI201" s="62">
        <f t="shared" si="199"/>
        <v>290.46664116925564</v>
      </c>
      <c r="FJ201" s="62">
        <f ca="1">AVERAGE(OFFSET($FI$3,0,0,'Données projet'!$E$16+1,1))-AVERAGE(OFFSET($H$3,0,0,'Données projet'!$E$16+1,1))</f>
        <v>359.20464555327072</v>
      </c>
      <c r="FK201" s="62">
        <f t="shared" si="211"/>
        <v>305.54154052071863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0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0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-9.6633812063373625E-13</v>
      </c>
      <c r="O202" s="14">
        <f>N202*VLOOKUP('Données projet'!$B$9,Paramètres!$A$1:$I$89,3,0)*VLOOKUP('Données projet'!$B$9,Paramètres!$A$1:$I$89,5,0)</f>
        <v>-9.7986685432260874E-13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516.30971934066179</v>
      </c>
      <c r="T202" s="62">
        <f t="shared" si="204"/>
        <v>290.84286505723571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-9.6633812063373625E-13</v>
      </c>
      <c r="AJ202" s="14">
        <f>AI202*VLOOKUP('Données projet'!$B$10,Paramètres!$A$1:$I$89,3,0)*VLOOKUP('Données projet'!$B$10,Paramètres!$A$1:$I$89,5,0)</f>
        <v>-1.0401663530501537E-12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542.90832990875208</v>
      </c>
      <c r="AO202" s="62">
        <f t="shared" si="205"/>
        <v>304.94365539329362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-9.6633812063373625E-13</v>
      </c>
      <c r="BE202" s="14">
        <f>BD202*VLOOKUP('Données projet'!$B$11,Paramètres!$A$1:$I$89,3,0)*VLOOKUP('Données projet'!$B$11,Paramètres!$A$1:$I$89,5,0)</f>
        <v>-9.3464223027694966E-13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496.33873798282525</v>
      </c>
      <c r="BJ202" s="62">
        <f t="shared" si="206"/>
        <v>280.25465074992246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1.7053025658242404E-13</v>
      </c>
      <c r="BZ202" s="14">
        <f>BY202*VLOOKUP('Données projet'!$B$12,Paramètres!$A$1:$I$89,3,0)*VLOOKUP('Données projet'!$B$12,Paramètres!$A$1:$I$89,5,0)</f>
        <v>1.4897523215040567E-13</v>
      </c>
      <c r="CA202" s="14">
        <f t="shared" si="170"/>
        <v>2.136562777003313E-12</v>
      </c>
      <c r="CB202" s="22">
        <f t="shared" si="171"/>
        <v>3.9806453659427267E-12</v>
      </c>
      <c r="CC202" s="62">
        <f t="shared" si="195"/>
        <v>290.51637186934011</v>
      </c>
      <c r="CD202" s="62">
        <f ca="1">AVERAGE(OFFSET($CC$3,0,0,'Données projet'!$E$12+1,1))-AVERAGE(OFFSET($H$3,0,0,'Données projet'!$E$12+1,1))</f>
        <v>298.28891728374822</v>
      </c>
      <c r="CE202" s="62">
        <f t="shared" si="207"/>
        <v>275.07405533331371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1.1368683772161603E-13</v>
      </c>
      <c r="CU202" s="18">
        <f>CT202*VLOOKUP('Données projet'!$B$13,Paramètres!$A$1:$I$89,3,0)*VLOOKUP('Données projet'!$B$13,Paramètres!$A$1:$I$89,5,0)</f>
        <v>6.7984728957526396E-14</v>
      </c>
      <c r="CV202" s="14">
        <f t="shared" si="173"/>
        <v>1.0682447123141398E-12</v>
      </c>
      <c r="CW202" s="22">
        <f t="shared" si="174"/>
        <v>1.978932943548152E-12</v>
      </c>
      <c r="CX202" s="62">
        <f t="shared" si="196"/>
        <v>290.51637186933812</v>
      </c>
      <c r="CY202" s="62">
        <f ca="1">AVERAGE(OFFSET($CX$3,0,0,'Données projet'!$E$13+1,1))-AVERAGE(OFFSET($H$3,0,0,'Données projet'!$E$13+1,1))</f>
        <v>320.46614113586043</v>
      </c>
      <c r="CZ202" s="62">
        <f t="shared" si="208"/>
        <v>250.7806929924491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0</v>
      </c>
      <c r="DG202" s="23">
        <f>EXP(-LN(2)/25)*DG201+(1-EXP(-LN(2)/25))/(LN(2)/25)*Calculateur!DB202*Calculateur!DD202*VLOOKUP('Données projet'!$B$13,Paramètres!$A$1:$I$89,3,0)*0.475*44/12</f>
        <v>0</v>
      </c>
      <c r="DH202" s="23">
        <f>EXP(-LN(2)/2)*DH201+(1-EXP(-LN(2)/2))/(LN(2)/2)*DB202*DE202*VLOOKUP('Données projet'!$B$13,Paramètres!$A$1:$I$89,3,0)*0.475*44/12</f>
        <v>3.4652145179814653E-25</v>
      </c>
      <c r="DI202" s="24">
        <f t="shared" si="175"/>
        <v>3.4652145179814653E-25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-1.1368683772161603E-13</v>
      </c>
      <c r="DP202" s="18">
        <f>DO202*VLOOKUP('Données projet'!$B$14,Paramètres!$A$1:$I$89,3,0)*VLOOKUP('Données projet'!$B$14,Paramètres!$A$1:$I$89,5,0)</f>
        <v>-5.3205440053716299E-14</v>
      </c>
      <c r="DQ202" s="14" t="e">
        <f t="shared" si="176"/>
        <v>#NUM!</v>
      </c>
      <c r="DR202" s="22" t="e">
        <f t="shared" si="177"/>
        <v>#NUM!</v>
      </c>
      <c r="DS202" s="62" t="e">
        <f t="shared" si="197"/>
        <v>#NUM!</v>
      </c>
      <c r="DT202" s="62">
        <f ca="1">AVERAGE(OFFSET($DS$3,0,0,'Données projet'!$E$14+1,1))-AVERAGE(OFFSET($H$3,0,0,'Données projet'!$E$14+1,1))</f>
        <v>429.87867712133851</v>
      </c>
      <c r="DU202" s="62">
        <f t="shared" si="209"/>
        <v>182.81277865988014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0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0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1.1368683772161603E-13</v>
      </c>
      <c r="EK202" s="18">
        <f>EJ202*VLOOKUP('Données projet'!$B$15,Paramètres!$A$1:$I$89,3,0)*VLOOKUP('Données projet'!$B$15,Paramètres!$A$1:$I$89,5,0)</f>
        <v>7.626113074366004E-14</v>
      </c>
      <c r="EL202" s="14">
        <f t="shared" si="179"/>
        <v>1.1823749172251317E-12</v>
      </c>
      <c r="EM202" s="22">
        <f t="shared" si="180"/>
        <v>2.1921244502123119E-12</v>
      </c>
      <c r="EN202" s="62">
        <f t="shared" si="198"/>
        <v>290.51637186933834</v>
      </c>
      <c r="EO202" s="62">
        <f ca="1">AVERAGE(OFFSET($EN$3,0,0,'Données projet'!$E$15+1,1))-AVERAGE(OFFSET($H$3,0,0,'Données projet'!$E$15+1,1))</f>
        <v>296.18088377871669</v>
      </c>
      <c r="EP202" s="62">
        <f t="shared" si="210"/>
        <v>252.23833925792056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0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0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1.1368683772161603E-13</v>
      </c>
      <c r="FF202" s="18">
        <f>FE202*VLOOKUP('Données projet'!$B$16,Paramètres!$A$1:$I$89,3,0)*VLOOKUP('Données projet'!$B$16,Paramètres!$A$1:$I$89,5,0)</f>
        <v>9.7543306765146564E-14</v>
      </c>
      <c r="FG202" s="14">
        <f t="shared" si="182"/>
        <v>1.4696264278629426E-12</v>
      </c>
      <c r="FH202" s="22">
        <f t="shared" si="183"/>
        <v>2.7294872878105889E-12</v>
      </c>
      <c r="FI202" s="62">
        <f t="shared" si="199"/>
        <v>290.51637186933885</v>
      </c>
      <c r="FJ202" s="62">
        <f ca="1">AVERAGE(OFFSET($FI$3,0,0,'Données projet'!$E$16+1,1))-AVERAGE(OFFSET($H$3,0,0,'Données projet'!$E$16+1,1))</f>
        <v>359.20464555327072</v>
      </c>
      <c r="FK202" s="62">
        <f t="shared" si="211"/>
        <v>305.54154052071863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0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0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-9.6633812063373625E-13</v>
      </c>
      <c r="O203" s="14">
        <f>N203*VLOOKUP('Données projet'!$B$9,Paramètres!$A$1:$I$89,3,0)*VLOOKUP('Données projet'!$B$9,Paramètres!$A$1:$I$89,5,0)</f>
        <v>-9.7986685432260874E-13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516.30971934066179</v>
      </c>
      <c r="T203" s="62">
        <f t="shared" si="204"/>
        <v>290.84286505723571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-9.6633812063373625E-13</v>
      </c>
      <c r="AJ203" s="14">
        <f>AI203*VLOOKUP('Données projet'!$B$10,Paramètres!$A$1:$I$89,3,0)*VLOOKUP('Données projet'!$B$10,Paramètres!$A$1:$I$89,5,0)</f>
        <v>-1.0401663530501537E-12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542.90832990875208</v>
      </c>
      <c r="AO203" s="62">
        <f t="shared" si="205"/>
        <v>304.94365539329362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-9.6633812063373625E-13</v>
      </c>
      <c r="BE203" s="14">
        <f>BD203*VLOOKUP('Données projet'!$B$11,Paramètres!$A$1:$I$89,3,0)*VLOOKUP('Données projet'!$B$11,Paramètres!$A$1:$I$89,5,0)</f>
        <v>-9.3464223027694966E-13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496.33873798282525</v>
      </c>
      <c r="BJ203" s="62">
        <f t="shared" si="206"/>
        <v>280.25465074992246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1.7053025658242404E-13</v>
      </c>
      <c r="BZ203" s="14">
        <f>BY203*VLOOKUP('Données projet'!$B$12,Paramètres!$A$1:$I$89,3,0)*VLOOKUP('Données projet'!$B$12,Paramètres!$A$1:$I$89,5,0)</f>
        <v>1.4897523215040567E-13</v>
      </c>
      <c r="CA203" s="14">
        <f t="shared" si="170"/>
        <v>2.136562777003313E-12</v>
      </c>
      <c r="CB203" s="22">
        <f t="shared" si="171"/>
        <v>3.9806453659427267E-12</v>
      </c>
      <c r="CC203" s="62">
        <f t="shared" si="195"/>
        <v>290.56523985295809</v>
      </c>
      <c r="CD203" s="62">
        <f ca="1">AVERAGE(OFFSET($CC$3,0,0,'Données projet'!$E$12+1,1))-AVERAGE(OFFSET($H$3,0,0,'Données projet'!$E$12+1,1))</f>
        <v>298.28891728374822</v>
      </c>
      <c r="CE203" s="62">
        <f t="shared" si="207"/>
        <v>275.07405533331371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1.1368683772161603E-13</v>
      </c>
      <c r="CU203" s="18">
        <f>CT203*VLOOKUP('Données projet'!$B$13,Paramètres!$A$1:$I$89,3,0)*VLOOKUP('Données projet'!$B$13,Paramètres!$A$1:$I$89,5,0)</f>
        <v>6.7984728957526396E-14</v>
      </c>
      <c r="CV203" s="14">
        <f t="shared" si="173"/>
        <v>1.0682447123141398E-12</v>
      </c>
      <c r="CW203" s="22">
        <f t="shared" si="174"/>
        <v>1.978932943548152E-12</v>
      </c>
      <c r="CX203" s="62">
        <f t="shared" si="196"/>
        <v>290.5652398529561</v>
      </c>
      <c r="CY203" s="62">
        <f ca="1">AVERAGE(OFFSET($CX$3,0,0,'Données projet'!$E$13+1,1))-AVERAGE(OFFSET($H$3,0,0,'Données projet'!$E$13+1,1))</f>
        <v>320.46614113586043</v>
      </c>
      <c r="CZ203" s="62">
        <f t="shared" si="208"/>
        <v>250.7806929924491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0</v>
      </c>
      <c r="DG203" s="23">
        <f>EXP(-LN(2)/25)*DG202+(1-EXP(-LN(2)/25))/(LN(2)/25)*Calculateur!DB203*Calculateur!DD203*VLOOKUP('Données projet'!$B$13,Paramètres!$A$1:$I$89,3,0)*0.475*44/12</f>
        <v>0</v>
      </c>
      <c r="DH203" s="23">
        <f>EXP(-LN(2)/2)*DH202+(1-EXP(-LN(2)/2))/(LN(2)/2)*DB203*DE203*VLOOKUP('Données projet'!$B$13,Paramètres!$A$1:$I$89,3,0)*0.475*44/12</f>
        <v>2.4502766839307677E-25</v>
      </c>
      <c r="DI203" s="24">
        <f t="shared" si="175"/>
        <v>2.4502766839307677E-25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-1.1368683772161603E-13</v>
      </c>
      <c r="DP203" s="18">
        <f>DO203*VLOOKUP('Données projet'!$B$14,Paramètres!$A$1:$I$89,3,0)*VLOOKUP('Données projet'!$B$14,Paramètres!$A$1:$I$89,5,0)</f>
        <v>-5.3205440053716299E-14</v>
      </c>
      <c r="DQ203" s="14" t="e">
        <f t="shared" si="176"/>
        <v>#NUM!</v>
      </c>
      <c r="DR203" s="22" t="e">
        <f t="shared" si="177"/>
        <v>#NUM!</v>
      </c>
      <c r="DS203" s="62" t="e">
        <f t="shared" si="197"/>
        <v>#NUM!</v>
      </c>
      <c r="DT203" s="62">
        <f ca="1">AVERAGE(OFFSET($DS$3,0,0,'Données projet'!$E$14+1,1))-AVERAGE(OFFSET($H$3,0,0,'Données projet'!$E$14+1,1))</f>
        <v>429.87867712133851</v>
      </c>
      <c r="DU203" s="62">
        <f t="shared" si="209"/>
        <v>182.81277865988014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0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0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1.1368683772161603E-13</v>
      </c>
      <c r="EK203" s="18">
        <f>EJ203*VLOOKUP('Données projet'!$B$15,Paramètres!$A$1:$I$89,3,0)*VLOOKUP('Données projet'!$B$15,Paramètres!$A$1:$I$89,5,0)</f>
        <v>7.626113074366004E-14</v>
      </c>
      <c r="EL203" s="14">
        <f t="shared" si="179"/>
        <v>1.1823749172251317E-12</v>
      </c>
      <c r="EM203" s="22">
        <f t="shared" si="180"/>
        <v>2.1921244502123119E-12</v>
      </c>
      <c r="EN203" s="62">
        <f t="shared" si="198"/>
        <v>290.56523985295632</v>
      </c>
      <c r="EO203" s="62">
        <f ca="1">AVERAGE(OFFSET($EN$3,0,0,'Données projet'!$E$15+1,1))-AVERAGE(OFFSET($H$3,0,0,'Données projet'!$E$15+1,1))</f>
        <v>296.18088377871669</v>
      </c>
      <c r="EP203" s="62">
        <f t="shared" si="210"/>
        <v>252.23833925792056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0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0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1.1368683772161603E-13</v>
      </c>
      <c r="FF203" s="18">
        <f>FE203*VLOOKUP('Données projet'!$B$16,Paramètres!$A$1:$I$89,3,0)*VLOOKUP('Données projet'!$B$16,Paramètres!$A$1:$I$89,5,0)</f>
        <v>9.7543306765146564E-14</v>
      </c>
      <c r="FG203" s="14">
        <f t="shared" si="182"/>
        <v>1.4696264278629426E-12</v>
      </c>
      <c r="FH203" s="22">
        <f t="shared" si="183"/>
        <v>2.7294872878105889E-12</v>
      </c>
      <c r="FI203" s="62">
        <f t="shared" si="199"/>
        <v>290.56523985295684</v>
      </c>
      <c r="FJ203" s="62">
        <f ca="1">AVERAGE(OFFSET($FI$3,0,0,'Données projet'!$E$16+1,1))-AVERAGE(OFFSET($H$3,0,0,'Données projet'!$E$16+1,1))</f>
        <v>359.20464555327072</v>
      </c>
      <c r="FK203" s="62">
        <f t="shared" si="211"/>
        <v>305.54154052071863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0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0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1.2054868146447177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1.2054868146447177</v>
      </c>
      <c r="BV205" s="88">
        <f>EXP(LN('Données projet'!B114)/'Données projet'!A114)</f>
        <v>1.156891598310152</v>
      </c>
      <c r="CQ205" s="88">
        <f>EXP(LN('Données projet'!B140)/'Données projet'!A140)</f>
        <v>1.1932635389591795</v>
      </c>
      <c r="DL205" s="88">
        <f>EXP(LN('Données projet'!B166)/'Données projet'!A166)</f>
        <v>1.1812937373976771</v>
      </c>
      <c r="EG205" s="88">
        <f>EXP(LN('Données projet'!B192)/'Données projet'!A192)</f>
        <v>1.2583595963961556</v>
      </c>
      <c r="FB205" s="88">
        <f>EXP(LN('Données projet'!B218)/'Données projet'!A218)</f>
        <v>1.2583595963961556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topLeftCell="J14" zoomScale="145" zoomScaleNormal="145" workbookViewId="0">
      <selection activeCell="J19" sqref="J1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Chêne pubescent</v>
      </c>
      <c r="B6" s="155">
        <f>'Données projet'!D9</f>
        <v>3.4000000000000004</v>
      </c>
      <c r="C6" s="156">
        <f ca="1">IF(OR('Données projet'!B9="",'Données projet'!C9="",'Données projet'!C9=0%),0,Calculateur!S3)</f>
        <v>516.30971934066179</v>
      </c>
      <c r="D6" s="156">
        <f>IF(OR('Données projet'!B9="",'Données projet'!C9="",'Données projet'!C9=0%),0,Calculateur!T3)</f>
        <v>290.84286505723571</v>
      </c>
      <c r="E6" s="156">
        <f ca="1">MIN(C6,D6)</f>
        <v>290.84286505723571</v>
      </c>
      <c r="F6" s="156">
        <f ca="1">E6*B6</f>
        <v>988.86574119460158</v>
      </c>
      <c r="G6" s="156">
        <f ca="1">F6*(100%-'Données projet'!$C$24)*(100%-'Données projet'!$C$25)*(100%-'Données projet'!$C$26)*(100%-'Données projet'!$C$27)</f>
        <v>845.48020872138432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24.650000000000002</v>
      </c>
      <c r="K6" s="160">
        <f>J6*(100%-'Données projet'!$C$24)*(100%-'Données projet'!$C$25)*(100%-'Données projet'!$C$26)*(100%-'Données projet'!$C$27)</f>
        <v>21.075750000000003</v>
      </c>
      <c r="L6" s="161">
        <f ca="1">G6+I6+K6</f>
        <v>866.55595872138429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Cormier</v>
      </c>
      <c r="B7" s="163">
        <f>'Données projet'!D10</f>
        <v>1.02</v>
      </c>
      <c r="C7" s="156">
        <f ca="1">IF(OR('Données projet'!B10="",'Données projet'!C10="",'Données projet'!C10=0%),0,Calculateur!AN3)</f>
        <v>542.90832990875208</v>
      </c>
      <c r="D7" s="156">
        <f>IF(OR('Données projet'!B10="",'Données projet'!C10="",'Données projet'!C10=0%),0,Calculateur!AO3)</f>
        <v>304.94365539329362</v>
      </c>
      <c r="E7" s="156">
        <f t="shared" ref="E7:E15" ca="1" si="0">MIN(C7,D7)</f>
        <v>304.94365539329362</v>
      </c>
      <c r="F7" s="156">
        <f t="shared" ref="F7:F15" ca="1" si="1">E7*B7</f>
        <v>311.0425285011595</v>
      </c>
      <c r="G7" s="156">
        <f ca="1">F7*(100%-'Données projet'!$C$24)*(100%-'Données projet'!$C$25)*(100%-'Données projet'!$C$26)*(100%-'Données projet'!$C$27)</f>
        <v>265.94136186849136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7.3950000000000005</v>
      </c>
      <c r="K7" s="160">
        <f>J7*(100%-'Données projet'!$C$24)*(100%-'Données projet'!$C$25)*(100%-'Données projet'!$C$26)*(100%-'Données projet'!$C$27)</f>
        <v>6.3227250000000002</v>
      </c>
      <c r="L7" s="161">
        <f t="shared" ref="L7:L15" ca="1" si="2">G7+I7+K7</f>
        <v>272.26408686849135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Alisier torminal</v>
      </c>
      <c r="B8" s="163">
        <f>'Données projet'!D11</f>
        <v>0.51595000000000002</v>
      </c>
      <c r="C8" s="156">
        <f ca="1">IF(OR('Données projet'!B11="",'Données projet'!C11="",'Données projet'!C11=0%),0,Calculateur!BI3)</f>
        <v>496.33873798282525</v>
      </c>
      <c r="D8" s="156">
        <f>IF(OR('Données projet'!B11="",'Données projet'!C11="",'Données projet'!C11=0%),0,Calculateur!BJ3)</f>
        <v>280.25465074992246</v>
      </c>
      <c r="E8" s="156">
        <f t="shared" ca="1" si="0"/>
        <v>280.25465074992246</v>
      </c>
      <c r="F8" s="156">
        <f t="shared" ca="1" si="1"/>
        <v>144.59738705442251</v>
      </c>
      <c r="G8" s="156">
        <f ca="1">F8*(100%-'Données projet'!$C$24)*(100%-'Données projet'!$C$25)*(100%-'Données projet'!$C$26)*(100%-'Données projet'!$C$27)</f>
        <v>123.63076593153124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3.7406375000000001</v>
      </c>
      <c r="K8" s="160">
        <f>J8*(100%-'Données projet'!$C$24)*(100%-'Données projet'!$C$25)*(100%-'Données projet'!$C$26)*(100%-'Données projet'!$C$27)</f>
        <v>3.1982450624999998</v>
      </c>
      <c r="L8" s="161">
        <f t="shared" ca="1" si="2"/>
        <v>126.82901099403125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>Erable champêtre</v>
      </c>
      <c r="B9" s="163">
        <f>'Données projet'!D12</f>
        <v>0.51595000000000002</v>
      </c>
      <c r="C9" s="156">
        <f ca="1">IF(OR('Données projet'!B12="",'Données projet'!C12="",'Données projet'!C12=0%),0,Calculateur!CD3)</f>
        <v>298.28891728374822</v>
      </c>
      <c r="D9" s="156">
        <f>IF(OR('Données projet'!B12="",'Données projet'!C12="",'Données projet'!C12=0%),0,Calculateur!CE3)</f>
        <v>275.07405533331371</v>
      </c>
      <c r="E9" s="156">
        <f t="shared" ca="1" si="0"/>
        <v>275.07405533331371</v>
      </c>
      <c r="F9" s="156">
        <f t="shared" ca="1" si="1"/>
        <v>141.92445884922321</v>
      </c>
      <c r="G9" s="156">
        <f ca="1">F9*(100%-'Données projet'!$C$24)*(100%-'Données projet'!$C$25)*(100%-'Données projet'!$C$26)*(100%-'Données projet'!$C$27)</f>
        <v>121.34541231608584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5.4174750000000005</v>
      </c>
      <c r="K9" s="160">
        <f>J9*(100%-'Données projet'!$C$24)*(100%-'Données projet'!$C$25)*(100%-'Données projet'!$C$26)*(100%-'Données projet'!$C$27)</f>
        <v>4.6319411250000009</v>
      </c>
      <c r="L9" s="161">
        <f t="shared" ca="1" si="2"/>
        <v>125.97735344108584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>Pin laricio</v>
      </c>
      <c r="B10" s="163">
        <f>'Données projet'!D13</f>
        <v>0.51595000000000002</v>
      </c>
      <c r="C10" s="156">
        <f ca="1">IF(OR('Données projet'!B13="",'Données projet'!C13="",'Données projet'!C13=0%),0,Calculateur!CY3)</f>
        <v>320.46614113586043</v>
      </c>
      <c r="D10" s="156">
        <f>IF(OR('Données projet'!B13="",'Données projet'!C13="",'Données projet'!C13=0%),0,Calculateur!CZ3)</f>
        <v>250.7806929924491</v>
      </c>
      <c r="E10" s="156">
        <f t="shared" ca="1" si="0"/>
        <v>250.7806929924491</v>
      </c>
      <c r="F10" s="156">
        <f t="shared" ca="1" si="1"/>
        <v>129.39029854945412</v>
      </c>
      <c r="G10" s="156">
        <f ca="1">F10*(100%-'Données projet'!$C$24)*(100%-'Données projet'!$C$25)*(100%-'Données projet'!$C$26)*(100%-'Données projet'!$C$27)</f>
        <v>110.62870525978327</v>
      </c>
      <c r="H10" s="164">
        <f>IF(OR('Données projet'!B13="",'Données projet'!C13="",'Données projet'!C13=0%),0,AVERAGE(Calculateur!$DI$3:$DI$33)*B10)</f>
        <v>0.15776500728142928</v>
      </c>
      <c r="I10" s="158">
        <f>H10*(100%-'Données projet'!$C$24)*(100%-'Données projet'!$C$25)*(100%-'Données projet'!$C$26)*(100%-'Données projet'!$C$27)</f>
        <v>0.13488908122562202</v>
      </c>
      <c r="J10" s="159">
        <f>IF(OR('Données projet'!B13="",'Données projet'!C13="",'Données projet'!C13=0%),0,SUM(Calculateur!$DB$3:$DB$33)*VLOOKUP('Données projet'!$B$13,Paramètres!$A$1:$I$89,9,0)*B10)</f>
        <v>6.2120379999999997</v>
      </c>
      <c r="K10" s="160">
        <f>J10*(100%-'Données projet'!$C$24)*(100%-'Données projet'!$C$25)*(100%-'Données projet'!$C$26)*(100%-'Données projet'!$C$27)</f>
        <v>5.3112924899999996</v>
      </c>
      <c r="L10" s="161">
        <f t="shared" ca="1" si="2"/>
        <v>116.0748868310089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>Cèdre de l'Atlas</v>
      </c>
      <c r="B11" s="163">
        <f>'Données projet'!D14</f>
        <v>0.50405</v>
      </c>
      <c r="C11" s="156">
        <f ca="1">IF(OR('Données projet'!B14="",'Données projet'!C14="",'Données projet'!C14=0%),0,Calculateur!DT3)</f>
        <v>429.87867712133851</v>
      </c>
      <c r="D11" s="156">
        <f>IF(OR('Données projet'!B14="",'Données projet'!C14="",'Données projet'!C14=0%),0,Calculateur!DU3)</f>
        <v>182.81277865988014</v>
      </c>
      <c r="E11" s="156">
        <f t="shared" ca="1" si="0"/>
        <v>182.81277865988014</v>
      </c>
      <c r="F11" s="156">
        <f t="shared" ca="1" si="1"/>
        <v>92.146781083512579</v>
      </c>
      <c r="G11" s="156">
        <f ca="1">F11*(100%-'Données projet'!$C$24)*(100%-'Données projet'!$C$25)*(100%-'Données projet'!$C$26)*(100%-'Données projet'!$C$27)</f>
        <v>78.785497826403258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ca="1" si="2"/>
        <v>78.785497826403258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>Tilleul</v>
      </c>
      <c r="B12" s="163">
        <f>'Données projet'!D15</f>
        <v>0.50405</v>
      </c>
      <c r="C12" s="156">
        <f ca="1">IF(OR('Données projet'!B15="",'Données projet'!C15="",'Données projet'!C15=0%),0,Calculateur!EO3)</f>
        <v>296.18088377871669</v>
      </c>
      <c r="D12" s="156">
        <f>IF(OR('Données projet'!B15="",'Données projet'!C15="",'Données projet'!C15=0%),0,Calculateur!EP3)</f>
        <v>252.23833925792056</v>
      </c>
      <c r="E12" s="156">
        <f t="shared" ca="1" si="0"/>
        <v>252.23833925792056</v>
      </c>
      <c r="F12" s="156">
        <f t="shared" ca="1" si="1"/>
        <v>127.14073490295486</v>
      </c>
      <c r="G12" s="156">
        <f ca="1">F12*(100%-'Données projet'!$C$24)*(100%-'Données projet'!$C$25)*(100%-'Données projet'!$C$26)*(100%-'Données projet'!$C$27)</f>
        <v>108.70532834202639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5.4928525641025638</v>
      </c>
      <c r="K12" s="160">
        <f>J12*(100%-'Données projet'!$C$24)*(100%-'Données projet'!$C$25)*(100%-'Données projet'!$C$26)*(100%-'Données projet'!$C$27)</f>
        <v>4.6963889423076921</v>
      </c>
      <c r="L12" s="161">
        <f t="shared" ca="1" si="2"/>
        <v>113.40171728433408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>Micocoulier de Provence</v>
      </c>
      <c r="B13" s="163">
        <f>'Données projet'!D16</f>
        <v>0.50405</v>
      </c>
      <c r="C13" s="156">
        <f ca="1">IF(OR('Données projet'!B16="",'Données projet'!C16="",'Données projet'!C16=0%),0,Calculateur!FJ3)</f>
        <v>359.20464555327072</v>
      </c>
      <c r="D13" s="156">
        <f>IF(OR('Données projet'!B16="",'Données projet'!C16="",'Données projet'!C16=0%),0,Calculateur!FK3)</f>
        <v>305.54154052071863</v>
      </c>
      <c r="E13" s="156">
        <f t="shared" ca="1" si="0"/>
        <v>305.54154052071863</v>
      </c>
      <c r="F13" s="156">
        <f t="shared" ca="1" si="1"/>
        <v>154.00821349946821</v>
      </c>
      <c r="G13" s="156">
        <f ca="1">F13*(100%-'Données projet'!$C$24)*(100%-'Données projet'!$C$25)*(100%-'Données projet'!$C$26)*(100%-'Données projet'!$C$27)</f>
        <v>131.67702254204531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5.4928525641025638</v>
      </c>
      <c r="K13" s="160">
        <f>J13*(100%-'Données projet'!$C$24)*(100%-'Données projet'!$C$25)*(100%-'Données projet'!$C$26)*(100%-'Données projet'!$C$27)</f>
        <v>4.6963889423076921</v>
      </c>
      <c r="L13" s="161">
        <f t="shared" ca="1" si="2"/>
        <v>136.373411484353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2089.116143634797</v>
      </c>
      <c r="G16" s="175">
        <f t="shared" ca="1" si="3"/>
        <v>1786.1943028077512</v>
      </c>
      <c r="H16" s="176">
        <f t="shared" si="3"/>
        <v>0.15776500728142928</v>
      </c>
      <c r="I16" s="176">
        <f t="shared" si="3"/>
        <v>0.13488908122562202</v>
      </c>
      <c r="J16" s="177">
        <f t="shared" si="3"/>
        <v>58.400855628205129</v>
      </c>
      <c r="K16" s="177">
        <f t="shared" si="3"/>
        <v>49.932731562115393</v>
      </c>
      <c r="L16" s="178">
        <f t="shared" ca="1" si="3"/>
        <v>1836.2619234510921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Chêne pubescent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Cormier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Alisier torminal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>Erable champêtre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>Pin laricio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>Cèdre de l'Atlas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>Tilleul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>Micocoulier de Provence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H4" zoomScale="90" zoomScaleNormal="90" workbookViewId="0">
      <selection activeCell="I21" sqref="I21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pubescent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553.56133306940501</v>
      </c>
      <c r="U10" s="190">
        <f>'Données projet'!D9</f>
        <v>3.4000000000000004</v>
      </c>
      <c r="V10" s="189">
        <f>U10*T10</f>
        <v>1882.1085324359772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Cormier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553.56133306940501</v>
      </c>
      <c r="U11" s="190">
        <f>'Données projet'!D10</f>
        <v>1.02</v>
      </c>
      <c r="V11" s="189">
        <f t="shared" ref="V11" si="0">U11*T11</f>
        <v>564.6325597307931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Alisier torminal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553.56133306940501</v>
      </c>
      <c r="U12" s="190">
        <f>'Données projet'!D11</f>
        <v>0.51595000000000002</v>
      </c>
      <c r="V12" s="189">
        <f t="shared" ref="V12:V19" si="1">U12*T12</f>
        <v>285.60996979715952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Erable champêtre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1395.4572252671912</v>
      </c>
      <c r="U13" s="190">
        <f>'Données projet'!D12</f>
        <v>0.51595000000000002</v>
      </c>
      <c r="V13" s="189">
        <f t="shared" si="1"/>
        <v>719.98615537660737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Chêne pubescent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Pin laricio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1194.7912487315127</v>
      </c>
      <c r="U14" s="190">
        <f>'Données projet'!D13</f>
        <v>0.51595000000000002</v>
      </c>
      <c r="V14" s="189">
        <f t="shared" si="1"/>
        <v>616.452544783024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>
        <v>0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Cèdre de l'Atlas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2566.3720480395841</v>
      </c>
      <c r="U15" s="190">
        <f>'Données projet'!D14</f>
        <v>0.50405</v>
      </c>
      <c r="V15" s="189">
        <f t="shared" si="1"/>
        <v>1293.5798308143524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>Tilleul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512.25219024065166</v>
      </c>
      <c r="U16" s="190">
        <f>'Données projet'!D15</f>
        <v>0.50405</v>
      </c>
      <c r="V16" s="189">
        <f t="shared" si="1"/>
        <v>258.20071649080046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Micocoulier de Provence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512.25219024065166</v>
      </c>
      <c r="U17" s="190">
        <f>'Données projet'!D16</f>
        <v>0.50405</v>
      </c>
      <c r="V17" s="189">
        <f t="shared" si="1"/>
        <v>258.20071649080046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6148.8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-46386.028974080487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38361.086376935054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29</v>
      </c>
      <c r="C25" s="206">
        <v>10</v>
      </c>
      <c r="D25" s="194">
        <f t="shared" si="2"/>
        <v>290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200</v>
      </c>
      <c r="Q25" s="265"/>
      <c r="R25" s="25"/>
      <c r="S25" s="198" t="s">
        <v>266</v>
      </c>
      <c r="T25" s="341">
        <f ca="1">T23-T24</f>
        <v>-84747.115351015542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42</v>
      </c>
      <c r="C27" s="206">
        <v>10</v>
      </c>
      <c r="D27" s="194">
        <f t="shared" si="2"/>
        <v>420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42</v>
      </c>
      <c r="C29" s="206">
        <v>10</v>
      </c>
      <c r="D29" s="194">
        <f t="shared" si="2"/>
        <v>420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55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4513.0689855217715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60</v>
      </c>
      <c r="B31" s="193">
        <f>'Données projet'!D44</f>
        <v>42</v>
      </c>
      <c r="C31" s="206">
        <v>20</v>
      </c>
      <c r="D31" s="194">
        <f t="shared" si="2"/>
        <v>840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65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70</v>
      </c>
      <c r="B33" s="193">
        <f>'Données projet'!D46</f>
        <v>42</v>
      </c>
      <c r="C33" s="206">
        <v>30</v>
      </c>
      <c r="D33" s="194">
        <f t="shared" si="2"/>
        <v>1260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75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191.38755980861245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80</v>
      </c>
      <c r="B35" s="193">
        <f>'Données projet'!D48</f>
        <v>42</v>
      </c>
      <c r="C35" s="206">
        <v>40</v>
      </c>
      <c r="D35" s="194">
        <f t="shared" si="2"/>
        <v>1680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183.14599024747605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90</v>
      </c>
      <c r="B36" s="193">
        <f>'Données projet'!D49</f>
        <v>42</v>
      </c>
      <c r="C36" s="206">
        <v>50</v>
      </c>
      <c r="D36" s="194">
        <f t="shared" si="2"/>
        <v>2100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175.25932081098188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100</v>
      </c>
      <c r="B37" s="193">
        <f>'Données projet'!D50</f>
        <v>42</v>
      </c>
      <c r="C37" s="206">
        <v>50</v>
      </c>
      <c r="D37" s="194">
        <f t="shared" si="2"/>
        <v>2100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167.71226871864297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39</v>
      </c>
      <c r="C38" s="206">
        <v>50</v>
      </c>
      <c r="D38" s="194">
        <f t="shared" si="2"/>
        <v>1950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160.49020930013683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35</v>
      </c>
      <c r="C39" s="206">
        <v>70</v>
      </c>
      <c r="D39" s="194">
        <f t="shared" si="2"/>
        <v>2450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153.57914765563336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130</v>
      </c>
      <c r="B40" s="193">
        <f>'Données projet'!D53</f>
        <v>31</v>
      </c>
      <c r="C40" s="206">
        <v>100</v>
      </c>
      <c r="D40" s="194">
        <f t="shared" si="2"/>
        <v>3100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146.96569153649125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140</v>
      </c>
      <c r="B41" s="193">
        <f>'Données projet'!D54</f>
        <v>27</v>
      </c>
      <c r="C41" s="206">
        <v>120</v>
      </c>
      <c r="D41" s="194">
        <f t="shared" si="2"/>
        <v>3240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140.63702539377158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150</v>
      </c>
      <c r="B42" s="193">
        <f>'Données projet'!D55</f>
        <v>293</v>
      </c>
      <c r="C42" s="206">
        <v>200</v>
      </c>
      <c r="D42" s="194">
        <f t="shared" si="2"/>
        <v>58600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134.58088554427903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128.78553640600865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123.23974775694609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Cormier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117.93277297315417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112.85432820397527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107.99457244399551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103.34408846315358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98.893864558041756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94.635277089035171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90.560073769411659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86.660357674078142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82.92857193691691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79.357485107097517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25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75.940177135978502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30</v>
      </c>
      <c r="B56" s="193">
        <f>'Données projet'!D64</f>
        <v>29</v>
      </c>
      <c r="C56" s="206">
        <v>10</v>
      </c>
      <c r="D56" s="191">
        <f t="shared" si="4"/>
        <v>290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72.67002596744355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35</v>
      </c>
      <c r="B57" s="193">
        <f>'Données projet'!D65</f>
        <v>0</v>
      </c>
      <c r="C57" s="206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69.540694705687613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40</v>
      </c>
      <c r="B58" s="193">
        <f>'Données projet'!D66</f>
        <v>42</v>
      </c>
      <c r="C58" s="206">
        <v>10</v>
      </c>
      <c r="D58" s="191">
        <f t="shared" si="4"/>
        <v>420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66.546119335586241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45</v>
      </c>
      <c r="B59" s="193">
        <f>'Données projet'!D67</f>
        <v>0</v>
      </c>
      <c r="C59" s="206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63.680496971852875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50</v>
      </c>
      <c r="B60" s="193">
        <f>'Données projet'!D68</f>
        <v>42</v>
      </c>
      <c r="C60" s="206">
        <v>10</v>
      </c>
      <c r="D60" s="191">
        <f t="shared" si="4"/>
        <v>420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60.938274614213277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55</v>
      </c>
      <c r="B61" s="193">
        <f>'Données projet'!D69</f>
        <v>0</v>
      </c>
      <c r="C61" s="206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58.314138386806981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60</v>
      </c>
      <c r="B62" s="193">
        <f>'Données projet'!D70</f>
        <v>42</v>
      </c>
      <c r="C62" s="206">
        <v>20</v>
      </c>
      <c r="D62" s="191">
        <f t="shared" si="4"/>
        <v>840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55.803003240963605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65</v>
      </c>
      <c r="B63" s="193">
        <f>'Données projet'!D71</f>
        <v>0</v>
      </c>
      <c r="C63" s="206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53.4000031014006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70</v>
      </c>
      <c r="B64" s="193">
        <f>'Données projet'!D72</f>
        <v>42</v>
      </c>
      <c r="C64" s="206">
        <v>30</v>
      </c>
      <c r="D64" s="191">
        <f t="shared" si="4"/>
        <v>1260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51.100481436746975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75</v>
      </c>
      <c r="B65" s="193">
        <f>'Données projet'!D73</f>
        <v>0</v>
      </c>
      <c r="C65" s="206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48.899982236121538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80</v>
      </c>
      <c r="B66" s="193">
        <f>'Données projet'!D74</f>
        <v>42</v>
      </c>
      <c r="C66" s="206">
        <v>40</v>
      </c>
      <c r="D66" s="191">
        <f t="shared" si="4"/>
        <v>1680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46.79424137427899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42</v>
      </c>
      <c r="C67" s="206">
        <v>50</v>
      </c>
      <c r="D67" s="191">
        <f t="shared" si="4"/>
        <v>2100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44.779178348592339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100</v>
      </c>
      <c r="B68" s="193">
        <f>'Données projet'!D76</f>
        <v>42</v>
      </c>
      <c r="C68" s="206">
        <v>50</v>
      </c>
      <c r="D68" s="191">
        <f t="shared" si="4"/>
        <v>2100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42.850888371858694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110</v>
      </c>
      <c r="B69" s="193">
        <f>'Données projet'!D77</f>
        <v>39</v>
      </c>
      <c r="C69" s="206">
        <v>50</v>
      </c>
      <c r="D69" s="191">
        <f t="shared" si="4"/>
        <v>1950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41.005634805606419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120</v>
      </c>
      <c r="B70" s="193">
        <f>'Données projet'!D78</f>
        <v>35</v>
      </c>
      <c r="C70" s="206">
        <v>70</v>
      </c>
      <c r="D70" s="191">
        <f t="shared" si="4"/>
        <v>2450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39.23984191924059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130</v>
      </c>
      <c r="B71" s="193">
        <f>'Données projet'!D79</f>
        <v>31</v>
      </c>
      <c r="C71" s="206">
        <v>100</v>
      </c>
      <c r="D71" s="191">
        <f t="shared" si="4"/>
        <v>3100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37.550087960995789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140</v>
      </c>
      <c r="B72" s="193">
        <f>'Données projet'!D80</f>
        <v>27</v>
      </c>
      <c r="C72" s="206">
        <v>120</v>
      </c>
      <c r="D72" s="191">
        <f t="shared" si="4"/>
        <v>3240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35.933098527268697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150</v>
      </c>
      <c r="B73" s="193">
        <f>'Données projet'!D81</f>
        <v>293</v>
      </c>
      <c r="C73" s="206">
        <v>200</v>
      </c>
      <c r="D73" s="191">
        <f t="shared" si="4"/>
        <v>58600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34.385740217482017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32.905014562183752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31.488052212616033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Alisier torminal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30.132107380493814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28.834552517218963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27.592873222219101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26.404663370544601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25.267620450281914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24.179541100748253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23.138316842821293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22.141929993130429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21.188449754191801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20.276028472910816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25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19.402898060201739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30</v>
      </c>
      <c r="B87" s="193">
        <f>'Données projet'!D90</f>
        <v>29</v>
      </c>
      <c r="C87" s="206">
        <v>10</v>
      </c>
      <c r="D87" s="191">
        <f t="shared" si="6"/>
        <v>290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18.567366564786358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35</v>
      </c>
      <c r="B88" s="193">
        <f>'Données projet'!D91</f>
        <v>0</v>
      </c>
      <c r="C88" s="206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17.7678148945324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40</v>
      </c>
      <c r="B89" s="193">
        <f>'Données projet'!D92</f>
        <v>42</v>
      </c>
      <c r="C89" s="206">
        <v>10</v>
      </c>
      <c r="D89" s="191">
        <f t="shared" si="6"/>
        <v>420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17.002693678978375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45</v>
      </c>
      <c r="B90" s="193">
        <f>'Données projet'!D93</f>
        <v>0</v>
      </c>
      <c r="C90" s="206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16.270520266964954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50</v>
      </c>
      <c r="B91" s="193">
        <f>'Données projet'!D94</f>
        <v>42</v>
      </c>
      <c r="C91" s="206">
        <v>10</v>
      </c>
      <c r="D91" s="191">
        <f t="shared" si="6"/>
        <v>420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15.569875853554985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55</v>
      </c>
      <c r="B92" s="193">
        <f>'Données projet'!D95</f>
        <v>0</v>
      </c>
      <c r="C92" s="206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14.899402730674627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60</v>
      </c>
      <c r="B93" s="193">
        <f>'Données projet'!D96</f>
        <v>42</v>
      </c>
      <c r="C93" s="206">
        <v>20</v>
      </c>
      <c r="D93" s="191">
        <f t="shared" si="6"/>
        <v>840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14.25780165614797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65</v>
      </c>
      <c r="B94" s="193">
        <f>'Données projet'!D97</f>
        <v>0</v>
      </c>
      <c r="C94" s="206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13.643829336026764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70</v>
      </c>
      <c r="B95" s="193">
        <f>'Données projet'!D98</f>
        <v>42</v>
      </c>
      <c r="C95" s="206">
        <v>30</v>
      </c>
      <c r="D95" s="191">
        <f t="shared" si="6"/>
        <v>1260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13.056296015336622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75</v>
      </c>
      <c r="B96" s="193">
        <f>'Données projet'!D99</f>
        <v>0</v>
      </c>
      <c r="C96" s="206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12.494063172570927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80</v>
      </c>
      <c r="B97" s="193">
        <f>'Données projet'!D100</f>
        <v>42</v>
      </c>
      <c r="C97" s="206">
        <v>40</v>
      </c>
      <c r="D97" s="191">
        <f t="shared" si="6"/>
        <v>1680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11.956041313465009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42</v>
      </c>
      <c r="C98" s="206">
        <v>50</v>
      </c>
      <c r="D98" s="191">
        <f t="shared" si="6"/>
        <v>2100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11.441187859775129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100</v>
      </c>
      <c r="B99" s="193">
        <f>'Données projet'!D102</f>
        <v>42</v>
      </c>
      <c r="C99" s="206">
        <v>50</v>
      </c>
      <c r="D99" s="191">
        <f t="shared" si="6"/>
        <v>2100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10.948505128971417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110</v>
      </c>
      <c r="B100" s="193">
        <f>'Données projet'!D103</f>
        <v>39</v>
      </c>
      <c r="C100" s="206">
        <v>50</v>
      </c>
      <c r="D100" s="191">
        <f t="shared" si="6"/>
        <v>1950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10.477038400929585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120</v>
      </c>
      <c r="B101" s="193">
        <f>'Données projet'!D104</f>
        <v>35</v>
      </c>
      <c r="C101" s="206">
        <v>70</v>
      </c>
      <c r="D101" s="191">
        <f t="shared" si="6"/>
        <v>2450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10.025874067875202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130</v>
      </c>
      <c r="B102" s="193">
        <f>'Données projet'!D105</f>
        <v>31</v>
      </c>
      <c r="C102" s="206">
        <v>100</v>
      </c>
      <c r="D102" s="191">
        <f t="shared" si="6"/>
        <v>3100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9.5941378639954102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140</v>
      </c>
      <c r="B103" s="193">
        <f>'Données projet'!D106</f>
        <v>27</v>
      </c>
      <c r="C103" s="206">
        <v>120</v>
      </c>
      <c r="D103" s="191">
        <f t="shared" si="6"/>
        <v>3240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9.1809931712874757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150</v>
      </c>
      <c r="B104" s="193">
        <f>'Données projet'!D107</f>
        <v>293</v>
      </c>
      <c r="C104" s="206">
        <v>200</v>
      </c>
      <c r="D104" s="191">
        <f t="shared" si="6"/>
        <v>58600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8.7856393983612211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8.407310429053803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8.0452731378505291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>Erable champêtre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7.6988259692349565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7.3672975782152701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7.0500455293926043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6.7464550520503392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6.4559378488520007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6.1779309558392344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5.9118956515208003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str">
        <f>IF(O113+1&lt;=MIN('Données projet'!$E$9:$E$18),O113+1,"STOP")</f>
        <v>STOP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15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20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25</v>
      </c>
      <c r="B118" s="193">
        <f>'Données projet'!D116</f>
        <v>42</v>
      </c>
      <c r="C118" s="204">
        <v>10</v>
      </c>
      <c r="D118" s="191">
        <f t="shared" si="8"/>
        <v>420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30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35</v>
      </c>
      <c r="B120" s="193">
        <f>'Données projet'!D118</f>
        <v>42</v>
      </c>
      <c r="C120" s="204">
        <v>20</v>
      </c>
      <c r="D120" s="191">
        <f t="shared" si="8"/>
        <v>840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40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45</v>
      </c>
      <c r="B122" s="193">
        <f>'Données projet'!D120</f>
        <v>39.299999999999997</v>
      </c>
      <c r="C122" s="204">
        <v>25</v>
      </c>
      <c r="D122" s="191">
        <f t="shared" si="8"/>
        <v>982.49999999999989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50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55</v>
      </c>
      <c r="B124" s="193">
        <f>'Données projet'!D122</f>
        <v>23.8</v>
      </c>
      <c r="C124" s="204">
        <v>30</v>
      </c>
      <c r="D124" s="191">
        <f t="shared" si="8"/>
        <v>714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60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65</v>
      </c>
      <c r="B126" s="193">
        <f>'Données projet'!D124</f>
        <v>17.700000000000003</v>
      </c>
      <c r="C126" s="204">
        <v>50</v>
      </c>
      <c r="D126" s="191">
        <f t="shared" si="8"/>
        <v>885.00000000000011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70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75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80</v>
      </c>
      <c r="B129" s="193">
        <f>'Données projet'!D127</f>
        <v>232.89999999999998</v>
      </c>
      <c r="C129" s="204">
        <v>120</v>
      </c>
      <c r="D129" s="191">
        <f t="shared" si="8"/>
        <v>27947.999999999996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>Pin laricio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27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30</v>
      </c>
      <c r="B148" s="187">
        <f>'Données projet'!D141</f>
        <v>28</v>
      </c>
      <c r="C148" s="204">
        <v>10</v>
      </c>
      <c r="D148" s="194">
        <f t="shared" ref="D148:D166" si="10">B148*C148</f>
        <v>280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35</v>
      </c>
      <c r="B149" s="187">
        <f>'Données projet'!D142</f>
        <v>23</v>
      </c>
      <c r="C149" s="204">
        <v>10</v>
      </c>
      <c r="D149" s="194">
        <f t="shared" si="10"/>
        <v>230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40</v>
      </c>
      <c r="B150" s="187">
        <f>'Données projet'!D143</f>
        <v>34</v>
      </c>
      <c r="C150" s="204">
        <v>15</v>
      </c>
      <c r="D150" s="194">
        <f t="shared" si="10"/>
        <v>510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50</v>
      </c>
      <c r="B151" s="187">
        <f>'Données projet'!D144</f>
        <v>79</v>
      </c>
      <c r="C151" s="204">
        <v>20</v>
      </c>
      <c r="D151" s="194">
        <f t="shared" si="10"/>
        <v>1580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60</v>
      </c>
      <c r="B152" s="187">
        <f>'Données projet'!D145</f>
        <v>88</v>
      </c>
      <c r="C152" s="204">
        <v>25</v>
      </c>
      <c r="D152" s="194">
        <f t="shared" si="10"/>
        <v>2200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70</v>
      </c>
      <c r="B153" s="187">
        <f>'Données projet'!D146</f>
        <v>78</v>
      </c>
      <c r="C153" s="204">
        <v>30</v>
      </c>
      <c r="D153" s="194">
        <f t="shared" si="10"/>
        <v>2340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80</v>
      </c>
      <c r="B154" s="187">
        <f>'Données projet'!D147</f>
        <v>460</v>
      </c>
      <c r="C154" s="204">
        <v>40</v>
      </c>
      <c r="D154" s="194">
        <f t="shared" si="10"/>
        <v>18400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>Cèdre de l'Atlas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20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30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40</v>
      </c>
      <c r="B180" s="193">
        <f>'Données projet'!D168</f>
        <v>91</v>
      </c>
      <c r="C180" s="206">
        <v>25</v>
      </c>
      <c r="D180" s="191">
        <f t="shared" si="11"/>
        <v>2275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50</v>
      </c>
      <c r="B181" s="193">
        <f>'Données projet'!D169</f>
        <v>91</v>
      </c>
      <c r="C181" s="206">
        <v>25</v>
      </c>
      <c r="D181" s="191">
        <f t="shared" si="11"/>
        <v>2275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60</v>
      </c>
      <c r="B182" s="193">
        <f>'Données projet'!D170</f>
        <v>112</v>
      </c>
      <c r="C182" s="206">
        <v>40</v>
      </c>
      <c r="D182" s="191">
        <f t="shared" si="11"/>
        <v>4480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70</v>
      </c>
      <c r="B183" s="193">
        <f>'Données projet'!D171</f>
        <v>109</v>
      </c>
      <c r="C183" s="206">
        <v>50</v>
      </c>
      <c r="D183" s="191">
        <f t="shared" si="11"/>
        <v>5450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80</v>
      </c>
      <c r="B184" s="193">
        <f>'Données projet'!D172</f>
        <v>110</v>
      </c>
      <c r="C184" s="206">
        <v>60</v>
      </c>
      <c r="D184" s="191">
        <f t="shared" si="11"/>
        <v>6600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90</v>
      </c>
      <c r="B185" s="193">
        <f>'Données projet'!D173</f>
        <v>97</v>
      </c>
      <c r="C185" s="206">
        <v>60</v>
      </c>
      <c r="D185" s="191">
        <f t="shared" si="11"/>
        <v>5820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100</v>
      </c>
      <c r="B186" s="193">
        <f>'Données projet'!D174</f>
        <v>855</v>
      </c>
      <c r="C186" s="206">
        <v>100</v>
      </c>
      <c r="D186" s="191">
        <f t="shared" si="11"/>
        <v>85500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>Tilleul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15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20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25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30</v>
      </c>
      <c r="B212" s="193">
        <f>'Données projet'!D195</f>
        <v>43.589743589743591</v>
      </c>
      <c r="C212" s="206">
        <v>10</v>
      </c>
      <c r="D212" s="191">
        <f t="shared" si="12"/>
        <v>435.89743589743591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35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40</v>
      </c>
      <c r="B214" s="193">
        <f>'Données projet'!D197</f>
        <v>28.205128205128204</v>
      </c>
      <c r="C214" s="206">
        <v>10</v>
      </c>
      <c r="D214" s="191">
        <f t="shared" si="12"/>
        <v>282.05128205128204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45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50</v>
      </c>
      <c r="B216" s="193">
        <f>'Données projet'!D199</f>
        <v>28.205128205128204</v>
      </c>
      <c r="C216" s="206">
        <v>15</v>
      </c>
      <c r="D216" s="191">
        <f t="shared" si="12"/>
        <v>423.07692307692309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55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60</v>
      </c>
      <c r="B218" s="193">
        <f>'Données projet'!D201</f>
        <v>26.282051282051281</v>
      </c>
      <c r="C218" s="206">
        <v>20</v>
      </c>
      <c r="D218" s="191">
        <f t="shared" si="12"/>
        <v>525.64102564102564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65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70</v>
      </c>
      <c r="B220" s="193">
        <f>'Données projet'!D203</f>
        <v>25</v>
      </c>
      <c r="C220" s="206">
        <v>30</v>
      </c>
      <c r="D220" s="191">
        <f t="shared" si="12"/>
        <v>750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75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80</v>
      </c>
      <c r="B222" s="193">
        <f>'Données projet'!D205</f>
        <v>22.435897435897434</v>
      </c>
      <c r="C222" s="206">
        <v>40</v>
      </c>
      <c r="D222" s="191">
        <f t="shared" si="12"/>
        <v>897.43589743589735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85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90</v>
      </c>
      <c r="B224" s="193">
        <f>'Données projet'!D207</f>
        <v>21.153846153846153</v>
      </c>
      <c r="C224" s="206">
        <v>50</v>
      </c>
      <c r="D224" s="191">
        <f t="shared" si="12"/>
        <v>1057.6923076923076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95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100</v>
      </c>
      <c r="B226" s="193">
        <f>'Données projet'!D209</f>
        <v>17.948717948717949</v>
      </c>
      <c r="C226" s="206">
        <v>60</v>
      </c>
      <c r="D226" s="191">
        <f t="shared" si="12"/>
        <v>1076.9230769230769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105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110</v>
      </c>
      <c r="B228" s="193">
        <f>'Données projet'!D211</f>
        <v>267.30769230769232</v>
      </c>
      <c r="C228" s="206">
        <v>80</v>
      </c>
      <c r="D228" s="191">
        <f t="shared" si="12"/>
        <v>21384.615384615387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>Micocoulier de Provence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15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20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25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30</v>
      </c>
      <c r="B243" s="193">
        <f>'Données projet'!D221</f>
        <v>43.589743589743591</v>
      </c>
      <c r="C243" s="206">
        <v>10</v>
      </c>
      <c r="D243" s="191">
        <f t="shared" si="13"/>
        <v>435.89743589743591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35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40</v>
      </c>
      <c r="B245" s="193">
        <f>'Données projet'!D223</f>
        <v>28.205128205128204</v>
      </c>
      <c r="C245" s="206">
        <v>10</v>
      </c>
      <c r="D245" s="191">
        <f t="shared" si="13"/>
        <v>282.05128205128204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45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50</v>
      </c>
      <c r="B247" s="193">
        <f>'Données projet'!D225</f>
        <v>28.205128205128204</v>
      </c>
      <c r="C247" s="206">
        <v>15</v>
      </c>
      <c r="D247" s="191">
        <f t="shared" si="13"/>
        <v>423.07692307692309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55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60</v>
      </c>
      <c r="B249" s="193">
        <f>'Données projet'!D227</f>
        <v>26.282051282051281</v>
      </c>
      <c r="C249" s="206">
        <v>20</v>
      </c>
      <c r="D249" s="191">
        <f t="shared" si="13"/>
        <v>525.64102564102564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65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70</v>
      </c>
      <c r="B251" s="193">
        <f>'Données projet'!D229</f>
        <v>25</v>
      </c>
      <c r="C251" s="206">
        <v>30</v>
      </c>
      <c r="D251" s="191">
        <f t="shared" si="13"/>
        <v>750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75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80</v>
      </c>
      <c r="B253" s="193">
        <f>'Données projet'!D231</f>
        <v>22.435897435897434</v>
      </c>
      <c r="C253" s="206">
        <v>40</v>
      </c>
      <c r="D253" s="191">
        <f t="shared" si="13"/>
        <v>897.43589743589735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85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90</v>
      </c>
      <c r="B255" s="193">
        <f>'Données projet'!D233</f>
        <v>21.153846153846153</v>
      </c>
      <c r="C255" s="206">
        <v>50</v>
      </c>
      <c r="D255" s="191">
        <f t="shared" si="13"/>
        <v>1057.6923076923076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95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100</v>
      </c>
      <c r="B257" s="193">
        <f>'Données projet'!D235</f>
        <v>17.948717948717949</v>
      </c>
      <c r="C257" s="206">
        <v>60</v>
      </c>
      <c r="D257" s="191">
        <f t="shared" si="13"/>
        <v>1076.9230769230769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105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110</v>
      </c>
      <c r="B259" s="193">
        <f>'Données projet'!D237</f>
        <v>267.30769230769232</v>
      </c>
      <c r="C259" s="206">
        <v>80</v>
      </c>
      <c r="D259" s="191">
        <f t="shared" si="13"/>
        <v>21384.615384615387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OCCI_OG</cp:lastModifiedBy>
  <dcterms:created xsi:type="dcterms:W3CDTF">2021-02-01T08:22:39Z</dcterms:created>
  <dcterms:modified xsi:type="dcterms:W3CDTF">2022-05-19T21:12:39Z</dcterms:modified>
</cp:coreProperties>
</file>