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PE Lelièvre\Nouveaux projets\Presly\Préparation dossier\Questions\Documents Presly questions\Questions du 10.08\Documents à envoyer\"/>
    </mc:Choice>
  </mc:AlternateContent>
  <xr:revisionPtr revIDLastSave="0" documentId="13_ncr:1_{FA40AF13-6FF2-4319-98B1-E8F04588D0EB}" xr6:coauthVersionLast="47" xr6:coauthVersionMax="47" xr10:uidLastSave="{00000000-0000-0000-0000-000000000000}"/>
  <bookViews>
    <workbookView xWindow="408" yWindow="300" windowWidth="15936" windowHeight="11736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B37" i="1"/>
  <c r="B38" i="1" l="1"/>
  <c r="D38" i="1" s="1"/>
  <c r="B39" i="1" s="1"/>
  <c r="D39" i="1" s="1"/>
  <c r="B40" i="1" s="1"/>
  <c r="D40" i="1" l="1"/>
  <c r="I22" i="6" l="1"/>
  <c r="I23" i="6"/>
  <c r="I21" i="6"/>
  <c r="I20" i="6"/>
  <c r="C123" i="6" l="1"/>
  <c r="C122" i="6"/>
  <c r="C121" i="6"/>
  <c r="C120" i="6"/>
  <c r="C119" i="6"/>
  <c r="C118" i="6"/>
  <c r="C117" i="6"/>
  <c r="C116" i="6"/>
  <c r="C92" i="6"/>
  <c r="C91" i="6"/>
  <c r="C90" i="6"/>
  <c r="C89" i="6"/>
  <c r="C88" i="6"/>
  <c r="C87" i="6"/>
  <c r="C86" i="6"/>
  <c r="C85" i="6"/>
  <c r="C61" i="6"/>
  <c r="C60" i="6"/>
  <c r="C58" i="6"/>
  <c r="C59" i="6"/>
  <c r="C57" i="6"/>
  <c r="C56" i="6"/>
  <c r="C55" i="6"/>
  <c r="C54" i="6"/>
  <c r="C27" i="6"/>
  <c r="C26" i="6"/>
  <c r="C25" i="6"/>
  <c r="C24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E116" i="6" s="1"/>
  <c r="D86" i="6"/>
  <c r="E86" i="6" s="1"/>
  <c r="D87" i="6"/>
  <c r="E87" i="6" s="1"/>
  <c r="D88" i="6"/>
  <c r="E88" i="6" s="1"/>
  <c r="D89" i="6"/>
  <c r="E89" i="6" s="1"/>
  <c r="D90" i="6"/>
  <c r="E90" i="6" s="1"/>
  <c r="D91" i="6"/>
  <c r="E91" i="6" s="1"/>
  <c r="D92" i="6"/>
  <c r="E92" i="6" s="1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E27" i="6" s="1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Q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X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FS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X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W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W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68" i="2" a="1"/>
  <c r="GT68" i="2" s="1"/>
  <c r="GT133" i="2" a="1"/>
  <c r="GT133" i="2" s="1"/>
  <c r="GT102" i="2" a="1"/>
  <c r="GT10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21" i="2" a="1"/>
  <c r="GT21" i="2" s="1"/>
  <c r="GT74" i="2" a="1"/>
  <c r="GT74" i="2" s="1"/>
  <c r="GT190" i="2" a="1"/>
  <c r="GT190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66" i="2" a="1"/>
  <c r="AH166" i="2" s="1"/>
  <c r="AH163" i="2" a="1"/>
  <c r="AH163" i="2" s="1"/>
  <c r="AH19" i="2" a="1"/>
  <c r="AH19" i="2" s="1"/>
  <c r="AH199" i="2" a="1"/>
  <c r="AH199" i="2" s="1"/>
  <c r="GT138" i="2" a="1"/>
  <c r="GT138" i="2" s="1"/>
  <c r="GT12" i="2" a="1"/>
  <c r="GT12" i="2" s="1"/>
  <c r="GT147" i="2" a="1"/>
  <c r="GT147" i="2" s="1"/>
  <c r="GT121" i="2" a="1"/>
  <c r="GT121" i="2" s="1"/>
  <c r="GT181" i="2" a="1"/>
  <c r="GT181" i="2" s="1"/>
  <c r="GT191" i="2" a="1"/>
  <c r="GT191" i="2" s="1"/>
  <c r="GT107" i="2" a="1"/>
  <c r="GT107" i="2" s="1"/>
  <c r="GT38" i="2" a="1"/>
  <c r="GT38" i="2" s="1"/>
  <c r="GT189" i="2" a="1"/>
  <c r="GT189" i="2" s="1"/>
  <c r="GT152" i="2" a="1"/>
  <c r="GT152" i="2" s="1"/>
  <c r="GT122" i="2" a="1"/>
  <c r="GT122" i="2" s="1"/>
  <c r="GT184" i="2" a="1"/>
  <c r="GT184" i="2" s="1"/>
  <c r="BP203" i="2"/>
  <c r="GT178" i="2" a="1"/>
  <c r="GT178" i="2" s="1"/>
  <c r="GT174" i="2" a="1"/>
  <c r="GT174" i="2" s="1"/>
  <c r="GT126" i="2" a="1"/>
  <c r="GT126" i="2" s="1"/>
  <c r="GT198" i="2" a="1"/>
  <c r="GT198" i="2" s="1"/>
  <c r="GT11" i="2" a="1"/>
  <c r="GT11" i="2" s="1"/>
  <c r="GT33" i="2" a="1"/>
  <c r="GT33" i="2" s="1"/>
  <c r="GT51" i="2" a="1"/>
  <c r="GT51" i="2" s="1"/>
  <c r="GT115" i="2" a="1"/>
  <c r="GT115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<sst xmlns="http://schemas.openxmlformats.org/spreadsheetml/2006/main" count="1173" uniqueCount="324">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</sst>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109.88099892263575</c:v>
                </c:pt>
                <c:pt idx="22">
                  <c:v>116.54646228794691</c:v>
                </c:pt>
                <c:pt idx="23">
                  <c:v>123.20261090159106</c:v>
                </c:pt>
                <c:pt idx="24">
                  <c:v>129.85002000252641</c:v>
                </c:pt>
                <c:pt idx="25">
                  <c:v>136.48920098753212</c:v>
                </c:pt>
                <c:pt idx="26">
                  <c:v>143.12061132853015</c:v>
                </c:pt>
                <c:pt idx="27">
                  <c:v>149.7446625509277</c:v>
                </c:pt>
                <c:pt idx="28">
                  <c:v>156.36172672295308</c:v>
                </c:pt>
                <c:pt idx="29">
                  <c:v>162.97214178650543</c:v>
                </c:pt>
                <c:pt idx="30">
                  <c:v>169.57621597595673</c:v>
                </c:pt>
                <c:pt idx="31">
                  <c:v>151.87050293183788</c:v>
                </c:pt>
                <c:pt idx="32">
                  <c:v>158.99395918259904</c:v>
                </c:pt>
                <c:pt idx="33">
                  <c:v>166.10984978333377</c:v>
                </c:pt>
                <c:pt idx="34">
                  <c:v>173.21854509185502</c:v>
                </c:pt>
                <c:pt idx="35">
                  <c:v>180.32038253098821</c:v>
                </c:pt>
                <c:pt idx="36">
                  <c:v>187.4156707284194</c:v>
                </c:pt>
                <c:pt idx="37">
                  <c:v>194.50469299568991</c:v>
                </c:pt>
                <c:pt idx="38">
                  <c:v>201.58771027259129</c:v>
                </c:pt>
                <c:pt idx="39">
                  <c:v>208.66496363541185</c:v>
                </c:pt>
                <c:pt idx="40">
                  <c:v>215.73667644656112</c:v>
                </c:pt>
                <c:pt idx="41">
                  <c:v>180.65755454608862</c:v>
                </c:pt>
                <c:pt idx="42">
                  <c:v>187.75253889010435</c:v>
                </c:pt>
                <c:pt idx="43">
                  <c:v>194.84127018333334</c:v>
                </c:pt>
                <c:pt idx="44">
                  <c:v>201.92400836841264</c:v>
                </c:pt>
                <c:pt idx="45">
                  <c:v>209.00099363415461</c:v>
                </c:pt>
                <c:pt idx="46">
                  <c:v>216.07244854977839</c:v>
                </c:pt>
                <c:pt idx="47">
                  <c:v>223.13857990471908</c:v>
                </c:pt>
                <c:pt idx="48">
                  <c:v>230.19958030286753</c:v>
                </c:pt>
                <c:pt idx="49">
                  <c:v>237.25562955070939</c:v>
                </c:pt>
                <c:pt idx="50">
                  <c:v>244.30689587147472</c:v>
                </c:pt>
                <c:pt idx="51">
                  <c:v>204.61999459512398</c:v>
                </c:pt>
                <c:pt idx="52">
                  <c:v>212.70509188482558</c:v>
                </c:pt>
                <c:pt idx="53">
                  <c:v>220.78310924669401</c:v>
                </c:pt>
                <c:pt idx="54">
                  <c:v>228.85434257340953</c:v>
                </c:pt>
                <c:pt idx="55">
                  <c:v>236.9190651557426</c:v>
                </c:pt>
                <c:pt idx="56">
                  <c:v>244.97753013667406</c:v>
                </c:pt>
                <c:pt idx="57">
                  <c:v>253.02997262533052</c:v>
                </c:pt>
                <c:pt idx="58">
                  <c:v>261.07661152744765</c:v>
                </c:pt>
                <c:pt idx="59">
                  <c:v>269.11765113812294</c:v>
                </c:pt>
                <c:pt idx="60">
                  <c:v>277.15328253406153</c:v>
                </c:pt>
                <c:pt idx="61">
                  <c:v>222.93555161081022</c:v>
                </c:pt>
                <c:pt idx="62">
                  <c:v>222.93555161081022</c:v>
                </c:pt>
                <c:pt idx="63">
                  <c:v>222.93555161081022</c:v>
                </c:pt>
                <c:pt idx="64">
                  <c:v>222.93555161081022</c:v>
                </c:pt>
                <c:pt idx="65">
                  <c:v>222.93555161081022</c:v>
                </c:pt>
                <c:pt idx="66">
                  <c:v>222.93555161081022</c:v>
                </c:pt>
                <c:pt idx="67">
                  <c:v>222.93555161081022</c:v>
                </c:pt>
                <c:pt idx="68">
                  <c:v>222.93555161081022</c:v>
                </c:pt>
                <c:pt idx="69">
                  <c:v>222.93555161081022</c:v>
                </c:pt>
                <c:pt idx="70">
                  <c:v>222.93555161081022</c:v>
                </c:pt>
                <c:pt idx="71">
                  <c:v>222.93555161081022</c:v>
                </c:pt>
                <c:pt idx="72">
                  <c:v>222.93555161081022</c:v>
                </c:pt>
                <c:pt idx="73">
                  <c:v>222.93555161081022</c:v>
                </c:pt>
                <c:pt idx="74">
                  <c:v>222.93555161081022</c:v>
                </c:pt>
                <c:pt idx="75">
                  <c:v>222.93555161081022</c:v>
                </c:pt>
                <c:pt idx="76">
                  <c:v>222.93555161081022</c:v>
                </c:pt>
                <c:pt idx="77">
                  <c:v>222.93555161081022</c:v>
                </c:pt>
                <c:pt idx="78">
                  <c:v>222.93555161081022</c:v>
                </c:pt>
                <c:pt idx="79">
                  <c:v>222.93555161081022</c:v>
                </c:pt>
                <c:pt idx="80">
                  <c:v>222.93555161081022</c:v>
                </c:pt>
                <c:pt idx="81">
                  <c:v>222.93555161081022</c:v>
                </c:pt>
                <c:pt idx="82">
                  <c:v>222.93555161081022</c:v>
                </c:pt>
                <c:pt idx="83">
                  <c:v>222.93555161081022</c:v>
                </c:pt>
                <c:pt idx="84">
                  <c:v>222.93555161081022</c:v>
                </c:pt>
                <c:pt idx="85">
                  <c:v>222.93555161081022</c:v>
                </c:pt>
                <c:pt idx="86">
                  <c:v>222.93555161081022</c:v>
                </c:pt>
                <c:pt idx="87">
                  <c:v>222.93555161081022</c:v>
                </c:pt>
                <c:pt idx="88">
                  <c:v>222.93555161081022</c:v>
                </c:pt>
                <c:pt idx="89">
                  <c:v>222.93555161081022</c:v>
                </c:pt>
                <c:pt idx="90">
                  <c:v>222.93555161081022</c:v>
                </c:pt>
                <c:pt idx="91">
                  <c:v>222.93555161081022</c:v>
                </c:pt>
                <c:pt idx="92">
                  <c:v>222.93555161081022</c:v>
                </c:pt>
                <c:pt idx="93">
                  <c:v>222.93555161081022</c:v>
                </c:pt>
                <c:pt idx="94">
                  <c:v>222.93555161081022</c:v>
                </c:pt>
                <c:pt idx="95">
                  <c:v>222.93555161081022</c:v>
                </c:pt>
                <c:pt idx="96">
                  <c:v>222.93555161081022</c:v>
                </c:pt>
                <c:pt idx="97">
                  <c:v>222.93555161081022</c:v>
                </c:pt>
                <c:pt idx="98">
                  <c:v>222.93555161081022</c:v>
                </c:pt>
                <c:pt idx="99">
                  <c:v>222.93555161081022</c:v>
                </c:pt>
                <c:pt idx="100">
                  <c:v>222.93555161081022</c:v>
                </c:pt>
                <c:pt idx="101">
                  <c:v>222.93555161081022</c:v>
                </c:pt>
                <c:pt idx="102">
                  <c:v>222.93555161081022</c:v>
                </c:pt>
                <c:pt idx="103">
                  <c:v>222.93555161081022</c:v>
                </c:pt>
                <c:pt idx="104">
                  <c:v>222.93555161081022</c:v>
                </c:pt>
                <c:pt idx="105">
                  <c:v>222.93555161081022</c:v>
                </c:pt>
                <c:pt idx="106">
                  <c:v>222.93555161081022</c:v>
                </c:pt>
                <c:pt idx="107">
                  <c:v>222.93555161081022</c:v>
                </c:pt>
                <c:pt idx="108">
                  <c:v>222.93555161081022</c:v>
                </c:pt>
                <c:pt idx="109">
                  <c:v>222.93555161081022</c:v>
                </c:pt>
                <c:pt idx="110">
                  <c:v>222.93555161081022</c:v>
                </c:pt>
                <c:pt idx="111">
                  <c:v>222.93555161081022</c:v>
                </c:pt>
                <c:pt idx="112">
                  <c:v>222.93555161081022</c:v>
                </c:pt>
                <c:pt idx="113">
                  <c:v>222.93555161081022</c:v>
                </c:pt>
                <c:pt idx="114">
                  <c:v>222.93555161081022</c:v>
                </c:pt>
                <c:pt idx="115">
                  <c:v>222.93555161081022</c:v>
                </c:pt>
                <c:pt idx="116">
                  <c:v>222.93555161081022</c:v>
                </c:pt>
                <c:pt idx="117">
                  <c:v>222.93555161081022</c:v>
                </c:pt>
                <c:pt idx="118">
                  <c:v>222.93555161081022</c:v>
                </c:pt>
                <c:pt idx="119">
                  <c:v>222.93555161081022</c:v>
                </c:pt>
                <c:pt idx="120">
                  <c:v>222.93555161081022</c:v>
                </c:pt>
                <c:pt idx="121">
                  <c:v>222.93555161081022</c:v>
                </c:pt>
                <c:pt idx="122">
                  <c:v>222.93555161081022</c:v>
                </c:pt>
                <c:pt idx="123">
                  <c:v>222.93555161081022</c:v>
                </c:pt>
                <c:pt idx="124">
                  <c:v>222.93555161081022</c:v>
                </c:pt>
                <c:pt idx="125">
                  <c:v>222.93555161081022</c:v>
                </c:pt>
                <c:pt idx="126">
                  <c:v>222.93555161081022</c:v>
                </c:pt>
                <c:pt idx="127">
                  <c:v>222.93555161081022</c:v>
                </c:pt>
                <c:pt idx="128">
                  <c:v>222.93555161081022</c:v>
                </c:pt>
                <c:pt idx="129">
                  <c:v>222.93555161081022</c:v>
                </c:pt>
                <c:pt idx="130">
                  <c:v>222.93555161081022</c:v>
                </c:pt>
                <c:pt idx="131">
                  <c:v>222.93555161081022</c:v>
                </c:pt>
                <c:pt idx="132">
                  <c:v>222.93555161081022</c:v>
                </c:pt>
                <c:pt idx="133">
                  <c:v>222.93555161081022</c:v>
                </c:pt>
                <c:pt idx="134">
                  <c:v>222.93555161081022</c:v>
                </c:pt>
                <c:pt idx="135">
                  <c:v>222.93555161081022</c:v>
                </c:pt>
                <c:pt idx="136">
                  <c:v>222.93555161081022</c:v>
                </c:pt>
                <c:pt idx="137">
                  <c:v>222.93555161081022</c:v>
                </c:pt>
                <c:pt idx="138">
                  <c:v>222.93555161081022</c:v>
                </c:pt>
                <c:pt idx="139">
                  <c:v>222.93555161081022</c:v>
                </c:pt>
                <c:pt idx="140">
                  <c:v>222.93555161081022</c:v>
                </c:pt>
                <c:pt idx="141">
                  <c:v>222.93555161081022</c:v>
                </c:pt>
                <c:pt idx="142">
                  <c:v>222.93555161081022</c:v>
                </c:pt>
                <c:pt idx="143">
                  <c:v>222.93555161081022</c:v>
                </c:pt>
                <c:pt idx="144">
                  <c:v>222.93555161081022</c:v>
                </c:pt>
                <c:pt idx="145">
                  <c:v>222.93555161081022</c:v>
                </c:pt>
                <c:pt idx="146">
                  <c:v>222.93555161081022</c:v>
                </c:pt>
                <c:pt idx="147">
                  <c:v>222.93555161081022</c:v>
                </c:pt>
                <c:pt idx="148">
                  <c:v>222.93555161081022</c:v>
                </c:pt>
                <c:pt idx="149">
                  <c:v>222.93555161081022</c:v>
                </c:pt>
                <c:pt idx="150">
                  <c:v>222.93555161081022</c:v>
                </c:pt>
                <c:pt idx="151">
                  <c:v>222.93555161081022</c:v>
                </c:pt>
                <c:pt idx="152">
                  <c:v>222.93555161081022</c:v>
                </c:pt>
                <c:pt idx="153">
                  <c:v>222.93555161081022</c:v>
                </c:pt>
                <c:pt idx="154">
                  <c:v>222.93555161081022</c:v>
                </c:pt>
                <c:pt idx="155">
                  <c:v>222.93555161081022</c:v>
                </c:pt>
                <c:pt idx="156">
                  <c:v>222.93555161081022</c:v>
                </c:pt>
                <c:pt idx="157">
                  <c:v>222.93555161081022</c:v>
                </c:pt>
                <c:pt idx="158">
                  <c:v>222.93555161081022</c:v>
                </c:pt>
                <c:pt idx="159">
                  <c:v>222.93555161081022</c:v>
                </c:pt>
                <c:pt idx="160">
                  <c:v>222.93555161081022</c:v>
                </c:pt>
                <c:pt idx="161">
                  <c:v>222.93555161081022</c:v>
                </c:pt>
                <c:pt idx="162">
                  <c:v>222.93555161081022</c:v>
                </c:pt>
                <c:pt idx="163">
                  <c:v>222.93555161081022</c:v>
                </c:pt>
                <c:pt idx="164">
                  <c:v>222.93555161081022</c:v>
                </c:pt>
                <c:pt idx="165">
                  <c:v>222.93555161081022</c:v>
                </c:pt>
                <c:pt idx="166">
                  <c:v>222.93555161081022</c:v>
                </c:pt>
                <c:pt idx="167">
                  <c:v>222.93555161081022</c:v>
                </c:pt>
                <c:pt idx="168">
                  <c:v>222.93555161081022</c:v>
                </c:pt>
                <c:pt idx="169">
                  <c:v>222.93555161081022</c:v>
                </c:pt>
                <c:pt idx="170">
                  <c:v>222.93555161081022</c:v>
                </c:pt>
                <c:pt idx="171">
                  <c:v>222.93555161081022</c:v>
                </c:pt>
                <c:pt idx="172">
                  <c:v>222.93555161081022</c:v>
                </c:pt>
                <c:pt idx="173">
                  <c:v>222.93555161081022</c:v>
                </c:pt>
                <c:pt idx="174">
                  <c:v>222.93555161081022</c:v>
                </c:pt>
                <c:pt idx="175">
                  <c:v>222.93555161081022</c:v>
                </c:pt>
                <c:pt idx="176">
                  <c:v>222.93555161081022</c:v>
                </c:pt>
                <c:pt idx="177">
                  <c:v>222.93555161081022</c:v>
                </c:pt>
                <c:pt idx="178">
                  <c:v>222.93555161081022</c:v>
                </c:pt>
                <c:pt idx="179">
                  <c:v>222.93555161081022</c:v>
                </c:pt>
                <c:pt idx="180">
                  <c:v>222.93555161081022</c:v>
                </c:pt>
                <c:pt idx="181">
                  <c:v>222.93555161081022</c:v>
                </c:pt>
                <c:pt idx="182">
                  <c:v>222.93555161081022</c:v>
                </c:pt>
                <c:pt idx="183">
                  <c:v>222.93555161081022</c:v>
                </c:pt>
                <c:pt idx="184">
                  <c:v>222.93555161081022</c:v>
                </c:pt>
                <c:pt idx="185">
                  <c:v>222.93555161081022</c:v>
                </c:pt>
                <c:pt idx="186">
                  <c:v>222.93555161081022</c:v>
                </c:pt>
                <c:pt idx="187">
                  <c:v>222.93555161081022</c:v>
                </c:pt>
                <c:pt idx="188">
                  <c:v>222.93555161081022</c:v>
                </c:pt>
                <c:pt idx="189">
                  <c:v>222.93555161081022</c:v>
                </c:pt>
                <c:pt idx="190">
                  <c:v>222.93555161081022</c:v>
                </c:pt>
                <c:pt idx="191">
                  <c:v>222.93555161081022</c:v>
                </c:pt>
                <c:pt idx="192">
                  <c:v>222.93555161081022</c:v>
                </c:pt>
                <c:pt idx="193">
                  <c:v>222.93555161081022</c:v>
                </c:pt>
                <c:pt idx="194">
                  <c:v>222.93555161081022</c:v>
                </c:pt>
                <c:pt idx="195">
                  <c:v>222.93555161081022</c:v>
                </c:pt>
                <c:pt idx="196">
                  <c:v>222.93555161081022</c:v>
                </c:pt>
                <c:pt idx="197">
                  <c:v>222.93555161081022</c:v>
                </c:pt>
                <c:pt idx="198">
                  <c:v>222.93555161081022</c:v>
                </c:pt>
                <c:pt idx="199">
                  <c:v>222.93555161081022</c:v>
                </c:pt>
                <c:pt idx="200">
                  <c:v>222.93555161081022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414.39595763230813</c:v>
                </c:pt>
                <c:pt idx="62">
                  <c:v>414.39595763230813</c:v>
                </c:pt>
                <c:pt idx="63">
                  <c:v>414.39595763230813</c:v>
                </c:pt>
                <c:pt idx="64">
                  <c:v>414.39595763230813</c:v>
                </c:pt>
                <c:pt idx="65">
                  <c:v>414.39595763230813</c:v>
                </c:pt>
                <c:pt idx="66">
                  <c:v>414.39595763230813</c:v>
                </c:pt>
                <c:pt idx="67">
                  <c:v>414.39595763230813</c:v>
                </c:pt>
                <c:pt idx="68">
                  <c:v>414.39595763230813</c:v>
                </c:pt>
                <c:pt idx="69">
                  <c:v>414.39595763230813</c:v>
                </c:pt>
                <c:pt idx="70">
                  <c:v>414.39595763230813</c:v>
                </c:pt>
                <c:pt idx="71">
                  <c:v>414.39595763230813</c:v>
                </c:pt>
                <c:pt idx="72">
                  <c:v>414.39595763230813</c:v>
                </c:pt>
                <c:pt idx="73">
                  <c:v>414.39595763230813</c:v>
                </c:pt>
                <c:pt idx="74">
                  <c:v>414.39595763230813</c:v>
                </c:pt>
                <c:pt idx="75">
                  <c:v>414.39595763230813</c:v>
                </c:pt>
                <c:pt idx="76">
                  <c:v>414.39595763230813</c:v>
                </c:pt>
                <c:pt idx="77">
                  <c:v>414.39595763230813</c:v>
                </c:pt>
                <c:pt idx="78">
                  <c:v>414.39595763230813</c:v>
                </c:pt>
                <c:pt idx="79">
                  <c:v>414.39595763230813</c:v>
                </c:pt>
                <c:pt idx="80">
                  <c:v>414.39595763230813</c:v>
                </c:pt>
                <c:pt idx="81">
                  <c:v>414.39595763230813</c:v>
                </c:pt>
                <c:pt idx="82">
                  <c:v>414.39595763230813</c:v>
                </c:pt>
                <c:pt idx="83">
                  <c:v>414.39595763230813</c:v>
                </c:pt>
                <c:pt idx="84">
                  <c:v>414.39595763230813</c:v>
                </c:pt>
                <c:pt idx="85">
                  <c:v>414.39595763230813</c:v>
                </c:pt>
                <c:pt idx="86">
                  <c:v>414.39595763230813</c:v>
                </c:pt>
                <c:pt idx="87">
                  <c:v>414.39595763230813</c:v>
                </c:pt>
                <c:pt idx="88">
                  <c:v>414.39595763230813</c:v>
                </c:pt>
                <c:pt idx="89">
                  <c:v>414.39595763230813</c:v>
                </c:pt>
                <c:pt idx="90">
                  <c:v>414.39595763230813</c:v>
                </c:pt>
                <c:pt idx="91">
                  <c:v>414.39595763230813</c:v>
                </c:pt>
                <c:pt idx="92">
                  <c:v>414.39595763230813</c:v>
                </c:pt>
                <c:pt idx="93">
                  <c:v>414.39595763230813</c:v>
                </c:pt>
                <c:pt idx="94">
                  <c:v>414.39595763230813</c:v>
                </c:pt>
                <c:pt idx="95">
                  <c:v>414.39595763230813</c:v>
                </c:pt>
                <c:pt idx="96">
                  <c:v>414.39595763230813</c:v>
                </c:pt>
                <c:pt idx="97">
                  <c:v>414.39595763230813</c:v>
                </c:pt>
                <c:pt idx="98">
                  <c:v>414.39595763230813</c:v>
                </c:pt>
                <c:pt idx="99">
                  <c:v>414.39595763230813</c:v>
                </c:pt>
                <c:pt idx="100">
                  <c:v>414.39595763230813</c:v>
                </c:pt>
                <c:pt idx="101">
                  <c:v>414.39595763230813</c:v>
                </c:pt>
                <c:pt idx="102">
                  <c:v>414.39595763230813</c:v>
                </c:pt>
                <c:pt idx="103">
                  <c:v>414.39595763230813</c:v>
                </c:pt>
                <c:pt idx="104">
                  <c:v>414.39595763230813</c:v>
                </c:pt>
                <c:pt idx="105">
                  <c:v>414.39595763230813</c:v>
                </c:pt>
                <c:pt idx="106">
                  <c:v>414.39595763230813</c:v>
                </c:pt>
                <c:pt idx="107">
                  <c:v>414.39595763230813</c:v>
                </c:pt>
                <c:pt idx="108">
                  <c:v>414.39595763230813</c:v>
                </c:pt>
                <c:pt idx="109">
                  <c:v>414.39595763230813</c:v>
                </c:pt>
                <c:pt idx="110">
                  <c:v>414.39595763230813</c:v>
                </c:pt>
                <c:pt idx="111">
                  <c:v>414.39595763230813</c:v>
                </c:pt>
                <c:pt idx="112">
                  <c:v>414.39595763230813</c:v>
                </c:pt>
                <c:pt idx="113">
                  <c:v>414.39595763230813</c:v>
                </c:pt>
                <c:pt idx="114">
                  <c:v>414.39595763230813</c:v>
                </c:pt>
                <c:pt idx="115">
                  <c:v>414.39595763230813</c:v>
                </c:pt>
                <c:pt idx="116">
                  <c:v>414.39595763230813</c:v>
                </c:pt>
                <c:pt idx="117">
                  <c:v>414.39595763230813</c:v>
                </c:pt>
                <c:pt idx="118">
                  <c:v>414.39595763230813</c:v>
                </c:pt>
                <c:pt idx="119">
                  <c:v>414.39595763230813</c:v>
                </c:pt>
                <c:pt idx="120">
                  <c:v>414.39595763230813</c:v>
                </c:pt>
                <c:pt idx="121">
                  <c:v>414.39595763230813</c:v>
                </c:pt>
                <c:pt idx="122">
                  <c:v>414.39595763230813</c:v>
                </c:pt>
                <c:pt idx="123">
                  <c:v>414.39595763230813</c:v>
                </c:pt>
                <c:pt idx="124">
                  <c:v>414.39595763230813</c:v>
                </c:pt>
                <c:pt idx="125">
                  <c:v>414.39595763230813</c:v>
                </c:pt>
                <c:pt idx="126">
                  <c:v>414.39595763230813</c:v>
                </c:pt>
                <c:pt idx="127">
                  <c:v>414.39595763230813</c:v>
                </c:pt>
                <c:pt idx="128">
                  <c:v>414.39595763230813</c:v>
                </c:pt>
                <c:pt idx="129">
                  <c:v>414.39595763230813</c:v>
                </c:pt>
                <c:pt idx="130">
                  <c:v>414.39595763230813</c:v>
                </c:pt>
                <c:pt idx="131">
                  <c:v>414.39595763230813</c:v>
                </c:pt>
                <c:pt idx="132">
                  <c:v>414.39595763230813</c:v>
                </c:pt>
                <c:pt idx="133">
                  <c:v>414.39595763230813</c:v>
                </c:pt>
                <c:pt idx="134">
                  <c:v>414.39595763230813</c:v>
                </c:pt>
                <c:pt idx="135">
                  <c:v>414.39595763230813</c:v>
                </c:pt>
                <c:pt idx="136">
                  <c:v>414.39595763230813</c:v>
                </c:pt>
                <c:pt idx="137">
                  <c:v>414.39595763230813</c:v>
                </c:pt>
                <c:pt idx="138">
                  <c:v>414.39595763230813</c:v>
                </c:pt>
                <c:pt idx="139">
                  <c:v>414.39595763230813</c:v>
                </c:pt>
                <c:pt idx="140">
                  <c:v>414.39595763230813</c:v>
                </c:pt>
                <c:pt idx="141">
                  <c:v>414.39595763230813</c:v>
                </c:pt>
                <c:pt idx="142">
                  <c:v>414.39595763230813</c:v>
                </c:pt>
                <c:pt idx="143">
                  <c:v>414.39595763230813</c:v>
                </c:pt>
                <c:pt idx="144">
                  <c:v>414.39595763230813</c:v>
                </c:pt>
                <c:pt idx="145">
                  <c:v>414.39595763230813</c:v>
                </c:pt>
                <c:pt idx="146">
                  <c:v>414.39595763230813</c:v>
                </c:pt>
                <c:pt idx="147">
                  <c:v>414.39595763230813</c:v>
                </c:pt>
                <c:pt idx="148">
                  <c:v>414.39595763230813</c:v>
                </c:pt>
                <c:pt idx="149">
                  <c:v>414.39595763230813</c:v>
                </c:pt>
                <c:pt idx="150">
                  <c:v>414.39595763230813</c:v>
                </c:pt>
                <c:pt idx="151">
                  <c:v>414.39595763230813</c:v>
                </c:pt>
                <c:pt idx="152">
                  <c:v>414.39595763230813</c:v>
                </c:pt>
                <c:pt idx="153">
                  <c:v>414.39595763230813</c:v>
                </c:pt>
                <c:pt idx="154">
                  <c:v>414.39595763230813</c:v>
                </c:pt>
                <c:pt idx="155">
                  <c:v>414.39595763230813</c:v>
                </c:pt>
                <c:pt idx="156">
                  <c:v>414.39595763230813</c:v>
                </c:pt>
                <c:pt idx="157">
                  <c:v>414.39595763230813</c:v>
                </c:pt>
                <c:pt idx="158">
                  <c:v>414.39595763230813</c:v>
                </c:pt>
                <c:pt idx="159">
                  <c:v>414.39595763230813</c:v>
                </c:pt>
                <c:pt idx="160">
                  <c:v>414.39595763230813</c:v>
                </c:pt>
                <c:pt idx="161">
                  <c:v>414.39595763230813</c:v>
                </c:pt>
                <c:pt idx="162">
                  <c:v>414.39595763230813</c:v>
                </c:pt>
                <c:pt idx="163">
                  <c:v>414.39595763230813</c:v>
                </c:pt>
                <c:pt idx="164">
                  <c:v>414.39595763230813</c:v>
                </c:pt>
                <c:pt idx="165">
                  <c:v>414.39595763230813</c:v>
                </c:pt>
                <c:pt idx="166">
                  <c:v>414.39595763230813</c:v>
                </c:pt>
                <c:pt idx="167">
                  <c:v>414.39595763230813</c:v>
                </c:pt>
                <c:pt idx="168">
                  <c:v>414.39595763230813</c:v>
                </c:pt>
                <c:pt idx="169">
                  <c:v>414.39595763230813</c:v>
                </c:pt>
                <c:pt idx="170">
                  <c:v>414.39595763230813</c:v>
                </c:pt>
                <c:pt idx="171">
                  <c:v>414.39595763230813</c:v>
                </c:pt>
                <c:pt idx="172">
                  <c:v>414.39595763230813</c:v>
                </c:pt>
                <c:pt idx="173">
                  <c:v>414.39595763230813</c:v>
                </c:pt>
                <c:pt idx="174">
                  <c:v>414.39595763230813</c:v>
                </c:pt>
                <c:pt idx="175">
                  <c:v>414.39595763230813</c:v>
                </c:pt>
                <c:pt idx="176">
                  <c:v>414.39595763230813</c:v>
                </c:pt>
                <c:pt idx="177">
                  <c:v>414.39595763230813</c:v>
                </c:pt>
                <c:pt idx="178">
                  <c:v>414.39595763230813</c:v>
                </c:pt>
                <c:pt idx="179">
                  <c:v>414.39595763230813</c:v>
                </c:pt>
                <c:pt idx="180">
                  <c:v>414.39595763230813</c:v>
                </c:pt>
                <c:pt idx="181">
                  <c:v>414.39595763230813</c:v>
                </c:pt>
                <c:pt idx="182">
                  <c:v>414.39595763230813</c:v>
                </c:pt>
                <c:pt idx="183">
                  <c:v>414.39595763230813</c:v>
                </c:pt>
                <c:pt idx="184">
                  <c:v>414.39595763230813</c:v>
                </c:pt>
                <c:pt idx="185">
                  <c:v>414.39595763230813</c:v>
                </c:pt>
                <c:pt idx="186">
                  <c:v>414.39595763230813</c:v>
                </c:pt>
                <c:pt idx="187">
                  <c:v>414.39595763230813</c:v>
                </c:pt>
                <c:pt idx="188">
                  <c:v>414.39595763230813</c:v>
                </c:pt>
                <c:pt idx="189">
                  <c:v>414.39595763230813</c:v>
                </c:pt>
                <c:pt idx="190">
                  <c:v>414.39595763230813</c:v>
                </c:pt>
                <c:pt idx="191">
                  <c:v>414.39595763230813</c:v>
                </c:pt>
                <c:pt idx="192">
                  <c:v>414.39595763230813</c:v>
                </c:pt>
                <c:pt idx="193">
                  <c:v>414.39595763230813</c:v>
                </c:pt>
                <c:pt idx="194">
                  <c:v>414.39595763230813</c:v>
                </c:pt>
                <c:pt idx="195">
                  <c:v>414.39595763230813</c:v>
                </c:pt>
                <c:pt idx="196">
                  <c:v>414.39595763230813</c:v>
                </c:pt>
                <c:pt idx="197">
                  <c:v>414.39595763230813</c:v>
                </c:pt>
                <c:pt idx="198">
                  <c:v>414.39595763230813</c:v>
                </c:pt>
                <c:pt idx="199">
                  <c:v>414.39595763230813</c:v>
                </c:pt>
                <c:pt idx="200">
                  <c:v>414.39595763230813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414.39595763230813</c:v>
                </c:pt>
                <c:pt idx="62">
                  <c:v>414.39595763230813</c:v>
                </c:pt>
                <c:pt idx="63">
                  <c:v>414.39595763230813</c:v>
                </c:pt>
                <c:pt idx="64">
                  <c:v>414.39595763230813</c:v>
                </c:pt>
                <c:pt idx="65">
                  <c:v>414.39595763230813</c:v>
                </c:pt>
                <c:pt idx="66">
                  <c:v>414.39595763230813</c:v>
                </c:pt>
                <c:pt idx="67">
                  <c:v>414.39595763230813</c:v>
                </c:pt>
                <c:pt idx="68">
                  <c:v>414.39595763230813</c:v>
                </c:pt>
                <c:pt idx="69">
                  <c:v>414.39595763230813</c:v>
                </c:pt>
                <c:pt idx="70">
                  <c:v>414.39595763230813</c:v>
                </c:pt>
                <c:pt idx="71">
                  <c:v>414.39595763230813</c:v>
                </c:pt>
                <c:pt idx="72">
                  <c:v>414.39595763230813</c:v>
                </c:pt>
                <c:pt idx="73">
                  <c:v>414.39595763230813</c:v>
                </c:pt>
                <c:pt idx="74">
                  <c:v>414.39595763230813</c:v>
                </c:pt>
                <c:pt idx="75">
                  <c:v>414.39595763230813</c:v>
                </c:pt>
                <c:pt idx="76">
                  <c:v>414.39595763230813</c:v>
                </c:pt>
                <c:pt idx="77">
                  <c:v>414.39595763230813</c:v>
                </c:pt>
                <c:pt idx="78">
                  <c:v>414.39595763230813</c:v>
                </c:pt>
                <c:pt idx="79">
                  <c:v>414.39595763230813</c:v>
                </c:pt>
                <c:pt idx="80">
                  <c:v>414.39595763230813</c:v>
                </c:pt>
                <c:pt idx="81">
                  <c:v>414.39595763230813</c:v>
                </c:pt>
                <c:pt idx="82">
                  <c:v>414.39595763230813</c:v>
                </c:pt>
                <c:pt idx="83">
                  <c:v>414.39595763230813</c:v>
                </c:pt>
                <c:pt idx="84">
                  <c:v>414.39595763230813</c:v>
                </c:pt>
                <c:pt idx="85">
                  <c:v>414.39595763230813</c:v>
                </c:pt>
                <c:pt idx="86">
                  <c:v>414.39595763230813</c:v>
                </c:pt>
                <c:pt idx="87">
                  <c:v>414.39595763230813</c:v>
                </c:pt>
                <c:pt idx="88">
                  <c:v>414.39595763230813</c:v>
                </c:pt>
                <c:pt idx="89">
                  <c:v>414.39595763230813</c:v>
                </c:pt>
                <c:pt idx="90">
                  <c:v>414.39595763230813</c:v>
                </c:pt>
                <c:pt idx="91">
                  <c:v>414.39595763230813</c:v>
                </c:pt>
                <c:pt idx="92">
                  <c:v>414.39595763230813</c:v>
                </c:pt>
                <c:pt idx="93">
                  <c:v>414.39595763230813</c:v>
                </c:pt>
                <c:pt idx="94">
                  <c:v>414.39595763230813</c:v>
                </c:pt>
                <c:pt idx="95">
                  <c:v>414.39595763230813</c:v>
                </c:pt>
                <c:pt idx="96">
                  <c:v>414.39595763230813</c:v>
                </c:pt>
                <c:pt idx="97">
                  <c:v>414.39595763230813</c:v>
                </c:pt>
                <c:pt idx="98">
                  <c:v>414.39595763230813</c:v>
                </c:pt>
                <c:pt idx="99">
                  <c:v>414.39595763230813</c:v>
                </c:pt>
                <c:pt idx="100">
                  <c:v>414.39595763230813</c:v>
                </c:pt>
                <c:pt idx="101">
                  <c:v>414.39595763230813</c:v>
                </c:pt>
                <c:pt idx="102">
                  <c:v>414.39595763230813</c:v>
                </c:pt>
                <c:pt idx="103">
                  <c:v>414.39595763230813</c:v>
                </c:pt>
                <c:pt idx="104">
                  <c:v>414.39595763230813</c:v>
                </c:pt>
                <c:pt idx="105">
                  <c:v>414.39595763230813</c:v>
                </c:pt>
                <c:pt idx="106">
                  <c:v>414.39595763230813</c:v>
                </c:pt>
                <c:pt idx="107">
                  <c:v>414.39595763230813</c:v>
                </c:pt>
                <c:pt idx="108">
                  <c:v>414.39595763230813</c:v>
                </c:pt>
                <c:pt idx="109">
                  <c:v>414.39595763230813</c:v>
                </c:pt>
                <c:pt idx="110">
                  <c:v>414.39595763230813</c:v>
                </c:pt>
                <c:pt idx="111">
                  <c:v>414.39595763230813</c:v>
                </c:pt>
                <c:pt idx="112">
                  <c:v>414.39595763230813</c:v>
                </c:pt>
                <c:pt idx="113">
                  <c:v>414.39595763230813</c:v>
                </c:pt>
                <c:pt idx="114">
                  <c:v>414.39595763230813</c:v>
                </c:pt>
                <c:pt idx="115">
                  <c:v>414.39595763230813</c:v>
                </c:pt>
                <c:pt idx="116">
                  <c:v>414.39595763230813</c:v>
                </c:pt>
                <c:pt idx="117">
                  <c:v>414.39595763230813</c:v>
                </c:pt>
                <c:pt idx="118">
                  <c:v>414.39595763230813</c:v>
                </c:pt>
                <c:pt idx="119">
                  <c:v>414.39595763230813</c:v>
                </c:pt>
                <c:pt idx="120">
                  <c:v>414.39595763230813</c:v>
                </c:pt>
                <c:pt idx="121">
                  <c:v>414.39595763230813</c:v>
                </c:pt>
                <c:pt idx="122">
                  <c:v>414.39595763230813</c:v>
                </c:pt>
                <c:pt idx="123">
                  <c:v>414.39595763230813</c:v>
                </c:pt>
                <c:pt idx="124">
                  <c:v>414.39595763230813</c:v>
                </c:pt>
                <c:pt idx="125">
                  <c:v>414.39595763230813</c:v>
                </c:pt>
                <c:pt idx="126">
                  <c:v>414.39595763230813</c:v>
                </c:pt>
                <c:pt idx="127">
                  <c:v>414.39595763230813</c:v>
                </c:pt>
                <c:pt idx="128">
                  <c:v>414.39595763230813</c:v>
                </c:pt>
                <c:pt idx="129">
                  <c:v>414.39595763230813</c:v>
                </c:pt>
                <c:pt idx="130">
                  <c:v>414.39595763230813</c:v>
                </c:pt>
                <c:pt idx="131">
                  <c:v>414.39595763230813</c:v>
                </c:pt>
                <c:pt idx="132">
                  <c:v>414.39595763230813</c:v>
                </c:pt>
                <c:pt idx="133">
                  <c:v>414.39595763230813</c:v>
                </c:pt>
                <c:pt idx="134">
                  <c:v>414.39595763230813</c:v>
                </c:pt>
                <c:pt idx="135">
                  <c:v>414.39595763230813</c:v>
                </c:pt>
                <c:pt idx="136">
                  <c:v>414.39595763230813</c:v>
                </c:pt>
                <c:pt idx="137">
                  <c:v>414.39595763230813</c:v>
                </c:pt>
                <c:pt idx="138">
                  <c:v>414.39595763230813</c:v>
                </c:pt>
                <c:pt idx="139">
                  <c:v>414.39595763230813</c:v>
                </c:pt>
                <c:pt idx="140">
                  <c:v>414.39595763230813</c:v>
                </c:pt>
                <c:pt idx="141">
                  <c:v>414.39595763230813</c:v>
                </c:pt>
                <c:pt idx="142">
                  <c:v>414.39595763230813</c:v>
                </c:pt>
                <c:pt idx="143">
                  <c:v>414.39595763230813</c:v>
                </c:pt>
                <c:pt idx="144">
                  <c:v>414.39595763230813</c:v>
                </c:pt>
                <c:pt idx="145">
                  <c:v>414.39595763230813</c:v>
                </c:pt>
                <c:pt idx="146">
                  <c:v>414.39595763230813</c:v>
                </c:pt>
                <c:pt idx="147">
                  <c:v>414.39595763230813</c:v>
                </c:pt>
                <c:pt idx="148">
                  <c:v>414.39595763230813</c:v>
                </c:pt>
                <c:pt idx="149">
                  <c:v>414.39595763230813</c:v>
                </c:pt>
                <c:pt idx="150">
                  <c:v>414.39595763230813</c:v>
                </c:pt>
                <c:pt idx="151">
                  <c:v>414.39595763230813</c:v>
                </c:pt>
                <c:pt idx="152">
                  <c:v>414.39595763230813</c:v>
                </c:pt>
                <c:pt idx="153">
                  <c:v>414.39595763230813</c:v>
                </c:pt>
                <c:pt idx="154">
                  <c:v>414.39595763230813</c:v>
                </c:pt>
                <c:pt idx="155">
                  <c:v>414.39595763230813</c:v>
                </c:pt>
                <c:pt idx="156">
                  <c:v>414.39595763230813</c:v>
                </c:pt>
                <c:pt idx="157">
                  <c:v>414.39595763230813</c:v>
                </c:pt>
                <c:pt idx="158">
                  <c:v>414.39595763230813</c:v>
                </c:pt>
                <c:pt idx="159">
                  <c:v>414.39595763230813</c:v>
                </c:pt>
                <c:pt idx="160">
                  <c:v>414.39595763230813</c:v>
                </c:pt>
                <c:pt idx="161">
                  <c:v>414.39595763230813</c:v>
                </c:pt>
                <c:pt idx="162">
                  <c:v>414.39595763230813</c:v>
                </c:pt>
                <c:pt idx="163">
                  <c:v>414.39595763230813</c:v>
                </c:pt>
                <c:pt idx="164">
                  <c:v>414.39595763230813</c:v>
                </c:pt>
                <c:pt idx="165">
                  <c:v>414.39595763230813</c:v>
                </c:pt>
                <c:pt idx="166">
                  <c:v>414.39595763230813</c:v>
                </c:pt>
                <c:pt idx="167">
                  <c:v>414.39595763230813</c:v>
                </c:pt>
                <c:pt idx="168">
                  <c:v>414.39595763230813</c:v>
                </c:pt>
                <c:pt idx="169">
                  <c:v>414.39595763230813</c:v>
                </c:pt>
                <c:pt idx="170">
                  <c:v>414.39595763230813</c:v>
                </c:pt>
                <c:pt idx="171">
                  <c:v>414.39595763230813</c:v>
                </c:pt>
                <c:pt idx="172">
                  <c:v>414.39595763230813</c:v>
                </c:pt>
                <c:pt idx="173">
                  <c:v>414.39595763230813</c:v>
                </c:pt>
                <c:pt idx="174">
                  <c:v>414.39595763230813</c:v>
                </c:pt>
                <c:pt idx="175">
                  <c:v>414.39595763230813</c:v>
                </c:pt>
                <c:pt idx="176">
                  <c:v>414.39595763230813</c:v>
                </c:pt>
                <c:pt idx="177">
                  <c:v>414.39595763230813</c:v>
                </c:pt>
                <c:pt idx="178">
                  <c:v>414.39595763230813</c:v>
                </c:pt>
                <c:pt idx="179">
                  <c:v>414.39595763230813</c:v>
                </c:pt>
                <c:pt idx="180">
                  <c:v>414.39595763230813</c:v>
                </c:pt>
                <c:pt idx="181">
                  <c:v>414.39595763230813</c:v>
                </c:pt>
                <c:pt idx="182">
                  <c:v>414.39595763230813</c:v>
                </c:pt>
                <c:pt idx="183">
                  <c:v>414.39595763230813</c:v>
                </c:pt>
                <c:pt idx="184">
                  <c:v>414.39595763230813</c:v>
                </c:pt>
                <c:pt idx="185">
                  <c:v>414.39595763230813</c:v>
                </c:pt>
                <c:pt idx="186">
                  <c:v>414.39595763230813</c:v>
                </c:pt>
                <c:pt idx="187">
                  <c:v>414.39595763230813</c:v>
                </c:pt>
                <c:pt idx="188">
                  <c:v>414.39595763230813</c:v>
                </c:pt>
                <c:pt idx="189">
                  <c:v>414.39595763230813</c:v>
                </c:pt>
                <c:pt idx="190">
                  <c:v>414.39595763230813</c:v>
                </c:pt>
                <c:pt idx="191">
                  <c:v>414.39595763230813</c:v>
                </c:pt>
                <c:pt idx="192">
                  <c:v>414.39595763230813</c:v>
                </c:pt>
                <c:pt idx="193">
                  <c:v>414.39595763230813</c:v>
                </c:pt>
                <c:pt idx="194">
                  <c:v>414.39595763230813</c:v>
                </c:pt>
                <c:pt idx="195">
                  <c:v>414.39595763230813</c:v>
                </c:pt>
                <c:pt idx="196">
                  <c:v>414.39595763230813</c:v>
                </c:pt>
                <c:pt idx="197">
                  <c:v>414.39595763230813</c:v>
                </c:pt>
                <c:pt idx="198">
                  <c:v>414.39595763230813</c:v>
                </c:pt>
                <c:pt idx="199">
                  <c:v>414.39595763230813</c:v>
                </c:pt>
                <c:pt idx="200">
                  <c:v>414.39595763230813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414.39595763230813</c:v>
                </c:pt>
                <c:pt idx="62">
                  <c:v>414.39595763230813</c:v>
                </c:pt>
                <c:pt idx="63">
                  <c:v>414.39595763230813</c:v>
                </c:pt>
                <c:pt idx="64">
                  <c:v>414.39595763230813</c:v>
                </c:pt>
                <c:pt idx="65">
                  <c:v>414.39595763230813</c:v>
                </c:pt>
                <c:pt idx="66">
                  <c:v>414.39595763230813</c:v>
                </c:pt>
                <c:pt idx="67">
                  <c:v>414.39595763230813</c:v>
                </c:pt>
                <c:pt idx="68">
                  <c:v>414.39595763230813</c:v>
                </c:pt>
                <c:pt idx="69">
                  <c:v>414.39595763230813</c:v>
                </c:pt>
                <c:pt idx="70">
                  <c:v>414.39595763230813</c:v>
                </c:pt>
                <c:pt idx="71">
                  <c:v>414.39595763230813</c:v>
                </c:pt>
                <c:pt idx="72">
                  <c:v>414.39595763230813</c:v>
                </c:pt>
                <c:pt idx="73">
                  <c:v>414.39595763230813</c:v>
                </c:pt>
                <c:pt idx="74">
                  <c:v>414.39595763230813</c:v>
                </c:pt>
                <c:pt idx="75">
                  <c:v>414.39595763230813</c:v>
                </c:pt>
                <c:pt idx="76">
                  <c:v>414.39595763230813</c:v>
                </c:pt>
                <c:pt idx="77">
                  <c:v>414.39595763230813</c:v>
                </c:pt>
                <c:pt idx="78">
                  <c:v>414.39595763230813</c:v>
                </c:pt>
                <c:pt idx="79">
                  <c:v>414.39595763230813</c:v>
                </c:pt>
                <c:pt idx="80">
                  <c:v>414.39595763230813</c:v>
                </c:pt>
                <c:pt idx="81">
                  <c:v>414.39595763230813</c:v>
                </c:pt>
                <c:pt idx="82">
                  <c:v>414.39595763230813</c:v>
                </c:pt>
                <c:pt idx="83">
                  <c:v>414.39595763230813</c:v>
                </c:pt>
                <c:pt idx="84">
                  <c:v>414.39595763230813</c:v>
                </c:pt>
                <c:pt idx="85">
                  <c:v>414.39595763230813</c:v>
                </c:pt>
                <c:pt idx="86">
                  <c:v>414.39595763230813</c:v>
                </c:pt>
                <c:pt idx="87">
                  <c:v>414.39595763230813</c:v>
                </c:pt>
                <c:pt idx="88">
                  <c:v>414.39595763230813</c:v>
                </c:pt>
                <c:pt idx="89">
                  <c:v>414.39595763230813</c:v>
                </c:pt>
                <c:pt idx="90">
                  <c:v>414.39595763230813</c:v>
                </c:pt>
                <c:pt idx="91">
                  <c:v>414.39595763230813</c:v>
                </c:pt>
                <c:pt idx="92">
                  <c:v>414.39595763230813</c:v>
                </c:pt>
                <c:pt idx="93">
                  <c:v>414.39595763230813</c:v>
                </c:pt>
                <c:pt idx="94">
                  <c:v>414.39595763230813</c:v>
                </c:pt>
                <c:pt idx="95">
                  <c:v>414.39595763230813</c:v>
                </c:pt>
                <c:pt idx="96">
                  <c:v>414.39595763230813</c:v>
                </c:pt>
                <c:pt idx="97">
                  <c:v>414.39595763230813</c:v>
                </c:pt>
                <c:pt idx="98">
                  <c:v>414.39595763230813</c:v>
                </c:pt>
                <c:pt idx="99">
                  <c:v>414.39595763230813</c:v>
                </c:pt>
                <c:pt idx="100">
                  <c:v>414.39595763230813</c:v>
                </c:pt>
                <c:pt idx="101">
                  <c:v>414.39595763230813</c:v>
                </c:pt>
                <c:pt idx="102">
                  <c:v>414.39595763230813</c:v>
                </c:pt>
                <c:pt idx="103">
                  <c:v>414.39595763230813</c:v>
                </c:pt>
                <c:pt idx="104">
                  <c:v>414.39595763230813</c:v>
                </c:pt>
                <c:pt idx="105">
                  <c:v>414.39595763230813</c:v>
                </c:pt>
                <c:pt idx="106">
                  <c:v>414.39595763230813</c:v>
                </c:pt>
                <c:pt idx="107">
                  <c:v>414.39595763230813</c:v>
                </c:pt>
                <c:pt idx="108">
                  <c:v>414.39595763230813</c:v>
                </c:pt>
                <c:pt idx="109">
                  <c:v>414.39595763230813</c:v>
                </c:pt>
                <c:pt idx="110">
                  <c:v>414.39595763230813</c:v>
                </c:pt>
                <c:pt idx="111">
                  <c:v>414.39595763230813</c:v>
                </c:pt>
                <c:pt idx="112">
                  <c:v>414.39595763230813</c:v>
                </c:pt>
                <c:pt idx="113">
                  <c:v>414.39595763230813</c:v>
                </c:pt>
                <c:pt idx="114">
                  <c:v>414.39595763230813</c:v>
                </c:pt>
                <c:pt idx="115">
                  <c:v>414.39595763230813</c:v>
                </c:pt>
                <c:pt idx="116">
                  <c:v>414.39595763230813</c:v>
                </c:pt>
                <c:pt idx="117">
                  <c:v>414.39595763230813</c:v>
                </c:pt>
                <c:pt idx="118">
                  <c:v>414.39595763230813</c:v>
                </c:pt>
                <c:pt idx="119">
                  <c:v>414.39595763230813</c:v>
                </c:pt>
                <c:pt idx="120">
                  <c:v>414.39595763230813</c:v>
                </c:pt>
                <c:pt idx="121">
                  <c:v>414.39595763230813</c:v>
                </c:pt>
                <c:pt idx="122">
                  <c:v>414.39595763230813</c:v>
                </c:pt>
                <c:pt idx="123">
                  <c:v>414.39595763230813</c:v>
                </c:pt>
                <c:pt idx="124">
                  <c:v>414.39595763230813</c:v>
                </c:pt>
                <c:pt idx="125">
                  <c:v>414.39595763230813</c:v>
                </c:pt>
                <c:pt idx="126">
                  <c:v>414.39595763230813</c:v>
                </c:pt>
                <c:pt idx="127">
                  <c:v>414.39595763230813</c:v>
                </c:pt>
                <c:pt idx="128">
                  <c:v>414.39595763230813</c:v>
                </c:pt>
                <c:pt idx="129">
                  <c:v>414.39595763230813</c:v>
                </c:pt>
                <c:pt idx="130">
                  <c:v>414.39595763230813</c:v>
                </c:pt>
                <c:pt idx="131">
                  <c:v>414.39595763230813</c:v>
                </c:pt>
                <c:pt idx="132">
                  <c:v>414.39595763230813</c:v>
                </c:pt>
                <c:pt idx="133">
                  <c:v>414.39595763230813</c:v>
                </c:pt>
                <c:pt idx="134">
                  <c:v>414.39595763230813</c:v>
                </c:pt>
                <c:pt idx="135">
                  <c:v>414.39595763230813</c:v>
                </c:pt>
                <c:pt idx="136">
                  <c:v>414.39595763230813</c:v>
                </c:pt>
                <c:pt idx="137">
                  <c:v>414.39595763230813</c:v>
                </c:pt>
                <c:pt idx="138">
                  <c:v>414.39595763230813</c:v>
                </c:pt>
                <c:pt idx="139">
                  <c:v>414.39595763230813</c:v>
                </c:pt>
                <c:pt idx="140">
                  <c:v>414.39595763230813</c:v>
                </c:pt>
                <c:pt idx="141">
                  <c:v>414.39595763230813</c:v>
                </c:pt>
                <c:pt idx="142">
                  <c:v>414.39595763230813</c:v>
                </c:pt>
                <c:pt idx="143">
                  <c:v>414.39595763230813</c:v>
                </c:pt>
                <c:pt idx="144">
                  <c:v>414.39595763230813</c:v>
                </c:pt>
                <c:pt idx="145">
                  <c:v>414.39595763230813</c:v>
                </c:pt>
                <c:pt idx="146">
                  <c:v>414.39595763230813</c:v>
                </c:pt>
                <c:pt idx="147">
                  <c:v>414.39595763230813</c:v>
                </c:pt>
                <c:pt idx="148">
                  <c:v>414.39595763230813</c:v>
                </c:pt>
                <c:pt idx="149">
                  <c:v>414.39595763230813</c:v>
                </c:pt>
                <c:pt idx="150">
                  <c:v>414.39595763230813</c:v>
                </c:pt>
                <c:pt idx="151">
                  <c:v>414.39595763230813</c:v>
                </c:pt>
                <c:pt idx="152">
                  <c:v>414.39595763230813</c:v>
                </c:pt>
                <c:pt idx="153">
                  <c:v>414.39595763230813</c:v>
                </c:pt>
                <c:pt idx="154">
                  <c:v>414.39595763230813</c:v>
                </c:pt>
                <c:pt idx="155">
                  <c:v>414.39595763230813</c:v>
                </c:pt>
                <c:pt idx="156">
                  <c:v>414.39595763230813</c:v>
                </c:pt>
                <c:pt idx="157">
                  <c:v>414.39595763230813</c:v>
                </c:pt>
                <c:pt idx="158">
                  <c:v>414.39595763230813</c:v>
                </c:pt>
                <c:pt idx="159">
                  <c:v>414.39595763230813</c:v>
                </c:pt>
                <c:pt idx="160">
                  <c:v>414.39595763230813</c:v>
                </c:pt>
                <c:pt idx="161">
                  <c:v>414.39595763230813</c:v>
                </c:pt>
                <c:pt idx="162">
                  <c:v>414.39595763230813</c:v>
                </c:pt>
                <c:pt idx="163">
                  <c:v>414.39595763230813</c:v>
                </c:pt>
                <c:pt idx="164">
                  <c:v>414.39595763230813</c:v>
                </c:pt>
                <c:pt idx="165">
                  <c:v>414.39595763230813</c:v>
                </c:pt>
                <c:pt idx="166">
                  <c:v>414.39595763230813</c:v>
                </c:pt>
                <c:pt idx="167">
                  <c:v>414.39595763230813</c:v>
                </c:pt>
                <c:pt idx="168">
                  <c:v>414.39595763230813</c:v>
                </c:pt>
                <c:pt idx="169">
                  <c:v>414.39595763230813</c:v>
                </c:pt>
                <c:pt idx="170">
                  <c:v>414.39595763230813</c:v>
                </c:pt>
                <c:pt idx="171">
                  <c:v>414.39595763230813</c:v>
                </c:pt>
                <c:pt idx="172">
                  <c:v>414.39595763230813</c:v>
                </c:pt>
                <c:pt idx="173">
                  <c:v>414.39595763230813</c:v>
                </c:pt>
                <c:pt idx="174">
                  <c:v>414.39595763230813</c:v>
                </c:pt>
                <c:pt idx="175">
                  <c:v>414.39595763230813</c:v>
                </c:pt>
                <c:pt idx="176">
                  <c:v>414.39595763230813</c:v>
                </c:pt>
                <c:pt idx="177">
                  <c:v>414.39595763230813</c:v>
                </c:pt>
                <c:pt idx="178">
                  <c:v>414.39595763230813</c:v>
                </c:pt>
                <c:pt idx="179">
                  <c:v>414.39595763230813</c:v>
                </c:pt>
                <c:pt idx="180">
                  <c:v>414.39595763230813</c:v>
                </c:pt>
                <c:pt idx="181">
                  <c:v>414.39595763230813</c:v>
                </c:pt>
                <c:pt idx="182">
                  <c:v>414.39595763230813</c:v>
                </c:pt>
                <c:pt idx="183">
                  <c:v>414.39595763230813</c:v>
                </c:pt>
                <c:pt idx="184">
                  <c:v>414.39595763230813</c:v>
                </c:pt>
                <c:pt idx="185">
                  <c:v>414.39595763230813</c:v>
                </c:pt>
                <c:pt idx="186">
                  <c:v>414.39595763230813</c:v>
                </c:pt>
                <c:pt idx="187">
                  <c:v>414.39595763230813</c:v>
                </c:pt>
                <c:pt idx="188">
                  <c:v>414.39595763230813</c:v>
                </c:pt>
                <c:pt idx="189">
                  <c:v>414.39595763230813</c:v>
                </c:pt>
                <c:pt idx="190">
                  <c:v>414.39595763230813</c:v>
                </c:pt>
                <c:pt idx="191">
                  <c:v>414.39595763230813</c:v>
                </c:pt>
                <c:pt idx="192">
                  <c:v>414.39595763230813</c:v>
                </c:pt>
                <c:pt idx="193">
                  <c:v>414.39595763230813</c:v>
                </c:pt>
                <c:pt idx="194">
                  <c:v>414.39595763230813</c:v>
                </c:pt>
                <c:pt idx="195">
                  <c:v>414.39595763230813</c:v>
                </c:pt>
                <c:pt idx="196">
                  <c:v>414.39595763230813</c:v>
                </c:pt>
                <c:pt idx="197">
                  <c:v>414.39595763230813</c:v>
                </c:pt>
                <c:pt idx="198">
                  <c:v>414.39595763230813</c:v>
                </c:pt>
                <c:pt idx="199">
                  <c:v>414.39595763230813</c:v>
                </c:pt>
                <c:pt idx="200">
                  <c:v>414.39595763230813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80" zoomScaleNormal="80" workbookViewId="0">
      <selection activeCell="D44" sqref="D4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0.6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0.69</v>
      </c>
      <c r="D9" s="36">
        <f t="shared" ref="D9:D18" si="0">C9*$C$5</f>
        <v>0.41399999999999998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29</v>
      </c>
      <c r="C10" s="35">
        <v>0.1</v>
      </c>
      <c r="D10" s="36">
        <f t="shared" si="0"/>
        <v>0.06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29</v>
      </c>
      <c r="C11" s="35">
        <v>0.1</v>
      </c>
      <c r="D11" s="36">
        <f t="shared" si="0"/>
        <v>0.06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29</v>
      </c>
      <c r="C12" s="35">
        <v>0.11</v>
      </c>
      <c r="D12" s="36">
        <f t="shared" si="0"/>
        <v>6.6000000000000003E-2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0.60000000000000009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115</v>
      </c>
      <c r="C36" s="63">
        <v>1</v>
      </c>
      <c r="D36" s="63">
        <f>B36*15%</f>
        <v>17.25</v>
      </c>
      <c r="E36" s="54"/>
      <c r="F36" s="54">
        <v>0.4</v>
      </c>
      <c r="G36" s="54">
        <v>0.6</v>
      </c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f>180-D36</f>
        <v>162.75</v>
      </c>
      <c r="C37" s="63">
        <v>2</v>
      </c>
      <c r="D37" s="63">
        <f>B37*15%</f>
        <v>24.412499999999998</v>
      </c>
      <c r="E37" s="54"/>
      <c r="F37" s="54">
        <v>0.4</v>
      </c>
      <c r="G37" s="54">
        <v>0.6</v>
      </c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f>250-(D36+D37)</f>
        <v>208.33750000000001</v>
      </c>
      <c r="C38" s="63">
        <v>3</v>
      </c>
      <c r="D38" s="63">
        <f t="shared" ref="D38:D40" si="2">B38*20%</f>
        <v>41.667500000000004</v>
      </c>
      <c r="E38" s="54">
        <v>0.5</v>
      </c>
      <c r="F38" s="54">
        <v>0.2</v>
      </c>
      <c r="G38" s="54">
        <v>0.3</v>
      </c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f>320-(D36+D37+D38)</f>
        <v>236.67000000000002</v>
      </c>
      <c r="C39" s="63">
        <v>4</v>
      </c>
      <c r="D39" s="63">
        <f t="shared" si="2"/>
        <v>47.334000000000003</v>
      </c>
      <c r="E39" s="54">
        <v>0.5</v>
      </c>
      <c r="F39" s="54">
        <v>0.2</v>
      </c>
      <c r="G39" s="54">
        <v>0.3</v>
      </c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f>400-(D39+D36+D37+D38)</f>
        <v>269.33600000000001</v>
      </c>
      <c r="C40" s="63">
        <v>5</v>
      </c>
      <c r="D40" s="63">
        <f t="shared" si="2"/>
        <v>53.867200000000004</v>
      </c>
      <c r="E40" s="54">
        <v>0.5</v>
      </c>
      <c r="F40" s="54">
        <v>0.2</v>
      </c>
      <c r="G40" s="54">
        <v>0.3</v>
      </c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Merisier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89</v>
      </c>
      <c r="C62" s="63">
        <v>1</v>
      </c>
      <c r="D62" s="63">
        <v>28</v>
      </c>
      <c r="E62" s="54"/>
      <c r="F62" s="54"/>
      <c r="G62" s="54"/>
      <c r="H62" s="54">
        <v>1</v>
      </c>
      <c r="I62" s="56">
        <f>IFERROR(B62/A62,"")</f>
        <v>3.56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132</v>
      </c>
      <c r="C63" s="63">
        <v>2</v>
      </c>
      <c r="D63" s="63">
        <v>24</v>
      </c>
      <c r="E63" s="54">
        <v>0.5</v>
      </c>
      <c r="F63" s="54">
        <v>0.1</v>
      </c>
      <c r="G63" s="54">
        <v>0.15</v>
      </c>
      <c r="H63" s="54">
        <v>0.25</v>
      </c>
      <c r="I63" s="52">
        <f>IF(A63&lt;&gt;0,(B63-(B62-D62))/(A63-A62),"")</f>
        <v>14.2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173</v>
      </c>
      <c r="C64" s="63">
        <v>3</v>
      </c>
      <c r="D64" s="63">
        <v>27</v>
      </c>
      <c r="E64" s="54">
        <v>0.5</v>
      </c>
      <c r="F64" s="54">
        <v>0.1</v>
      </c>
      <c r="G64" s="54">
        <v>0.15</v>
      </c>
      <c r="H64" s="54">
        <v>0.25</v>
      </c>
      <c r="I64" s="52">
        <f>IF(A64&lt;&gt;0,(B64-(B63-D63))/(A64-A63),"")</f>
        <v>13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208</v>
      </c>
      <c r="C65" s="63">
        <v>4</v>
      </c>
      <c r="D65" s="63">
        <v>32</v>
      </c>
      <c r="E65" s="54">
        <v>0.5</v>
      </c>
      <c r="F65" s="54">
        <v>0.1</v>
      </c>
      <c r="G65" s="54">
        <v>0.15</v>
      </c>
      <c r="H65" s="54">
        <v>0.25</v>
      </c>
      <c r="I65" s="52">
        <f>IF(A65&lt;&gt;0,(B65-(B64-D64))/(A65-A64),"")</f>
        <v>12.4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233</v>
      </c>
      <c r="C66" s="63">
        <v>5</v>
      </c>
      <c r="D66" s="63">
        <v>31</v>
      </c>
      <c r="E66" s="54">
        <v>0.5</v>
      </c>
      <c r="F66" s="54">
        <v>0.1</v>
      </c>
      <c r="G66" s="54">
        <v>0.15</v>
      </c>
      <c r="H66" s="54">
        <v>0.25</v>
      </c>
      <c r="I66" s="52">
        <f t="shared" ref="I66:I81" si="3">IF(A66&lt;&gt;0,(B66-(B65-D65))/(A66-A65),"")</f>
        <v>11.4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253</v>
      </c>
      <c r="C67" s="63">
        <v>6</v>
      </c>
      <c r="D67" s="63">
        <v>30</v>
      </c>
      <c r="E67" s="54">
        <v>0.5</v>
      </c>
      <c r="F67" s="54">
        <v>0.1</v>
      </c>
      <c r="G67" s="54">
        <v>0.15</v>
      </c>
      <c r="H67" s="54">
        <v>0.25</v>
      </c>
      <c r="I67" s="52">
        <f t="shared" si="3"/>
        <v>10.199999999999999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264</v>
      </c>
      <c r="C68" s="63">
        <v>7</v>
      </c>
      <c r="D68" s="63">
        <v>30</v>
      </c>
      <c r="E68" s="54">
        <v>0.5</v>
      </c>
      <c r="F68" s="54">
        <v>0.1</v>
      </c>
      <c r="G68" s="54">
        <v>0.15</v>
      </c>
      <c r="H68" s="54">
        <v>0.25</v>
      </c>
      <c r="I68" s="52">
        <f t="shared" si="3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271</v>
      </c>
      <c r="C69" s="53">
        <v>8</v>
      </c>
      <c r="D69" s="53">
        <v>27</v>
      </c>
      <c r="E69" s="54">
        <v>0.5</v>
      </c>
      <c r="F69" s="54">
        <v>0.1</v>
      </c>
      <c r="G69" s="54">
        <v>0.15</v>
      </c>
      <c r="H69" s="54">
        <v>0.25</v>
      </c>
      <c r="I69" s="52">
        <f t="shared" si="3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3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3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3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25</v>
      </c>
      <c r="B88" s="63">
        <v>89</v>
      </c>
      <c r="C88" s="63">
        <v>1</v>
      </c>
      <c r="D88" s="63">
        <v>28</v>
      </c>
      <c r="E88" s="54"/>
      <c r="F88" s="54"/>
      <c r="G88" s="54"/>
      <c r="H88" s="54">
        <v>1</v>
      </c>
      <c r="I88" s="56">
        <f>IFERROR(B88/A88,"")</f>
        <v>3.56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132</v>
      </c>
      <c r="C89" s="63">
        <v>2</v>
      </c>
      <c r="D89" s="63">
        <v>24</v>
      </c>
      <c r="E89" s="54">
        <v>0.5</v>
      </c>
      <c r="F89" s="54">
        <v>0.1</v>
      </c>
      <c r="G89" s="54">
        <v>0.15</v>
      </c>
      <c r="H89" s="54">
        <v>0.25</v>
      </c>
      <c r="I89" s="56">
        <f t="shared" ref="I89:I107" si="4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35</v>
      </c>
      <c r="B90" s="63">
        <v>173</v>
      </c>
      <c r="C90" s="63">
        <v>3</v>
      </c>
      <c r="D90" s="63">
        <v>27</v>
      </c>
      <c r="E90" s="54">
        <v>0.5</v>
      </c>
      <c r="F90" s="54">
        <v>0.1</v>
      </c>
      <c r="G90" s="54">
        <v>0.15</v>
      </c>
      <c r="H90" s="54">
        <v>0.25</v>
      </c>
      <c r="I90" s="56">
        <f t="shared" si="4"/>
        <v>13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208</v>
      </c>
      <c r="C91" s="63">
        <v>4</v>
      </c>
      <c r="D91" s="63">
        <v>32</v>
      </c>
      <c r="E91" s="54">
        <v>0.5</v>
      </c>
      <c r="F91" s="54">
        <v>0.1</v>
      </c>
      <c r="G91" s="54">
        <v>0.15</v>
      </c>
      <c r="H91" s="54">
        <v>0.25</v>
      </c>
      <c r="I91" s="56">
        <f t="shared" si="4"/>
        <v>12.4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45</v>
      </c>
      <c r="B92" s="63">
        <v>233</v>
      </c>
      <c r="C92" s="63">
        <v>5</v>
      </c>
      <c r="D92" s="63">
        <v>31</v>
      </c>
      <c r="E92" s="54">
        <v>0.5</v>
      </c>
      <c r="F92" s="54">
        <v>0.1</v>
      </c>
      <c r="G92" s="54">
        <v>0.15</v>
      </c>
      <c r="H92" s="54">
        <v>0.25</v>
      </c>
      <c r="I92" s="56">
        <f t="shared" si="4"/>
        <v>11.4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253</v>
      </c>
      <c r="C93" s="63">
        <v>6</v>
      </c>
      <c r="D93" s="63">
        <v>30</v>
      </c>
      <c r="E93" s="54">
        <v>0.5</v>
      </c>
      <c r="F93" s="54">
        <v>0.1</v>
      </c>
      <c r="G93" s="54">
        <v>0.15</v>
      </c>
      <c r="H93" s="54">
        <v>0.25</v>
      </c>
      <c r="I93" s="56">
        <f t="shared" si="4"/>
        <v>10.199999999999999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55</v>
      </c>
      <c r="B94" s="63">
        <v>264</v>
      </c>
      <c r="C94" s="63">
        <v>7</v>
      </c>
      <c r="D94" s="63">
        <v>30</v>
      </c>
      <c r="E94" s="54">
        <v>0.5</v>
      </c>
      <c r="F94" s="54">
        <v>0.1</v>
      </c>
      <c r="G94" s="54">
        <v>0.15</v>
      </c>
      <c r="H94" s="54">
        <v>0.25</v>
      </c>
      <c r="I94" s="56">
        <f t="shared" si="4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60</v>
      </c>
      <c r="B95" s="53">
        <v>271</v>
      </c>
      <c r="C95" s="53">
        <v>8</v>
      </c>
      <c r="D95" s="53">
        <v>27</v>
      </c>
      <c r="E95" s="54">
        <v>0.5</v>
      </c>
      <c r="F95" s="54">
        <v>0.1</v>
      </c>
      <c r="G95" s="54">
        <v>0.15</v>
      </c>
      <c r="H95" s="54">
        <v>0.25</v>
      </c>
      <c r="I95" s="56">
        <f t="shared" si="4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/>
      <c r="B96" s="53"/>
      <c r="C96" s="53"/>
      <c r="D96" s="53"/>
      <c r="E96" s="54"/>
      <c r="F96" s="54"/>
      <c r="G96" s="54"/>
      <c r="H96" s="54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Merisier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25</v>
      </c>
      <c r="B114" s="63">
        <v>89</v>
      </c>
      <c r="C114" s="63">
        <v>1</v>
      </c>
      <c r="D114" s="63">
        <v>28</v>
      </c>
      <c r="E114" s="54"/>
      <c r="F114" s="54"/>
      <c r="G114" s="54"/>
      <c r="H114" s="54">
        <v>1</v>
      </c>
      <c r="I114" s="56">
        <f>IFERROR(B114/A114,"")</f>
        <v>3.56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132</v>
      </c>
      <c r="C115" s="63">
        <v>2</v>
      </c>
      <c r="D115" s="63">
        <v>24</v>
      </c>
      <c r="E115" s="54">
        <v>0.5</v>
      </c>
      <c r="F115" s="54">
        <v>0.1</v>
      </c>
      <c r="G115" s="54">
        <v>0.15</v>
      </c>
      <c r="H115" s="54">
        <v>0.25</v>
      </c>
      <c r="I115" s="56">
        <f t="shared" ref="I115:I133" si="5">IF(A115&lt;&gt;0,(B115-(B114-D114))/(A115-A114),"")</f>
        <v>14.2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35</v>
      </c>
      <c r="B116" s="63">
        <v>173</v>
      </c>
      <c r="C116" s="63">
        <v>3</v>
      </c>
      <c r="D116" s="63">
        <v>27</v>
      </c>
      <c r="E116" s="54">
        <v>0.5</v>
      </c>
      <c r="F116" s="54">
        <v>0.1</v>
      </c>
      <c r="G116" s="54">
        <v>0.15</v>
      </c>
      <c r="H116" s="54">
        <v>0.25</v>
      </c>
      <c r="I116" s="56">
        <f t="shared" si="5"/>
        <v>13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40</v>
      </c>
      <c r="B117" s="63">
        <v>208</v>
      </c>
      <c r="C117" s="63">
        <v>4</v>
      </c>
      <c r="D117" s="63">
        <v>32</v>
      </c>
      <c r="E117" s="54">
        <v>0.5</v>
      </c>
      <c r="F117" s="54">
        <v>0.1</v>
      </c>
      <c r="G117" s="54">
        <v>0.15</v>
      </c>
      <c r="H117" s="54">
        <v>0.25</v>
      </c>
      <c r="I117" s="56">
        <f t="shared" si="5"/>
        <v>12.4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45</v>
      </c>
      <c r="B118" s="63">
        <v>233</v>
      </c>
      <c r="C118" s="63">
        <v>5</v>
      </c>
      <c r="D118" s="63">
        <v>31</v>
      </c>
      <c r="E118" s="54">
        <v>0.5</v>
      </c>
      <c r="F118" s="54">
        <v>0.1</v>
      </c>
      <c r="G118" s="54">
        <v>0.15</v>
      </c>
      <c r="H118" s="54">
        <v>0.25</v>
      </c>
      <c r="I118" s="56">
        <f t="shared" si="5"/>
        <v>11.4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50</v>
      </c>
      <c r="B119" s="63">
        <v>253</v>
      </c>
      <c r="C119" s="63">
        <v>6</v>
      </c>
      <c r="D119" s="63">
        <v>30</v>
      </c>
      <c r="E119" s="54">
        <v>0.5</v>
      </c>
      <c r="F119" s="54">
        <v>0.1</v>
      </c>
      <c r="G119" s="54">
        <v>0.15</v>
      </c>
      <c r="H119" s="54">
        <v>0.25</v>
      </c>
      <c r="I119" s="56">
        <f t="shared" si="5"/>
        <v>10.199999999999999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55</v>
      </c>
      <c r="B120" s="63">
        <v>264</v>
      </c>
      <c r="C120" s="63">
        <v>7</v>
      </c>
      <c r="D120" s="63">
        <v>30</v>
      </c>
      <c r="E120" s="54">
        <v>0.5</v>
      </c>
      <c r="F120" s="54">
        <v>0.1</v>
      </c>
      <c r="G120" s="54">
        <v>0.15</v>
      </c>
      <c r="H120" s="54">
        <v>0.25</v>
      </c>
      <c r="I120" s="56">
        <f t="shared" si="5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60</v>
      </c>
      <c r="B121" s="53">
        <v>271</v>
      </c>
      <c r="C121" s="53">
        <v>8</v>
      </c>
      <c r="D121" s="53">
        <v>27</v>
      </c>
      <c r="E121" s="54">
        <v>0.5</v>
      </c>
      <c r="F121" s="54">
        <v>0.1</v>
      </c>
      <c r="G121" s="54">
        <v>0.15</v>
      </c>
      <c r="H121" s="54">
        <v>0.25</v>
      </c>
      <c r="I121" s="56">
        <f t="shared" si="5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53"/>
      <c r="C122" s="53"/>
      <c r="D122" s="53"/>
      <c r="E122" s="54"/>
      <c r="F122" s="54"/>
      <c r="G122" s="54"/>
      <c r="H122" s="54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90" zoomScaleNormal="90" workbookViewId="0">
      <selection activeCell="G22" sqref="G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Merisier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Merisier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Merisier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180.76388336802839</v>
      </c>
      <c r="T3" s="62">
        <f>IF('Données projet'!E9&gt;30,$R$33-$H$33,LOOKUP('Données projet'!$E$9,$A$3:$A$203,R3:R203)-LOOKUP('Données projet'!$E$9,$A$3:$A$203,$H$3:$H$203))</f>
        <v>225.35030757566537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252.45744983674379</v>
      </c>
      <c r="AO3" s="62">
        <f>IF('Données projet'!E10&gt;30,$AM$33-$H$33,LOOKUP('Données projet'!$E$10,$A$3:$A$203,AM3:AM203)-LOOKUP('Données projet'!$E$10,$A$3:$A$203,$H$3:$H$203))</f>
        <v>283.28099819802776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252.45744983674379</v>
      </c>
      <c r="BJ3" s="62">
        <f>IF('Données projet'!E11&gt;30,$BH$33-$H$33,LOOKUP('Données projet'!$E$11,$A$3:$A$203,BH3:BH203)-LOOKUP('Données projet'!$E$11,$A$3:$A$203,$H$3:$H$203))</f>
        <v>283.28099819802776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252.45744983674379</v>
      </c>
      <c r="CE3" s="62">
        <f>IF('Données projet'!E12&gt;30,$CC$33-$H$33,LOOKUP('Données projet'!$E$12,$A$3:$A$203,CC3:CC203)-LOOKUP('Données projet'!$E$12,$A$3:$A$203,$H$3:$H$203))</f>
        <v>283.28099819802776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169.3518236467433</v>
      </c>
      <c r="S4" s="62">
        <f ca="1">AVERAGE(OFFSET($R$3,0,0,'Données projet'!$E$9+1,1))-AVERAGE(OFFSET($H$3,0,0,'Données projet'!$E$9+1,1))</f>
        <v>180.76388336802839</v>
      </c>
      <c r="T4" s="62">
        <f>$T$3</f>
        <v>225.35030757566537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3.56</v>
      </c>
      <c r="AI4" s="14">
        <f>IF('Données projet'!$A$62&gt;35,AI3+AH4-AQ3,IF(A4&lt;'Données projet'!$A$62,$AF$205^A4,IF(A4='Données projet'!$A$62,'Données projet'!$B$62,AI3+AH4-AQ3)))</f>
        <v>1.1966732973638288</v>
      </c>
      <c r="AJ4" s="14">
        <f>AI4*VLOOKUP('Données projet'!$B$10,Paramètres!$A$1:$I$89,3,0)*VLOOKUP('Données projet'!$B$10,Paramètres!$A$1:$I$89,5,0)</f>
        <v>0.93340517194378647</v>
      </c>
      <c r="AK4" s="14">
        <f>EXP(-1.0587+0.8836*LN(AJ4)+0.284)</f>
        <v>0.43361679609549247</v>
      </c>
      <c r="AL4" s="22">
        <f t="shared" ref="AL4:AL67" si="4">(AJ4+AK4)*0.475*44/12</f>
        <v>2.3808965943350775</v>
      </c>
      <c r="AM4" s="62">
        <f t="shared" ref="AM4:AM67" si="5">AL4+(AD4+AE4)*44/12</f>
        <v>170.19333054725891</v>
      </c>
      <c r="AN4" s="62">
        <f ca="1">AVERAGE(OFFSET($AM$3,0,0,'Données projet'!$E$10+1,1))-AVERAGE(OFFSET($H$3,0,0,'Données projet'!$E$10+1,1))</f>
        <v>252.45744983674379</v>
      </c>
      <c r="AO4" s="62">
        <f>$AO$3</f>
        <v>283.28099819802776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3.56</v>
      </c>
      <c r="BD4" s="13">
        <f>IF('Données projet'!$A$88&gt;35,BD3+BC4-BL3,IF(A4&lt;'Données projet'!$A$88,$BA$205^A4,IF(A4='Données projet'!$A$88,'Données projet'!$B$88,BD3+BC4-BL3)))</f>
        <v>1.1966732973638288</v>
      </c>
      <c r="BE4" s="14">
        <f>BD4*VLOOKUP('Données projet'!$B$11,Paramètres!$A$1:$I$89,3,0)*VLOOKUP('Données projet'!$B$11,Paramètres!$A$1:$I$89,5,0)</f>
        <v>0.93340517194378647</v>
      </c>
      <c r="BF4" s="14">
        <f>EXP(-1.0587+0.8836*LN(BE4)+0.284)</f>
        <v>0.43361679609549247</v>
      </c>
      <c r="BG4" s="22">
        <f t="shared" ref="BG4:BG67" si="7">(BE4+BF4)*0.475*44/12</f>
        <v>2.3808965943350775</v>
      </c>
      <c r="BH4" s="62">
        <f t="shared" ref="BH4:BH67" si="8">BG4+(AY4+AZ4)*44/12</f>
        <v>170.19333054725891</v>
      </c>
      <c r="BI4" s="62">
        <f ca="1">AVERAGE(OFFSET($BH$3,0,0,'Données projet'!$E$11+1,1))-AVERAGE(OFFSET($H$3,0,0,'Données projet'!$E$11+1,1))</f>
        <v>252.45744983674379</v>
      </c>
      <c r="BJ4" s="62">
        <f>$BJ$3</f>
        <v>283.28099819802776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3.56</v>
      </c>
      <c r="BY4" s="13">
        <f>IF('Données projet'!$A$114&gt;35,BY3+BX4-CG3,IF(A4&lt;'Données projet'!$A$114,$BV$205^A4,IF(A4='Données projet'!$A$114,'Données projet'!$B$114,BY3+BX4-CG3)))</f>
        <v>1.1966732973638288</v>
      </c>
      <c r="BZ4" s="14">
        <f>BY4*VLOOKUP('Données projet'!$B$12,Paramètres!$A$1:$I$89,3,0)*VLOOKUP('Données projet'!$B$12,Paramètres!$A$1:$I$89,5,0)</f>
        <v>0.93340517194378647</v>
      </c>
      <c r="CA4" s="14">
        <f>EXP(-1.0587+0.8836*LN(BZ4)+0.284)</f>
        <v>0.43361679609549247</v>
      </c>
      <c r="CB4" s="22">
        <f t="shared" ref="CB4:CB67" si="10">(BZ4+CA4)*0.475*44/12</f>
        <v>2.3808965943350775</v>
      </c>
      <c r="CC4" s="62">
        <f t="shared" ref="CC4:CC67" si="11">CB4+(BT4+BU4)*44/12</f>
        <v>170.19333054725891</v>
      </c>
      <c r="CD4" s="62">
        <f ca="1">AVERAGE(OFFSET($CC$3,0,0,'Données projet'!$E$12+1,1))-AVERAGE(OFFSET($H$3,0,0,'Données projet'!$E$12+1,1))</f>
        <v>252.45744983674379</v>
      </c>
      <c r="CE4" s="62">
        <f>$CE$3</f>
        <v>283.28099819802776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172.5313742635588</v>
      </c>
      <c r="S5" s="62">
        <f ca="1">AVERAGE(OFFSET($R$3,0,0,'Données projet'!$E$9+1,1))-AVERAGE(OFFSET($H$3,0,0,'Données projet'!$E$9+1,1))</f>
        <v>180.76388336802839</v>
      </c>
      <c r="T5" s="62">
        <f t="shared" ref="T5:T68" si="34">$T$3</f>
        <v>225.35030757566537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3.56</v>
      </c>
      <c r="AI5" s="14">
        <f>IF('Données projet'!$A$62&gt;35,AI4+AH5-AQ4,IF(A5&lt;'Données projet'!$A$62,$AF$205^A5,IF(A5='Données projet'!$A$62,'Données projet'!$B$62,AI4+AH5-AQ4)))</f>
        <v>1.4320269806236186</v>
      </c>
      <c r="AJ5" s="14">
        <f>AI5*VLOOKUP('Données projet'!$B$10,Paramètres!$A$1:$I$89,3,0)*VLOOKUP('Données projet'!$B$10,Paramètres!$A$1:$I$89,5,0)</f>
        <v>1.1169810448864226</v>
      </c>
      <c r="AK5" s="14">
        <f t="shared" ref="AK5:AK68" si="35">EXP(-1.0587+0.8836*LN(AJ5)+0.284)</f>
        <v>0.50816568684575236</v>
      </c>
      <c r="AL5" s="22">
        <f t="shared" si="4"/>
        <v>2.8304638911002047</v>
      </c>
      <c r="AM5" s="62">
        <f t="shared" si="5"/>
        <v>173.42774517860104</v>
      </c>
      <c r="AN5" s="62">
        <f ca="1">AVERAGE(OFFSET($AM$3,0,0,'Données projet'!$E$10+1,1))-AVERAGE(OFFSET($H$3,0,0,'Données projet'!$E$10+1,1))</f>
        <v>252.45744983674379</v>
      </c>
      <c r="AO5" s="62">
        <f t="shared" ref="AO5:AO68" si="36">$AO$3</f>
        <v>283.28099819802776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3.56</v>
      </c>
      <c r="BD5" s="13">
        <f>IF('Données projet'!$A$88&gt;35,BD4+BC5-BL4,IF(A5&lt;'Données projet'!$A$88,$BA$205^A5,IF(A5='Données projet'!$A$88,'Données projet'!$B$88,BD4+BC5-BL4)))</f>
        <v>1.4320269806236186</v>
      </c>
      <c r="BE5" s="14">
        <f>BD5*VLOOKUP('Données projet'!$B$11,Paramètres!$A$1:$I$89,3,0)*VLOOKUP('Données projet'!$B$11,Paramètres!$A$1:$I$89,5,0)</f>
        <v>1.1169810448864226</v>
      </c>
      <c r="BF5" s="14">
        <f t="shared" ref="BF5:BF68" si="37">EXP(-1.0587+0.8836*LN(BE5)+0.284)</f>
        <v>0.50816568684575236</v>
      </c>
      <c r="BG5" s="22">
        <f t="shared" si="7"/>
        <v>2.8304638911002047</v>
      </c>
      <c r="BH5" s="62">
        <f t="shared" si="8"/>
        <v>173.42774517860104</v>
      </c>
      <c r="BI5" s="62">
        <f ca="1">AVERAGE(OFFSET($BH$3,0,0,'Données projet'!$E$11+1,1))-AVERAGE(OFFSET($H$3,0,0,'Données projet'!$E$11+1,1))</f>
        <v>252.45744983674379</v>
      </c>
      <c r="BJ5" s="62">
        <f t="shared" ref="BJ5:BJ68" si="38">$BJ$3</f>
        <v>283.28099819802776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3.56</v>
      </c>
      <c r="BY5" s="13">
        <f>IF('Données projet'!$A$114&gt;35,BY4+BX5-CG4,IF(A5&lt;'Données projet'!$A$114,$BV$205^A5,IF(A5='Données projet'!$A$114,'Données projet'!$B$114,BY4+BX5-CG4)))</f>
        <v>1.4320269806236186</v>
      </c>
      <c r="BZ5" s="14">
        <f>BY5*VLOOKUP('Données projet'!$B$12,Paramètres!$A$1:$I$89,3,0)*VLOOKUP('Données projet'!$B$12,Paramètres!$A$1:$I$89,5,0)</f>
        <v>1.1169810448864226</v>
      </c>
      <c r="CA5" s="14">
        <f t="shared" ref="CA5:CA68" si="39">EXP(-1.0587+0.8836*LN(BZ5)+0.284)</f>
        <v>0.50816568684575236</v>
      </c>
      <c r="CB5" s="22">
        <f t="shared" si="10"/>
        <v>2.8304638911002047</v>
      </c>
      <c r="CC5" s="62">
        <f t="shared" si="11"/>
        <v>173.42774517860104</v>
      </c>
      <c r="CD5" s="62">
        <f ca="1">AVERAGE(OFFSET($CC$3,0,0,'Données projet'!$E$12+1,1))-AVERAGE(OFFSET($H$3,0,0,'Données projet'!$E$12+1,1))</f>
        <v>252.45744983674379</v>
      </c>
      <c r="CE5" s="62">
        <f t="shared" ref="CE5:CE68" si="40">$CE$3</f>
        <v>283.28099819802776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175.78542475258246</v>
      </c>
      <c r="S6" s="62">
        <f ca="1">AVERAGE(OFFSET($R$3,0,0,'Données projet'!$E$9+1,1))-AVERAGE(OFFSET($H$3,0,0,'Données projet'!$E$9+1,1))</f>
        <v>180.76388336802839</v>
      </c>
      <c r="T6" s="62">
        <f t="shared" si="34"/>
        <v>225.35030757566537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3.56</v>
      </c>
      <c r="AI6" s="14">
        <f>IF('Données projet'!$A$62&gt;35,AI5+AH6-AQ5,IF(A6&lt;'Données projet'!$A$62,$AF$205^A6,IF(A6='Données projet'!$A$62,'Données projet'!$B$62,AI5+AH6-AQ5)))</f>
        <v>1.7136684488168334</v>
      </c>
      <c r="AJ6" s="14">
        <f>AI6*VLOOKUP('Données projet'!$B$10,Paramètres!$A$1:$I$89,3,0)*VLOOKUP('Données projet'!$B$10,Paramètres!$A$1:$I$89,5,0)</f>
        <v>1.33666139007713</v>
      </c>
      <c r="AK6" s="14">
        <f t="shared" si="35"/>
        <v>0.59553127926010163</v>
      </c>
      <c r="AL6" s="22">
        <f t="shared" si="4"/>
        <v>3.3652355657623452</v>
      </c>
      <c r="AM6" s="62">
        <f t="shared" si="5"/>
        <v>176.72025613564722</v>
      </c>
      <c r="AN6" s="62">
        <f ca="1">AVERAGE(OFFSET($AM$3,0,0,'Données projet'!$E$10+1,1))-AVERAGE(OFFSET($H$3,0,0,'Données projet'!$E$10+1,1))</f>
        <v>252.45744983674379</v>
      </c>
      <c r="AO6" s="62">
        <f t="shared" si="36"/>
        <v>283.28099819802776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3.56</v>
      </c>
      <c r="BD6" s="13">
        <f>IF('Données projet'!$A$88&gt;35,BD5+BC6-BL5,IF(A6&lt;'Données projet'!$A$88,$BA$205^A6,IF(A6='Données projet'!$A$88,'Données projet'!$B$88,BD5+BC6-BL5)))</f>
        <v>1.7136684488168334</v>
      </c>
      <c r="BE6" s="14">
        <f>BD6*VLOOKUP('Données projet'!$B$11,Paramètres!$A$1:$I$89,3,0)*VLOOKUP('Données projet'!$B$11,Paramètres!$A$1:$I$89,5,0)</f>
        <v>1.33666139007713</v>
      </c>
      <c r="BF6" s="14">
        <f t="shared" si="37"/>
        <v>0.59553127926010163</v>
      </c>
      <c r="BG6" s="22">
        <f t="shared" si="7"/>
        <v>3.3652355657623452</v>
      </c>
      <c r="BH6" s="62">
        <f t="shared" si="8"/>
        <v>176.72025613564722</v>
      </c>
      <c r="BI6" s="62">
        <f ca="1">AVERAGE(OFFSET($BH$3,0,0,'Données projet'!$E$11+1,1))-AVERAGE(OFFSET($H$3,0,0,'Données projet'!$E$11+1,1))</f>
        <v>252.45744983674379</v>
      </c>
      <c r="BJ6" s="62">
        <f t="shared" si="38"/>
        <v>283.28099819802776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3.56</v>
      </c>
      <c r="BY6" s="13">
        <f>IF('Données projet'!$A$114&gt;35,BY5+BX6-CG5,IF(A6&lt;'Données projet'!$A$114,$BV$205^A6,IF(A6='Données projet'!$A$114,'Données projet'!$B$114,BY5+BX6-CG5)))</f>
        <v>1.7136684488168334</v>
      </c>
      <c r="BZ6" s="14">
        <f>BY6*VLOOKUP('Données projet'!$B$12,Paramètres!$A$1:$I$89,3,0)*VLOOKUP('Données projet'!$B$12,Paramètres!$A$1:$I$89,5,0)</f>
        <v>1.33666139007713</v>
      </c>
      <c r="CA6" s="14">
        <f t="shared" si="39"/>
        <v>0.59553127926010163</v>
      </c>
      <c r="CB6" s="22">
        <f t="shared" si="10"/>
        <v>3.3652355657623452</v>
      </c>
      <c r="CC6" s="62">
        <f t="shared" si="11"/>
        <v>176.72025613564722</v>
      </c>
      <c r="CD6" s="62">
        <f ca="1">AVERAGE(OFFSET($CC$3,0,0,'Données projet'!$E$12+1,1))-AVERAGE(OFFSET($H$3,0,0,'Données projet'!$E$12+1,1))</f>
        <v>252.45744983674379</v>
      </c>
      <c r="CE6" s="62">
        <f t="shared" si="40"/>
        <v>283.28099819802776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179.14070081262093</v>
      </c>
      <c r="S7" s="62">
        <f ca="1">AVERAGE(OFFSET($R$3,0,0,'Données projet'!$E$9+1,1))-AVERAGE(OFFSET($H$3,0,0,'Données projet'!$E$9+1,1))</f>
        <v>180.76388336802839</v>
      </c>
      <c r="T7" s="62">
        <f t="shared" si="34"/>
        <v>225.35030757566537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3.56</v>
      </c>
      <c r="AI7" s="14">
        <f>IF('Données projet'!$A$62&gt;35,AI6+AH7-AQ6,IF(A7&lt;'Données projet'!$A$62,$AF$205^A7,IF(A7='Données projet'!$A$62,'Données projet'!$B$62,AI6+AH7-AQ6)))</f>
        <v>2.0507012732339978</v>
      </c>
      <c r="AJ7" s="14">
        <f>AI7*VLOOKUP('Données projet'!$B$10,Paramètres!$A$1:$I$89,3,0)*VLOOKUP('Données projet'!$B$10,Paramètres!$A$1:$I$89,5,0)</f>
        <v>1.5995469931225184</v>
      </c>
      <c r="AK7" s="14">
        <f t="shared" si="35"/>
        <v>0.69791706476400706</v>
      </c>
      <c r="AL7" s="22">
        <f t="shared" si="4"/>
        <v>4.0014165674856983</v>
      </c>
      <c r="AM7" s="62">
        <f t="shared" si="5"/>
        <v>180.08753863166265</v>
      </c>
      <c r="AN7" s="62">
        <f ca="1">AVERAGE(OFFSET($AM$3,0,0,'Données projet'!$E$10+1,1))-AVERAGE(OFFSET($H$3,0,0,'Données projet'!$E$10+1,1))</f>
        <v>252.45744983674379</v>
      </c>
      <c r="AO7" s="62">
        <f t="shared" si="36"/>
        <v>283.28099819802776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3.56</v>
      </c>
      <c r="BD7" s="13">
        <f>IF('Données projet'!$A$88&gt;35,BD6+BC7-BL6,IF(A7&lt;'Données projet'!$A$88,$BA$205^A7,IF(A7='Données projet'!$A$88,'Données projet'!$B$88,BD6+BC7-BL6)))</f>
        <v>2.0507012732339978</v>
      </c>
      <c r="BE7" s="14">
        <f>BD7*VLOOKUP('Données projet'!$B$11,Paramètres!$A$1:$I$89,3,0)*VLOOKUP('Données projet'!$B$11,Paramètres!$A$1:$I$89,5,0)</f>
        <v>1.5995469931225184</v>
      </c>
      <c r="BF7" s="14">
        <f t="shared" si="37"/>
        <v>0.69791706476400706</v>
      </c>
      <c r="BG7" s="22">
        <f t="shared" si="7"/>
        <v>4.0014165674856983</v>
      </c>
      <c r="BH7" s="62">
        <f t="shared" si="8"/>
        <v>180.08753863166265</v>
      </c>
      <c r="BI7" s="62">
        <f ca="1">AVERAGE(OFFSET($BH$3,0,0,'Données projet'!$E$11+1,1))-AVERAGE(OFFSET($H$3,0,0,'Données projet'!$E$11+1,1))</f>
        <v>252.45744983674379</v>
      </c>
      <c r="BJ7" s="62">
        <f t="shared" si="38"/>
        <v>283.28099819802776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3.56</v>
      </c>
      <c r="BY7" s="13">
        <f>IF('Données projet'!$A$114&gt;35,BY6+BX7-CG6,IF(A7&lt;'Données projet'!$A$114,$BV$205^A7,IF(A7='Données projet'!$A$114,'Données projet'!$B$114,BY6+BX7-CG6)))</f>
        <v>2.0507012732339978</v>
      </c>
      <c r="BZ7" s="14">
        <f>BY7*VLOOKUP('Données projet'!$B$12,Paramètres!$A$1:$I$89,3,0)*VLOOKUP('Données projet'!$B$12,Paramètres!$A$1:$I$89,5,0)</f>
        <v>1.5995469931225184</v>
      </c>
      <c r="CA7" s="14">
        <f t="shared" si="39"/>
        <v>0.69791706476400706</v>
      </c>
      <c r="CB7" s="22">
        <f t="shared" si="10"/>
        <v>4.0014165674856983</v>
      </c>
      <c r="CC7" s="62">
        <f t="shared" si="11"/>
        <v>180.08753863166265</v>
      </c>
      <c r="CD7" s="62">
        <f ca="1">AVERAGE(OFFSET($CC$3,0,0,'Données projet'!$E$12+1,1))-AVERAGE(OFFSET($H$3,0,0,'Données projet'!$E$12+1,1))</f>
        <v>252.45744983674379</v>
      </c>
      <c r="CE7" s="62">
        <f t="shared" si="40"/>
        <v>283.28099819802776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182.63072830440495</v>
      </c>
      <c r="S8" s="62">
        <f ca="1">AVERAGE(OFFSET($R$3,0,0,'Données projet'!$E$9+1,1))-AVERAGE(OFFSET($H$3,0,0,'Données projet'!$E$9+1,1))</f>
        <v>180.76388336802839</v>
      </c>
      <c r="T8" s="62">
        <f t="shared" si="34"/>
        <v>225.35030757566537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3.56</v>
      </c>
      <c r="AI8" s="14">
        <f>IF('Données projet'!$A$62&gt;35,AI7+AH8-AQ7,IF(A8&lt;'Données projet'!$A$62,$AF$205^A8,IF(A8='Données projet'!$A$62,'Données projet'!$B$62,AI7+AH8-AQ7)))</f>
        <v>2.4540194545491301</v>
      </c>
      <c r="AJ8" s="14">
        <f>AI8*VLOOKUP('Données projet'!$B$10,Paramètres!$A$1:$I$89,3,0)*VLOOKUP('Données projet'!$B$10,Paramètres!$A$1:$I$89,5,0)</f>
        <v>1.9141351745483215</v>
      </c>
      <c r="AK8" s="14">
        <f t="shared" si="35"/>
        <v>0.81790536660639246</v>
      </c>
      <c r="AL8" s="22">
        <f t="shared" si="4"/>
        <v>4.7583039425111266</v>
      </c>
      <c r="AM8" s="62">
        <f t="shared" si="5"/>
        <v>183.54935181895848</v>
      </c>
      <c r="AN8" s="62">
        <f ca="1">AVERAGE(OFFSET($AM$3,0,0,'Données projet'!$E$10+1,1))-AVERAGE(OFFSET($H$3,0,0,'Données projet'!$E$10+1,1))</f>
        <v>252.45744983674379</v>
      </c>
      <c r="AO8" s="62">
        <f t="shared" si="36"/>
        <v>283.28099819802776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3.56</v>
      </c>
      <c r="BD8" s="13">
        <f>IF('Données projet'!$A$88&gt;35,BD7+BC8-BL7,IF(A8&lt;'Données projet'!$A$88,$BA$205^A8,IF(A8='Données projet'!$A$88,'Données projet'!$B$88,BD7+BC8-BL7)))</f>
        <v>2.4540194545491301</v>
      </c>
      <c r="BE8" s="14">
        <f>BD8*VLOOKUP('Données projet'!$B$11,Paramètres!$A$1:$I$89,3,0)*VLOOKUP('Données projet'!$B$11,Paramètres!$A$1:$I$89,5,0)</f>
        <v>1.9141351745483215</v>
      </c>
      <c r="BF8" s="14">
        <f t="shared" si="37"/>
        <v>0.81790536660639246</v>
      </c>
      <c r="BG8" s="22">
        <f t="shared" si="7"/>
        <v>4.7583039425111266</v>
      </c>
      <c r="BH8" s="62">
        <f t="shared" si="8"/>
        <v>183.54935181895848</v>
      </c>
      <c r="BI8" s="62">
        <f ca="1">AVERAGE(OFFSET($BH$3,0,0,'Données projet'!$E$11+1,1))-AVERAGE(OFFSET($H$3,0,0,'Données projet'!$E$11+1,1))</f>
        <v>252.45744983674379</v>
      </c>
      <c r="BJ8" s="62">
        <f t="shared" si="38"/>
        <v>283.28099819802776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3.56</v>
      </c>
      <c r="BY8" s="13">
        <f>IF('Données projet'!$A$114&gt;35,BY7+BX8-CG7,IF(A8&lt;'Données projet'!$A$114,$BV$205^A8,IF(A8='Données projet'!$A$114,'Données projet'!$B$114,BY7+BX8-CG7)))</f>
        <v>2.4540194545491301</v>
      </c>
      <c r="BZ8" s="14">
        <f>BY8*VLOOKUP('Données projet'!$B$12,Paramètres!$A$1:$I$89,3,0)*VLOOKUP('Données projet'!$B$12,Paramètres!$A$1:$I$89,5,0)</f>
        <v>1.9141351745483215</v>
      </c>
      <c r="CA8" s="14">
        <f t="shared" si="39"/>
        <v>0.81790536660639246</v>
      </c>
      <c r="CB8" s="22">
        <f t="shared" si="10"/>
        <v>4.7583039425111266</v>
      </c>
      <c r="CC8" s="62">
        <f t="shared" si="11"/>
        <v>183.54935181895848</v>
      </c>
      <c r="CD8" s="62">
        <f ca="1">AVERAGE(OFFSET($CC$3,0,0,'Données projet'!$E$12+1,1))-AVERAGE(OFFSET($H$3,0,0,'Données projet'!$E$12+1,1))</f>
        <v>252.45744983674379</v>
      </c>
      <c r="CE8" s="62">
        <f t="shared" si="40"/>
        <v>283.28099819802776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186.29760464646887</v>
      </c>
      <c r="S9" s="62">
        <f ca="1">AVERAGE(OFFSET($R$3,0,0,'Données projet'!$E$9+1,1))-AVERAGE(OFFSET($H$3,0,0,'Données projet'!$E$9+1,1))</f>
        <v>180.76388336802839</v>
      </c>
      <c r="T9" s="62">
        <f t="shared" si="34"/>
        <v>225.35030757566537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3.56</v>
      </c>
      <c r="AI9" s="14">
        <f>IF('Données projet'!$A$62&gt;35,AI8+AH9-AQ8,IF(A9&lt;'Données projet'!$A$62,$AF$205^A9,IF(A9='Données projet'!$A$62,'Données projet'!$B$62,AI8+AH9-AQ8)))</f>
        <v>2.9366595524702919</v>
      </c>
      <c r="AJ9" s="14">
        <f>AI9*VLOOKUP('Données projet'!$B$10,Paramètres!$A$1:$I$89,3,0)*VLOOKUP('Données projet'!$B$10,Paramètres!$A$1:$I$89,5,0)</f>
        <v>2.2905944509268279</v>
      </c>
      <c r="AK9" s="14">
        <f t="shared" si="35"/>
        <v>0.95852246992949186</v>
      </c>
      <c r="AL9" s="22">
        <f t="shared" si="4"/>
        <v>5.6588786371580904</v>
      </c>
      <c r="AM9" s="62">
        <f t="shared" si="5"/>
        <v>187.12913073341707</v>
      </c>
      <c r="AN9" s="62">
        <f ca="1">AVERAGE(OFFSET($AM$3,0,0,'Données projet'!$E$10+1,1))-AVERAGE(OFFSET($H$3,0,0,'Données projet'!$E$10+1,1))</f>
        <v>252.45744983674379</v>
      </c>
      <c r="AO9" s="62">
        <f t="shared" si="36"/>
        <v>283.28099819802776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3.56</v>
      </c>
      <c r="BD9" s="13">
        <f>IF('Données projet'!$A$88&gt;35,BD8+BC9-BL8,IF(A9&lt;'Données projet'!$A$88,$BA$205^A9,IF(A9='Données projet'!$A$88,'Données projet'!$B$88,BD8+BC9-BL8)))</f>
        <v>2.9366595524702919</v>
      </c>
      <c r="BE9" s="14">
        <f>BD9*VLOOKUP('Données projet'!$B$11,Paramètres!$A$1:$I$89,3,0)*VLOOKUP('Données projet'!$B$11,Paramètres!$A$1:$I$89,5,0)</f>
        <v>2.2905944509268279</v>
      </c>
      <c r="BF9" s="14">
        <f t="shared" si="37"/>
        <v>0.95852246992949186</v>
      </c>
      <c r="BG9" s="22">
        <f t="shared" si="7"/>
        <v>5.6588786371580904</v>
      </c>
      <c r="BH9" s="62">
        <f t="shared" si="8"/>
        <v>187.12913073341707</v>
      </c>
      <c r="BI9" s="62">
        <f ca="1">AVERAGE(OFFSET($BH$3,0,0,'Données projet'!$E$11+1,1))-AVERAGE(OFFSET($H$3,0,0,'Données projet'!$E$11+1,1))</f>
        <v>252.45744983674379</v>
      </c>
      <c r="BJ9" s="62">
        <f t="shared" si="38"/>
        <v>283.28099819802776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3.56</v>
      </c>
      <c r="BY9" s="13">
        <f>IF('Données projet'!$A$114&gt;35,BY8+BX9-CG8,IF(A9&lt;'Données projet'!$A$114,$BV$205^A9,IF(A9='Données projet'!$A$114,'Données projet'!$B$114,BY8+BX9-CG8)))</f>
        <v>2.9366595524702919</v>
      </c>
      <c r="BZ9" s="14">
        <f>BY9*VLOOKUP('Données projet'!$B$12,Paramètres!$A$1:$I$89,3,0)*VLOOKUP('Données projet'!$B$12,Paramètres!$A$1:$I$89,5,0)</f>
        <v>2.2905944509268279</v>
      </c>
      <c r="CA9" s="14">
        <f t="shared" si="39"/>
        <v>0.95852246992949186</v>
      </c>
      <c r="CB9" s="22">
        <f t="shared" si="10"/>
        <v>5.6588786371580904</v>
      </c>
      <c r="CC9" s="62">
        <f t="shared" si="11"/>
        <v>187.12913073341707</v>
      </c>
      <c r="CD9" s="62">
        <f ca="1">AVERAGE(OFFSET($CC$3,0,0,'Données projet'!$E$12+1,1))-AVERAGE(OFFSET($H$3,0,0,'Données projet'!$E$12+1,1))</f>
        <v>252.45744983674379</v>
      </c>
      <c r="CE9" s="62">
        <f t="shared" si="40"/>
        <v>283.28099819802776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190.19423241120458</v>
      </c>
      <c r="S10" s="62">
        <f ca="1">AVERAGE(OFFSET($R$3,0,0,'Données projet'!$E$9+1,1))-AVERAGE(OFFSET($H$3,0,0,'Données projet'!$E$9+1,1))</f>
        <v>180.76388336802839</v>
      </c>
      <c r="T10" s="62">
        <f t="shared" si="34"/>
        <v>225.35030757566537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3.56</v>
      </c>
      <c r="AI10" s="14">
        <f>IF('Données projet'!$A$62&gt;35,AI9+AH10-AQ9,IF(A10&lt;'Données projet'!$A$62,$AF$205^A10,IF(A10='Données projet'!$A$62,'Données projet'!$B$62,AI9+AH10-AQ9)))</f>
        <v>3.5142220698896103</v>
      </c>
      <c r="AJ10" s="14">
        <f>AI10*VLOOKUP('Données projet'!$B$10,Paramètres!$A$1:$I$89,3,0)*VLOOKUP('Données projet'!$B$10,Paramètres!$A$1:$I$89,5,0)</f>
        <v>2.7410932145138962</v>
      </c>
      <c r="AK10" s="14">
        <f t="shared" si="35"/>
        <v>1.1233149492242895</v>
      </c>
      <c r="AL10" s="22">
        <f t="shared" si="4"/>
        <v>6.730510885177341</v>
      </c>
      <c r="AM10" s="62">
        <f t="shared" si="5"/>
        <v>190.85469182091359</v>
      </c>
      <c r="AN10" s="62">
        <f ca="1">AVERAGE(OFFSET($AM$3,0,0,'Données projet'!$E$10+1,1))-AVERAGE(OFFSET($H$3,0,0,'Données projet'!$E$10+1,1))</f>
        <v>252.45744983674379</v>
      </c>
      <c r="AO10" s="62">
        <f t="shared" si="36"/>
        <v>283.28099819802776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3.56</v>
      </c>
      <c r="BD10" s="13">
        <f>IF('Données projet'!$A$88&gt;35,BD9+BC10-BL9,IF(A10&lt;'Données projet'!$A$88,$BA$205^A10,IF(A10='Données projet'!$A$88,'Données projet'!$B$88,BD9+BC10-BL9)))</f>
        <v>3.5142220698896103</v>
      </c>
      <c r="BE10" s="14">
        <f>BD10*VLOOKUP('Données projet'!$B$11,Paramètres!$A$1:$I$89,3,0)*VLOOKUP('Données projet'!$B$11,Paramètres!$A$1:$I$89,5,0)</f>
        <v>2.7410932145138962</v>
      </c>
      <c r="BF10" s="14">
        <f t="shared" si="37"/>
        <v>1.1233149492242895</v>
      </c>
      <c r="BG10" s="22">
        <f t="shared" si="7"/>
        <v>6.730510885177341</v>
      </c>
      <c r="BH10" s="62">
        <f t="shared" si="8"/>
        <v>190.85469182091359</v>
      </c>
      <c r="BI10" s="62">
        <f ca="1">AVERAGE(OFFSET($BH$3,0,0,'Données projet'!$E$11+1,1))-AVERAGE(OFFSET($H$3,0,0,'Données projet'!$E$11+1,1))</f>
        <v>252.45744983674379</v>
      </c>
      <c r="BJ10" s="62">
        <f t="shared" si="38"/>
        <v>283.28099819802776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3.56</v>
      </c>
      <c r="BY10" s="13">
        <f>IF('Données projet'!$A$114&gt;35,BY9+BX10-CG9,IF(A10&lt;'Données projet'!$A$114,$BV$205^A10,IF(A10='Données projet'!$A$114,'Données projet'!$B$114,BY9+BX10-CG9)))</f>
        <v>3.5142220698896103</v>
      </c>
      <c r="BZ10" s="14">
        <f>BY10*VLOOKUP('Données projet'!$B$12,Paramètres!$A$1:$I$89,3,0)*VLOOKUP('Données projet'!$B$12,Paramètres!$A$1:$I$89,5,0)</f>
        <v>2.7410932145138962</v>
      </c>
      <c r="CA10" s="14">
        <f t="shared" si="39"/>
        <v>1.1233149492242895</v>
      </c>
      <c r="CB10" s="22">
        <f t="shared" si="10"/>
        <v>6.730510885177341</v>
      </c>
      <c r="CC10" s="62">
        <f t="shared" si="11"/>
        <v>190.85469182091359</v>
      </c>
      <c r="CD10" s="62">
        <f ca="1">AVERAGE(OFFSET($CC$3,0,0,'Données projet'!$E$12+1,1))-AVERAGE(OFFSET($H$3,0,0,'Données projet'!$E$12+1,1))</f>
        <v>252.45744983674379</v>
      </c>
      <c r="CE10" s="62">
        <f t="shared" si="40"/>
        <v>283.28099819802776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194.38713606555996</v>
      </c>
      <c r="S11" s="62">
        <f ca="1">AVERAGE(OFFSET($R$3,0,0,'Données projet'!$E$9+1,1))-AVERAGE(OFFSET($H$3,0,0,'Données projet'!$E$9+1,1))</f>
        <v>180.76388336802839</v>
      </c>
      <c r="T11" s="62">
        <f t="shared" si="34"/>
        <v>225.35030757566537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3.56</v>
      </c>
      <c r="AI11" s="14">
        <f>IF('Données projet'!$A$62&gt;35,AI10+AH11-AQ10,IF(A11&lt;'Données projet'!$A$62,$AF$205^A11,IF(A11='Données projet'!$A$62,'Données projet'!$B$62,AI10+AH11-AQ10)))</f>
        <v>4.2053757120435398</v>
      </c>
      <c r="AJ11" s="14">
        <f>AI11*VLOOKUP('Données projet'!$B$10,Paramètres!$A$1:$I$89,3,0)*VLOOKUP('Données projet'!$B$10,Paramètres!$A$1:$I$89,5,0)</f>
        <v>3.2801930553939611</v>
      </c>
      <c r="AK11" s="14">
        <f t="shared" si="35"/>
        <v>1.3164391182645805</v>
      </c>
      <c r="AL11" s="22">
        <f t="shared" si="4"/>
        <v>8.0058010357886271</v>
      </c>
      <c r="AM11" s="62">
        <f t="shared" si="5"/>
        <v>194.75907390200919</v>
      </c>
      <c r="AN11" s="62">
        <f ca="1">AVERAGE(OFFSET($AM$3,0,0,'Données projet'!$E$10+1,1))-AVERAGE(OFFSET($H$3,0,0,'Données projet'!$E$10+1,1))</f>
        <v>252.45744983674379</v>
      </c>
      <c r="AO11" s="62">
        <f t="shared" si="36"/>
        <v>283.28099819802776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3.56</v>
      </c>
      <c r="BD11" s="13">
        <f>IF('Données projet'!$A$88&gt;35,BD10+BC11-BL10,IF(A11&lt;'Données projet'!$A$88,$BA$205^A11,IF(A11='Données projet'!$A$88,'Données projet'!$B$88,BD10+BC11-BL10)))</f>
        <v>4.2053757120435398</v>
      </c>
      <c r="BE11" s="14">
        <f>BD11*VLOOKUP('Données projet'!$B$11,Paramètres!$A$1:$I$89,3,0)*VLOOKUP('Données projet'!$B$11,Paramètres!$A$1:$I$89,5,0)</f>
        <v>3.2801930553939611</v>
      </c>
      <c r="BF11" s="14">
        <f t="shared" si="37"/>
        <v>1.3164391182645805</v>
      </c>
      <c r="BG11" s="22">
        <f t="shared" si="7"/>
        <v>8.0058010357886271</v>
      </c>
      <c r="BH11" s="62">
        <f t="shared" si="8"/>
        <v>194.75907390200919</v>
      </c>
      <c r="BI11" s="62">
        <f ca="1">AVERAGE(OFFSET($BH$3,0,0,'Données projet'!$E$11+1,1))-AVERAGE(OFFSET($H$3,0,0,'Données projet'!$E$11+1,1))</f>
        <v>252.45744983674379</v>
      </c>
      <c r="BJ11" s="62">
        <f t="shared" si="38"/>
        <v>283.28099819802776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3.56</v>
      </c>
      <c r="BY11" s="13">
        <f>IF('Données projet'!$A$114&gt;35,BY10+BX11-CG10,IF(A11&lt;'Données projet'!$A$114,$BV$205^A11,IF(A11='Données projet'!$A$114,'Données projet'!$B$114,BY10+BX11-CG10)))</f>
        <v>4.2053757120435398</v>
      </c>
      <c r="BZ11" s="14">
        <f>BY11*VLOOKUP('Données projet'!$B$12,Paramètres!$A$1:$I$89,3,0)*VLOOKUP('Données projet'!$B$12,Paramètres!$A$1:$I$89,5,0)</f>
        <v>3.2801930553939611</v>
      </c>
      <c r="CA11" s="14">
        <f t="shared" si="39"/>
        <v>1.3164391182645805</v>
      </c>
      <c r="CB11" s="22">
        <f t="shared" si="10"/>
        <v>8.0058010357886271</v>
      </c>
      <c r="CC11" s="62">
        <f t="shared" si="11"/>
        <v>194.75907390200919</v>
      </c>
      <c r="CD11" s="62">
        <f ca="1">AVERAGE(OFFSET($CC$3,0,0,'Données projet'!$E$12+1,1))-AVERAGE(OFFSET($H$3,0,0,'Données projet'!$E$12+1,1))</f>
        <v>252.45744983674379</v>
      </c>
      <c r="CE11" s="62">
        <f t="shared" si="40"/>
        <v>283.28099819802776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198.96001452834184</v>
      </c>
      <c r="S12" s="62">
        <f ca="1">AVERAGE(OFFSET($R$3,0,0,'Données projet'!$E$9+1,1))-AVERAGE(OFFSET($H$3,0,0,'Données projet'!$E$9+1,1))</f>
        <v>180.76388336802839</v>
      </c>
      <c r="T12" s="62">
        <f t="shared" si="34"/>
        <v>225.35030757566537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3.56</v>
      </c>
      <c r="AI12" s="14">
        <f>IF('Données projet'!$A$62&gt;35,AI11+AH12-AQ11,IF(A12&lt;'Données projet'!$A$62,$AF$205^A12,IF(A12='Données projet'!$A$62,'Données projet'!$B$62,AI11+AH12-AQ11)))</f>
        <v>5.0324608199849017</v>
      </c>
      <c r="AJ12" s="14">
        <f>AI12*VLOOKUP('Données projet'!$B$10,Paramètres!$A$1:$I$89,3,0)*VLOOKUP('Données projet'!$B$10,Paramètres!$A$1:$I$89,5,0)</f>
        <v>3.9253194395882236</v>
      </c>
      <c r="AK12" s="14">
        <f t="shared" si="35"/>
        <v>1.5427658585813051</v>
      </c>
      <c r="AL12" s="22">
        <f t="shared" si="4"/>
        <v>9.5235818943119295</v>
      </c>
      <c r="AM12" s="62">
        <f t="shared" si="5"/>
        <v>198.88154064686799</v>
      </c>
      <c r="AN12" s="62">
        <f ca="1">AVERAGE(OFFSET($AM$3,0,0,'Données projet'!$E$10+1,1))-AVERAGE(OFFSET($H$3,0,0,'Données projet'!$E$10+1,1))</f>
        <v>252.45744983674379</v>
      </c>
      <c r="AO12" s="62">
        <f t="shared" si="36"/>
        <v>283.28099819802776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3.56</v>
      </c>
      <c r="BD12" s="13">
        <f>IF('Données projet'!$A$88&gt;35,BD11+BC12-BL11,IF(A12&lt;'Données projet'!$A$88,$BA$205^A12,IF(A12='Données projet'!$A$88,'Données projet'!$B$88,BD11+BC12-BL11)))</f>
        <v>5.0324608199849017</v>
      </c>
      <c r="BE12" s="14">
        <f>BD12*VLOOKUP('Données projet'!$B$11,Paramètres!$A$1:$I$89,3,0)*VLOOKUP('Données projet'!$B$11,Paramètres!$A$1:$I$89,5,0)</f>
        <v>3.9253194395882236</v>
      </c>
      <c r="BF12" s="14">
        <f t="shared" si="37"/>
        <v>1.5427658585813051</v>
      </c>
      <c r="BG12" s="22">
        <f t="shared" si="7"/>
        <v>9.5235818943119295</v>
      </c>
      <c r="BH12" s="62">
        <f t="shared" si="8"/>
        <v>198.88154064686799</v>
      </c>
      <c r="BI12" s="62">
        <f ca="1">AVERAGE(OFFSET($BH$3,0,0,'Données projet'!$E$11+1,1))-AVERAGE(OFFSET($H$3,0,0,'Données projet'!$E$11+1,1))</f>
        <v>252.45744983674379</v>
      </c>
      <c r="BJ12" s="62">
        <f t="shared" si="38"/>
        <v>283.28099819802776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3.56</v>
      </c>
      <c r="BY12" s="13">
        <f>IF('Données projet'!$A$114&gt;35,BY11+BX12-CG11,IF(A12&lt;'Données projet'!$A$114,$BV$205^A12,IF(A12='Données projet'!$A$114,'Données projet'!$B$114,BY11+BX12-CG11)))</f>
        <v>5.0324608199849017</v>
      </c>
      <c r="BZ12" s="14">
        <f>BY12*VLOOKUP('Données projet'!$B$12,Paramètres!$A$1:$I$89,3,0)*VLOOKUP('Données projet'!$B$12,Paramètres!$A$1:$I$89,5,0)</f>
        <v>3.9253194395882236</v>
      </c>
      <c r="CA12" s="14">
        <f t="shared" si="39"/>
        <v>1.5427658585813051</v>
      </c>
      <c r="CB12" s="22">
        <f t="shared" si="10"/>
        <v>9.5235818943119295</v>
      </c>
      <c r="CC12" s="62">
        <f t="shared" si="11"/>
        <v>198.88154064686799</v>
      </c>
      <c r="CD12" s="62">
        <f ca="1">AVERAGE(OFFSET($CC$3,0,0,'Données projet'!$E$12+1,1))-AVERAGE(OFFSET($H$3,0,0,'Données projet'!$E$12+1,1))</f>
        <v>252.45744983674379</v>
      </c>
      <c r="CE12" s="62">
        <f t="shared" si="40"/>
        <v>283.28099819802776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204.01822228576515</v>
      </c>
      <c r="S13" s="62">
        <f ca="1">AVERAGE(OFFSET($R$3,0,0,'Données projet'!$E$9+1,1))-AVERAGE(OFFSET($H$3,0,0,'Données projet'!$E$9+1,1))</f>
        <v>180.76388336802839</v>
      </c>
      <c r="T13" s="62">
        <f t="shared" si="34"/>
        <v>225.35030757566537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3.56</v>
      </c>
      <c r="AI13" s="14">
        <f>IF('Données projet'!$A$62&gt;35,AI12+AH13-AQ12,IF(A13&lt;'Données projet'!$A$62,$AF$205^A13,IF(A13='Données projet'!$A$62,'Données projet'!$B$62,AI12+AH13-AQ12)))</f>
        <v>6.0222114833056102</v>
      </c>
      <c r="AJ13" s="14">
        <f>AI13*VLOOKUP('Données projet'!$B$10,Paramètres!$A$1:$I$89,3,0)*VLOOKUP('Données projet'!$B$10,Paramètres!$A$1:$I$89,5,0)</f>
        <v>4.6973249569783757</v>
      </c>
      <c r="AK13" s="14">
        <f t="shared" si="35"/>
        <v>1.8080034704086858</v>
      </c>
      <c r="AL13" s="22">
        <f t="shared" si="4"/>
        <v>11.330113677699131</v>
      </c>
      <c r="AM13" s="62">
        <f t="shared" si="5"/>
        <v>203.26877566274402</v>
      </c>
      <c r="AN13" s="62">
        <f ca="1">AVERAGE(OFFSET($AM$3,0,0,'Données projet'!$E$10+1,1))-AVERAGE(OFFSET($H$3,0,0,'Données projet'!$E$10+1,1))</f>
        <v>252.45744983674379</v>
      </c>
      <c r="AO13" s="62">
        <f t="shared" si="36"/>
        <v>283.28099819802776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3.56</v>
      </c>
      <c r="BD13" s="13">
        <f>IF('Données projet'!$A$88&gt;35,BD12+BC13-BL12,IF(A13&lt;'Données projet'!$A$88,$BA$205^A13,IF(A13='Données projet'!$A$88,'Données projet'!$B$88,BD12+BC13-BL12)))</f>
        <v>6.0222114833056102</v>
      </c>
      <c r="BE13" s="14">
        <f>BD13*VLOOKUP('Données projet'!$B$11,Paramètres!$A$1:$I$89,3,0)*VLOOKUP('Données projet'!$B$11,Paramètres!$A$1:$I$89,5,0)</f>
        <v>4.6973249569783757</v>
      </c>
      <c r="BF13" s="14">
        <f t="shared" si="37"/>
        <v>1.8080034704086858</v>
      </c>
      <c r="BG13" s="22">
        <f t="shared" si="7"/>
        <v>11.330113677699131</v>
      </c>
      <c r="BH13" s="62">
        <f t="shared" si="8"/>
        <v>203.26877566274402</v>
      </c>
      <c r="BI13" s="62">
        <f ca="1">AVERAGE(OFFSET($BH$3,0,0,'Données projet'!$E$11+1,1))-AVERAGE(OFFSET($H$3,0,0,'Données projet'!$E$11+1,1))</f>
        <v>252.45744983674379</v>
      </c>
      <c r="BJ13" s="62">
        <f t="shared" si="38"/>
        <v>283.28099819802776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3.56</v>
      </c>
      <c r="BY13" s="13">
        <f>IF('Données projet'!$A$114&gt;35,BY12+BX13-CG12,IF(A13&lt;'Données projet'!$A$114,$BV$205^A13,IF(A13='Données projet'!$A$114,'Données projet'!$B$114,BY12+BX13-CG12)))</f>
        <v>6.0222114833056102</v>
      </c>
      <c r="BZ13" s="14">
        <f>BY13*VLOOKUP('Données projet'!$B$12,Paramètres!$A$1:$I$89,3,0)*VLOOKUP('Données projet'!$B$12,Paramètres!$A$1:$I$89,5,0)</f>
        <v>4.6973249569783757</v>
      </c>
      <c r="CA13" s="14">
        <f t="shared" si="39"/>
        <v>1.8080034704086858</v>
      </c>
      <c r="CB13" s="22">
        <f t="shared" si="10"/>
        <v>11.330113677699131</v>
      </c>
      <c r="CC13" s="62">
        <f t="shared" si="11"/>
        <v>203.26877566274402</v>
      </c>
      <c r="CD13" s="62">
        <f ca="1">AVERAGE(OFFSET($CC$3,0,0,'Données projet'!$E$12+1,1))-AVERAGE(OFFSET($H$3,0,0,'Données projet'!$E$12+1,1))</f>
        <v>252.45744983674379</v>
      </c>
      <c r="CE13" s="62">
        <f t="shared" si="40"/>
        <v>283.28099819802776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209.69442241675455</v>
      </c>
      <c r="S14" s="62">
        <f ca="1">AVERAGE(OFFSET($R$3,0,0,'Données projet'!$E$9+1,1))-AVERAGE(OFFSET($H$3,0,0,'Données projet'!$E$9+1,1))</f>
        <v>180.76388336802839</v>
      </c>
      <c r="T14" s="62">
        <f t="shared" si="34"/>
        <v>225.35030757566537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3.56</v>
      </c>
      <c r="AI14" s="14">
        <f>IF('Données projet'!$A$62&gt;35,AI13+AH14-AQ13,IF(A14&lt;'Données projet'!$A$62,$AF$205^A14,IF(A14='Données projet'!$A$62,'Données projet'!$B$62,AI13+AH14-AQ13)))</f>
        <v>7.206619673149639</v>
      </c>
      <c r="AJ14" s="14">
        <f>AI14*VLOOKUP('Données projet'!$B$10,Paramètres!$A$1:$I$89,3,0)*VLOOKUP('Données projet'!$B$10,Paramètres!$A$1:$I$89,5,0)</f>
        <v>5.6211633450567184</v>
      </c>
      <c r="AK14" s="14">
        <f t="shared" si="35"/>
        <v>2.1188416445874947</v>
      </c>
      <c r="AL14" s="22">
        <f t="shared" si="4"/>
        <v>13.480508690297002</v>
      </c>
      <c r="AM14" s="62">
        <f t="shared" si="5"/>
        <v>207.97630729941113</v>
      </c>
      <c r="AN14" s="62">
        <f ca="1">AVERAGE(OFFSET($AM$3,0,0,'Données projet'!$E$10+1,1))-AVERAGE(OFFSET($H$3,0,0,'Données projet'!$E$10+1,1))</f>
        <v>252.45744983674379</v>
      </c>
      <c r="AO14" s="62">
        <f t="shared" si="36"/>
        <v>283.28099819802776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3.56</v>
      </c>
      <c r="BD14" s="13">
        <f>IF('Données projet'!$A$88&gt;35,BD13+BC14-BL13,IF(A14&lt;'Données projet'!$A$88,$BA$205^A14,IF(A14='Données projet'!$A$88,'Données projet'!$B$88,BD13+BC14-BL13)))</f>
        <v>7.206619673149639</v>
      </c>
      <c r="BE14" s="14">
        <f>BD14*VLOOKUP('Données projet'!$B$11,Paramètres!$A$1:$I$89,3,0)*VLOOKUP('Données projet'!$B$11,Paramètres!$A$1:$I$89,5,0)</f>
        <v>5.6211633450567184</v>
      </c>
      <c r="BF14" s="14">
        <f t="shared" si="37"/>
        <v>2.1188416445874947</v>
      </c>
      <c r="BG14" s="22">
        <f t="shared" si="7"/>
        <v>13.480508690297002</v>
      </c>
      <c r="BH14" s="62">
        <f t="shared" si="8"/>
        <v>207.97630729941113</v>
      </c>
      <c r="BI14" s="62">
        <f ca="1">AVERAGE(OFFSET($BH$3,0,0,'Données projet'!$E$11+1,1))-AVERAGE(OFFSET($H$3,0,0,'Données projet'!$E$11+1,1))</f>
        <v>252.45744983674379</v>
      </c>
      <c r="BJ14" s="62">
        <f t="shared" si="38"/>
        <v>283.28099819802776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3.56</v>
      </c>
      <c r="BY14" s="13">
        <f>IF('Données projet'!$A$114&gt;35,BY13+BX14-CG13,IF(A14&lt;'Données projet'!$A$114,$BV$205^A14,IF(A14='Données projet'!$A$114,'Données projet'!$B$114,BY13+BX14-CG13)))</f>
        <v>7.206619673149639</v>
      </c>
      <c r="BZ14" s="14">
        <f>BY14*VLOOKUP('Données projet'!$B$12,Paramètres!$A$1:$I$89,3,0)*VLOOKUP('Données projet'!$B$12,Paramètres!$A$1:$I$89,5,0)</f>
        <v>5.6211633450567184</v>
      </c>
      <c r="CA14" s="14">
        <f t="shared" si="39"/>
        <v>2.1188416445874947</v>
      </c>
      <c r="CB14" s="22">
        <f t="shared" si="10"/>
        <v>13.480508690297002</v>
      </c>
      <c r="CC14" s="62">
        <f t="shared" si="11"/>
        <v>207.97630729941113</v>
      </c>
      <c r="CD14" s="62">
        <f ca="1">AVERAGE(OFFSET($CC$3,0,0,'Données projet'!$E$12+1,1))-AVERAGE(OFFSET($H$3,0,0,'Données projet'!$E$12+1,1))</f>
        <v>252.45744983674379</v>
      </c>
      <c r="CE14" s="62">
        <f t="shared" si="40"/>
        <v>283.28099819802776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216.1557188077249</v>
      </c>
      <c r="S15" s="62">
        <f ca="1">AVERAGE(OFFSET($R$3,0,0,'Données projet'!$E$9+1,1))-AVERAGE(OFFSET($H$3,0,0,'Données projet'!$E$9+1,1))</f>
        <v>180.76388336802839</v>
      </c>
      <c r="T15" s="62">
        <f t="shared" si="34"/>
        <v>225.35030757566537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3.56</v>
      </c>
      <c r="AI15" s="14">
        <f>IF('Données projet'!$A$62&gt;35,AI14+AH15-AQ14,IF(A15&lt;'Données projet'!$A$62,$AF$205^A15,IF(A15='Données projet'!$A$62,'Données projet'!$B$62,AI14+AH15-AQ14)))</f>
        <v>8.6239693271150166</v>
      </c>
      <c r="AJ15" s="14">
        <f>AI15*VLOOKUP('Données projet'!$B$10,Paramètres!$A$1:$I$89,3,0)*VLOOKUP('Données projet'!$B$10,Paramètres!$A$1:$I$89,5,0)</f>
        <v>6.7266960751497136</v>
      </c>
      <c r="AK15" s="14">
        <f t="shared" si="35"/>
        <v>2.4831201866130401</v>
      </c>
      <c r="AL15" s="22">
        <f t="shared" si="4"/>
        <v>16.040429989236795</v>
      </c>
      <c r="AM15" s="62">
        <f t="shared" si="5"/>
        <v>213.07020744196967</v>
      </c>
      <c r="AN15" s="62">
        <f ca="1">AVERAGE(OFFSET($AM$3,0,0,'Données projet'!$E$10+1,1))-AVERAGE(OFFSET($H$3,0,0,'Données projet'!$E$10+1,1))</f>
        <v>252.45744983674379</v>
      </c>
      <c r="AO15" s="62">
        <f t="shared" si="36"/>
        <v>283.28099819802776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3.56</v>
      </c>
      <c r="BD15" s="13">
        <f>IF('Données projet'!$A$88&gt;35,BD14+BC15-BL14,IF(A15&lt;'Données projet'!$A$88,$BA$205^A15,IF(A15='Données projet'!$A$88,'Données projet'!$B$88,BD14+BC15-BL14)))</f>
        <v>8.6239693271150166</v>
      </c>
      <c r="BE15" s="14">
        <f>BD15*VLOOKUP('Données projet'!$B$11,Paramètres!$A$1:$I$89,3,0)*VLOOKUP('Données projet'!$B$11,Paramètres!$A$1:$I$89,5,0)</f>
        <v>6.7266960751497136</v>
      </c>
      <c r="BF15" s="14">
        <f t="shared" si="37"/>
        <v>2.4831201866130401</v>
      </c>
      <c r="BG15" s="22">
        <f t="shared" si="7"/>
        <v>16.040429989236795</v>
      </c>
      <c r="BH15" s="62">
        <f t="shared" si="8"/>
        <v>213.07020744196967</v>
      </c>
      <c r="BI15" s="62">
        <f ca="1">AVERAGE(OFFSET($BH$3,0,0,'Données projet'!$E$11+1,1))-AVERAGE(OFFSET($H$3,0,0,'Données projet'!$E$11+1,1))</f>
        <v>252.45744983674379</v>
      </c>
      <c r="BJ15" s="62">
        <f t="shared" si="38"/>
        <v>283.28099819802776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3.56</v>
      </c>
      <c r="BY15" s="13">
        <f>IF('Données projet'!$A$114&gt;35,BY14+BX15-CG14,IF(A15&lt;'Données projet'!$A$114,$BV$205^A15,IF(A15='Données projet'!$A$114,'Données projet'!$B$114,BY14+BX15-CG14)))</f>
        <v>8.6239693271150166</v>
      </c>
      <c r="BZ15" s="14">
        <f>BY15*VLOOKUP('Données projet'!$B$12,Paramètres!$A$1:$I$89,3,0)*VLOOKUP('Données projet'!$B$12,Paramètres!$A$1:$I$89,5,0)</f>
        <v>6.7266960751497136</v>
      </c>
      <c r="CA15" s="14">
        <f t="shared" si="39"/>
        <v>2.4831201866130401</v>
      </c>
      <c r="CB15" s="22">
        <f t="shared" si="10"/>
        <v>16.040429989236795</v>
      </c>
      <c r="CC15" s="62">
        <f t="shared" si="11"/>
        <v>213.07020744196967</v>
      </c>
      <c r="CD15" s="62">
        <f ca="1">AVERAGE(OFFSET($CC$3,0,0,'Données projet'!$E$12+1,1))-AVERAGE(OFFSET($H$3,0,0,'Données projet'!$E$12+1,1))</f>
        <v>252.45744983674379</v>
      </c>
      <c r="CE15" s="62">
        <f t="shared" si="40"/>
        <v>283.28099819802776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223.61265559493503</v>
      </c>
      <c r="S16" s="62">
        <f ca="1">AVERAGE(OFFSET($R$3,0,0,'Données projet'!$E$9+1,1))-AVERAGE(OFFSET($H$3,0,0,'Données projet'!$E$9+1,1))</f>
        <v>180.76388336802839</v>
      </c>
      <c r="T16" s="62">
        <f t="shared" si="34"/>
        <v>225.35030757566537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3.56</v>
      </c>
      <c r="AI16" s="14">
        <f>IF('Données projet'!$A$62&gt;35,AI15+AH16-AQ15,IF(A16&lt;'Données projet'!$A$62,$AF$205^A16,IF(A16='Données projet'!$A$62,'Données projet'!$B$62,AI15+AH16-AQ15)))</f>
        <v>10.320073811043248</v>
      </c>
      <c r="AJ16" s="14">
        <f>AI16*VLOOKUP('Données projet'!$B$10,Paramètres!$A$1:$I$89,3,0)*VLOOKUP('Données projet'!$B$10,Paramètres!$A$1:$I$89,5,0)</f>
        <v>8.049657572613734</v>
      </c>
      <c r="AK16" s="14">
        <f t="shared" si="35"/>
        <v>2.9100267483017022</v>
      </c>
      <c r="AL16" s="22">
        <f t="shared" si="4"/>
        <v>19.088116858927716</v>
      </c>
      <c r="AM16" s="62">
        <f t="shared" si="5"/>
        <v>218.62911711054653</v>
      </c>
      <c r="AN16" s="62">
        <f ca="1">AVERAGE(OFFSET($AM$3,0,0,'Données projet'!$E$10+1,1))-AVERAGE(OFFSET($H$3,0,0,'Données projet'!$E$10+1,1))</f>
        <v>252.45744983674379</v>
      </c>
      <c r="AO16" s="62">
        <f t="shared" si="36"/>
        <v>283.28099819802776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3.56</v>
      </c>
      <c r="BD16" s="13">
        <f>IF('Données projet'!$A$88&gt;35,BD15+BC16-BL15,IF(A16&lt;'Données projet'!$A$88,$BA$205^A16,IF(A16='Données projet'!$A$88,'Données projet'!$B$88,BD15+BC16-BL15)))</f>
        <v>10.320073811043248</v>
      </c>
      <c r="BE16" s="14">
        <f>BD16*VLOOKUP('Données projet'!$B$11,Paramètres!$A$1:$I$89,3,0)*VLOOKUP('Données projet'!$B$11,Paramètres!$A$1:$I$89,5,0)</f>
        <v>8.049657572613734</v>
      </c>
      <c r="BF16" s="14">
        <f t="shared" si="37"/>
        <v>2.9100267483017022</v>
      </c>
      <c r="BG16" s="22">
        <f t="shared" si="7"/>
        <v>19.088116858927716</v>
      </c>
      <c r="BH16" s="62">
        <f t="shared" si="8"/>
        <v>218.62911711054653</v>
      </c>
      <c r="BI16" s="62">
        <f ca="1">AVERAGE(OFFSET($BH$3,0,0,'Données projet'!$E$11+1,1))-AVERAGE(OFFSET($H$3,0,0,'Données projet'!$E$11+1,1))</f>
        <v>252.45744983674379</v>
      </c>
      <c r="BJ16" s="62">
        <f t="shared" si="38"/>
        <v>283.28099819802776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3.56</v>
      </c>
      <c r="BY16" s="13">
        <f>IF('Données projet'!$A$114&gt;35,BY15+BX16-CG15,IF(A16&lt;'Données projet'!$A$114,$BV$205^A16,IF(A16='Données projet'!$A$114,'Données projet'!$B$114,BY15+BX16-CG15)))</f>
        <v>10.320073811043248</v>
      </c>
      <c r="BZ16" s="14">
        <f>BY16*VLOOKUP('Données projet'!$B$12,Paramètres!$A$1:$I$89,3,0)*VLOOKUP('Données projet'!$B$12,Paramètres!$A$1:$I$89,5,0)</f>
        <v>8.049657572613734</v>
      </c>
      <c r="CA16" s="14">
        <f t="shared" si="39"/>
        <v>2.9100267483017022</v>
      </c>
      <c r="CB16" s="22">
        <f t="shared" si="10"/>
        <v>19.088116858927716</v>
      </c>
      <c r="CC16" s="62">
        <f t="shared" si="11"/>
        <v>218.62911711054653</v>
      </c>
      <c r="CD16" s="62">
        <f ca="1">AVERAGE(OFFSET($CC$3,0,0,'Données projet'!$E$12+1,1))-AVERAGE(OFFSET($H$3,0,0,'Données projet'!$E$12+1,1))</f>
        <v>252.45744983674379</v>
      </c>
      <c r="CE16" s="62">
        <f t="shared" si="40"/>
        <v>283.28099819802776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232.33057390045244</v>
      </c>
      <c r="S17" s="62">
        <f ca="1">AVERAGE(OFFSET($R$3,0,0,'Données projet'!$E$9+1,1))-AVERAGE(OFFSET($H$3,0,0,'Données projet'!$E$9+1,1))</f>
        <v>180.76388336802839</v>
      </c>
      <c r="T17" s="62">
        <f t="shared" si="34"/>
        <v>225.35030757566537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3.56</v>
      </c>
      <c r="AI17" s="14">
        <f>IF('Données projet'!$A$62&gt;35,AI16+AH17-AQ16,IF(A17&lt;'Données projet'!$A$62,$AF$205^A17,IF(A17='Données projet'!$A$62,'Données projet'!$B$62,AI16+AH17-AQ16)))</f>
        <v>12.349756756499216</v>
      </c>
      <c r="AJ17" s="14">
        <f>AI17*VLOOKUP('Données projet'!$B$10,Paramètres!$A$1:$I$89,3,0)*VLOOKUP('Données projet'!$B$10,Paramètres!$A$1:$I$89,5,0)</f>
        <v>9.6328102700693883</v>
      </c>
      <c r="AK17" s="14">
        <f t="shared" si="35"/>
        <v>3.4103285541655652</v>
      </c>
      <c r="AL17" s="22">
        <f t="shared" si="4"/>
        <v>22.716800118875877</v>
      </c>
      <c r="AM17" s="62">
        <f t="shared" si="5"/>
        <v>224.74666189114907</v>
      </c>
      <c r="AN17" s="62">
        <f ca="1">AVERAGE(OFFSET($AM$3,0,0,'Données projet'!$E$10+1,1))-AVERAGE(OFFSET($H$3,0,0,'Données projet'!$E$10+1,1))</f>
        <v>252.45744983674379</v>
      </c>
      <c r="AO17" s="62">
        <f t="shared" si="36"/>
        <v>283.28099819802776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3.56</v>
      </c>
      <c r="BD17" s="13">
        <f>IF('Données projet'!$A$88&gt;35,BD16+BC17-BL16,IF(A17&lt;'Données projet'!$A$88,$BA$205^A17,IF(A17='Données projet'!$A$88,'Données projet'!$B$88,BD16+BC17-BL16)))</f>
        <v>12.349756756499216</v>
      </c>
      <c r="BE17" s="14">
        <f>BD17*VLOOKUP('Données projet'!$B$11,Paramètres!$A$1:$I$89,3,0)*VLOOKUP('Données projet'!$B$11,Paramètres!$A$1:$I$89,5,0)</f>
        <v>9.6328102700693883</v>
      </c>
      <c r="BF17" s="14">
        <f t="shared" si="37"/>
        <v>3.4103285541655652</v>
      </c>
      <c r="BG17" s="22">
        <f t="shared" si="7"/>
        <v>22.716800118875877</v>
      </c>
      <c r="BH17" s="62">
        <f t="shared" si="8"/>
        <v>224.74666189114907</v>
      </c>
      <c r="BI17" s="62">
        <f ca="1">AVERAGE(OFFSET($BH$3,0,0,'Données projet'!$E$11+1,1))-AVERAGE(OFFSET($H$3,0,0,'Données projet'!$E$11+1,1))</f>
        <v>252.45744983674379</v>
      </c>
      <c r="BJ17" s="62">
        <f t="shared" si="38"/>
        <v>283.28099819802776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3.56</v>
      </c>
      <c r="BY17" s="13">
        <f>IF('Données projet'!$A$114&gt;35,BY16+BX17-CG16,IF(A17&lt;'Données projet'!$A$114,$BV$205^A17,IF(A17='Données projet'!$A$114,'Données projet'!$B$114,BY16+BX17-CG16)))</f>
        <v>12.349756756499216</v>
      </c>
      <c r="BZ17" s="14">
        <f>BY17*VLOOKUP('Données projet'!$B$12,Paramètres!$A$1:$I$89,3,0)*VLOOKUP('Données projet'!$B$12,Paramètres!$A$1:$I$89,5,0)</f>
        <v>9.6328102700693883</v>
      </c>
      <c r="CA17" s="14">
        <f t="shared" si="39"/>
        <v>3.4103285541655652</v>
      </c>
      <c r="CB17" s="22">
        <f t="shared" si="10"/>
        <v>22.716800118875877</v>
      </c>
      <c r="CC17" s="62">
        <f t="shared" si="11"/>
        <v>224.74666189114907</v>
      </c>
      <c r="CD17" s="62">
        <f ca="1">AVERAGE(OFFSET($CC$3,0,0,'Données projet'!$E$12+1,1))-AVERAGE(OFFSET($H$3,0,0,'Données projet'!$E$12+1,1))</f>
        <v>252.45744983674379</v>
      </c>
      <c r="CE17" s="62">
        <f t="shared" si="40"/>
        <v>283.28099819802776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242.64394483778028</v>
      </c>
      <c r="S18" s="62">
        <f ca="1">AVERAGE(OFFSET($R$3,0,0,'Données projet'!$E$9+1,1))-AVERAGE(OFFSET($H$3,0,0,'Données projet'!$E$9+1,1))</f>
        <v>180.76388336802839</v>
      </c>
      <c r="T18" s="62">
        <f t="shared" si="34"/>
        <v>225.35030757566537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3.56</v>
      </c>
      <c r="AI18" s="14">
        <f>IF('Données projet'!$A$62&gt;35,AI17+AH18-AQ17,IF(A18&lt;'Données projet'!$A$62,$AF$205^A18,IF(A18='Données projet'!$A$62,'Données projet'!$B$62,AI17+AH18-AQ17)))</f>
        <v>14.778624139441142</v>
      </c>
      <c r="AJ18" s="14">
        <f>AI18*VLOOKUP('Données projet'!$B$10,Paramètres!$A$1:$I$89,3,0)*VLOOKUP('Données projet'!$B$10,Paramètres!$A$1:$I$89,5,0)</f>
        <v>11.527326828764091</v>
      </c>
      <c r="AK18" s="14">
        <f t="shared" si="35"/>
        <v>3.9966439669822584</v>
      </c>
      <c r="AL18" s="22">
        <f t="shared" si="4"/>
        <v>27.037582469258226</v>
      </c>
      <c r="AM18" s="62">
        <f t="shared" si="5"/>
        <v>231.53433240213928</v>
      </c>
      <c r="AN18" s="62">
        <f ca="1">AVERAGE(OFFSET($AM$3,0,0,'Données projet'!$E$10+1,1))-AVERAGE(OFFSET($H$3,0,0,'Données projet'!$E$10+1,1))</f>
        <v>252.45744983674379</v>
      </c>
      <c r="AO18" s="62">
        <f t="shared" si="36"/>
        <v>283.28099819802776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3.56</v>
      </c>
      <c r="BD18" s="13">
        <f>IF('Données projet'!$A$88&gt;35,BD17+BC18-BL17,IF(A18&lt;'Données projet'!$A$88,$BA$205^A18,IF(A18='Données projet'!$A$88,'Données projet'!$B$88,BD17+BC18-BL17)))</f>
        <v>14.778624139441142</v>
      </c>
      <c r="BE18" s="14">
        <f>BD18*VLOOKUP('Données projet'!$B$11,Paramètres!$A$1:$I$89,3,0)*VLOOKUP('Données projet'!$B$11,Paramètres!$A$1:$I$89,5,0)</f>
        <v>11.527326828764091</v>
      </c>
      <c r="BF18" s="14">
        <f t="shared" si="37"/>
        <v>3.9966439669822584</v>
      </c>
      <c r="BG18" s="22">
        <f t="shared" si="7"/>
        <v>27.037582469258226</v>
      </c>
      <c r="BH18" s="62">
        <f t="shared" si="8"/>
        <v>231.53433240213928</v>
      </c>
      <c r="BI18" s="62">
        <f ca="1">AVERAGE(OFFSET($BH$3,0,0,'Données projet'!$E$11+1,1))-AVERAGE(OFFSET($H$3,0,0,'Données projet'!$E$11+1,1))</f>
        <v>252.45744983674379</v>
      </c>
      <c r="BJ18" s="62">
        <f t="shared" si="38"/>
        <v>283.28099819802776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3.56</v>
      </c>
      <c r="BY18" s="13">
        <f>IF('Données projet'!$A$114&gt;35,BY17+BX18-CG17,IF(A18&lt;'Données projet'!$A$114,$BV$205^A18,IF(A18='Données projet'!$A$114,'Données projet'!$B$114,BY17+BX18-CG17)))</f>
        <v>14.778624139441142</v>
      </c>
      <c r="BZ18" s="14">
        <f>BY18*VLOOKUP('Données projet'!$B$12,Paramètres!$A$1:$I$89,3,0)*VLOOKUP('Données projet'!$B$12,Paramètres!$A$1:$I$89,5,0)</f>
        <v>11.527326828764091</v>
      </c>
      <c r="CA18" s="14">
        <f t="shared" si="39"/>
        <v>3.9966439669822584</v>
      </c>
      <c r="CB18" s="22">
        <f t="shared" si="10"/>
        <v>27.037582469258226</v>
      </c>
      <c r="CC18" s="62">
        <f t="shared" si="11"/>
        <v>231.53433240213928</v>
      </c>
      <c r="CD18" s="62">
        <f ca="1">AVERAGE(OFFSET($CC$3,0,0,'Données projet'!$E$12+1,1))-AVERAGE(OFFSET($H$3,0,0,'Données projet'!$E$12+1,1))</f>
        <v>252.45744983674379</v>
      </c>
      <c r="CE18" s="62">
        <f t="shared" si="40"/>
        <v>283.28099819802776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254.97446065131192</v>
      </c>
      <c r="S19" s="62">
        <f ca="1">AVERAGE(OFFSET($R$3,0,0,'Données projet'!$E$9+1,1))-AVERAGE(OFFSET($H$3,0,0,'Données projet'!$E$9+1,1))</f>
        <v>180.76388336802839</v>
      </c>
      <c r="T19" s="62">
        <f t="shared" si="34"/>
        <v>225.35030757566537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3.56</v>
      </c>
      <c r="AI19" s="14">
        <f>IF('Données projet'!$A$62&gt;35,AI18+AH19-AQ18,IF(A19&lt;'Données projet'!$A$62,$AF$205^A19,IF(A19='Données projet'!$A$62,'Données projet'!$B$62,AI18+AH19-AQ18)))</f>
        <v>17.68518487944571</v>
      </c>
      <c r="AJ19" s="14">
        <f>AI19*VLOOKUP('Données projet'!$B$10,Paramètres!$A$1:$I$89,3,0)*VLOOKUP('Données projet'!$B$10,Paramètres!$A$1:$I$89,5,0)</f>
        <v>13.794444205967654</v>
      </c>
      <c r="AK19" s="14">
        <f t="shared" si="35"/>
        <v>4.6837607418514473</v>
      </c>
      <c r="AL19" s="22">
        <f t="shared" si="4"/>
        <v>32.182873617451598</v>
      </c>
      <c r="AM19" s="62">
        <f t="shared" si="5"/>
        <v>239.12491953956567</v>
      </c>
      <c r="AN19" s="62">
        <f ca="1">AVERAGE(OFFSET($AM$3,0,0,'Données projet'!$E$10+1,1))-AVERAGE(OFFSET($H$3,0,0,'Données projet'!$E$10+1,1))</f>
        <v>252.45744983674379</v>
      </c>
      <c r="AO19" s="62">
        <f t="shared" si="36"/>
        <v>283.28099819802776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3.56</v>
      </c>
      <c r="BD19" s="13">
        <f>IF('Données projet'!$A$88&gt;35,BD18+BC19-BL18,IF(A19&lt;'Données projet'!$A$88,$BA$205^A19,IF(A19='Données projet'!$A$88,'Données projet'!$B$88,BD18+BC19-BL18)))</f>
        <v>17.68518487944571</v>
      </c>
      <c r="BE19" s="14">
        <f>BD19*VLOOKUP('Données projet'!$B$11,Paramètres!$A$1:$I$89,3,0)*VLOOKUP('Données projet'!$B$11,Paramètres!$A$1:$I$89,5,0)</f>
        <v>13.794444205967654</v>
      </c>
      <c r="BF19" s="14">
        <f t="shared" si="37"/>
        <v>4.6837607418514473</v>
      </c>
      <c r="BG19" s="22">
        <f t="shared" si="7"/>
        <v>32.182873617451598</v>
      </c>
      <c r="BH19" s="62">
        <f t="shared" si="8"/>
        <v>239.12491953956567</v>
      </c>
      <c r="BI19" s="62">
        <f ca="1">AVERAGE(OFFSET($BH$3,0,0,'Données projet'!$E$11+1,1))-AVERAGE(OFFSET($H$3,0,0,'Données projet'!$E$11+1,1))</f>
        <v>252.45744983674379</v>
      </c>
      <c r="BJ19" s="62">
        <f t="shared" si="38"/>
        <v>283.28099819802776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3.56</v>
      </c>
      <c r="BY19" s="13">
        <f>IF('Données projet'!$A$114&gt;35,BY18+BX19-CG18,IF(A19&lt;'Données projet'!$A$114,$BV$205^A19,IF(A19='Données projet'!$A$114,'Données projet'!$B$114,BY18+BX19-CG18)))</f>
        <v>17.68518487944571</v>
      </c>
      <c r="BZ19" s="14">
        <f>BY19*VLOOKUP('Données projet'!$B$12,Paramètres!$A$1:$I$89,3,0)*VLOOKUP('Données projet'!$B$12,Paramètres!$A$1:$I$89,5,0)</f>
        <v>13.794444205967654</v>
      </c>
      <c r="CA19" s="14">
        <f t="shared" si="39"/>
        <v>4.6837607418514473</v>
      </c>
      <c r="CB19" s="22">
        <f t="shared" si="10"/>
        <v>32.182873617451598</v>
      </c>
      <c r="CC19" s="62">
        <f t="shared" si="11"/>
        <v>239.12491953956567</v>
      </c>
      <c r="CD19" s="62">
        <f ca="1">AVERAGE(OFFSET($CC$3,0,0,'Données projet'!$E$12+1,1))-AVERAGE(OFFSET($H$3,0,0,'Données projet'!$E$12+1,1))</f>
        <v>252.45744983674379</v>
      </c>
      <c r="CE19" s="62">
        <f t="shared" si="40"/>
        <v>283.28099819802776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269.85387169226249</v>
      </c>
      <c r="S20" s="62">
        <f ca="1">AVERAGE(OFFSET($R$3,0,0,'Données projet'!$E$9+1,1))-AVERAGE(OFFSET($H$3,0,0,'Données projet'!$E$9+1,1))</f>
        <v>180.76388336802839</v>
      </c>
      <c r="T20" s="62">
        <f t="shared" si="34"/>
        <v>225.35030757566537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3.56</v>
      </c>
      <c r="AI20" s="14">
        <f>IF('Données projet'!$A$62&gt;35,AI19+AH20-AQ19,IF(A20&lt;'Données projet'!$A$62,$AF$205^A20,IF(A20='Données projet'!$A$62,'Données projet'!$B$62,AI19+AH20-AQ19)))</f>
        <v>21.163388504175224</v>
      </c>
      <c r="AJ20" s="14">
        <f>AI20*VLOOKUP('Données projet'!$B$10,Paramètres!$A$1:$I$89,3,0)*VLOOKUP('Données projet'!$B$10,Paramètres!$A$1:$I$89,5,0)</f>
        <v>16.507443033256674</v>
      </c>
      <c r="AK20" s="14">
        <f t="shared" si="35"/>
        <v>5.4890089955831698</v>
      </c>
      <c r="AL20" s="22">
        <f t="shared" si="4"/>
        <v>38.310487283562729</v>
      </c>
      <c r="AM20" s="62">
        <f t="shared" si="5"/>
        <v>247.67661159943546</v>
      </c>
      <c r="AN20" s="62">
        <f ca="1">AVERAGE(OFFSET($AM$3,0,0,'Données projet'!$E$10+1,1))-AVERAGE(OFFSET($H$3,0,0,'Données projet'!$E$10+1,1))</f>
        <v>252.45744983674379</v>
      </c>
      <c r="AO20" s="62">
        <f t="shared" si="36"/>
        <v>283.28099819802776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3.56</v>
      </c>
      <c r="BD20" s="13">
        <f>IF('Données projet'!$A$88&gt;35,BD19+BC20-BL19,IF(A20&lt;'Données projet'!$A$88,$BA$205^A20,IF(A20='Données projet'!$A$88,'Données projet'!$B$88,BD19+BC20-BL19)))</f>
        <v>21.163388504175224</v>
      </c>
      <c r="BE20" s="14">
        <f>BD20*VLOOKUP('Données projet'!$B$11,Paramètres!$A$1:$I$89,3,0)*VLOOKUP('Données projet'!$B$11,Paramètres!$A$1:$I$89,5,0)</f>
        <v>16.507443033256674</v>
      </c>
      <c r="BF20" s="14">
        <f t="shared" si="37"/>
        <v>5.4890089955831698</v>
      </c>
      <c r="BG20" s="22">
        <f t="shared" si="7"/>
        <v>38.310487283562729</v>
      </c>
      <c r="BH20" s="62">
        <f t="shared" si="8"/>
        <v>247.67661159943546</v>
      </c>
      <c r="BI20" s="62">
        <f ca="1">AVERAGE(OFFSET($BH$3,0,0,'Données projet'!$E$11+1,1))-AVERAGE(OFFSET($H$3,0,0,'Données projet'!$E$11+1,1))</f>
        <v>252.45744983674379</v>
      </c>
      <c r="BJ20" s="62">
        <f t="shared" si="38"/>
        <v>283.28099819802776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3.56</v>
      </c>
      <c r="BY20" s="13">
        <f>IF('Données projet'!$A$114&gt;35,BY19+BX20-CG19,IF(A20&lt;'Données projet'!$A$114,$BV$205^A20,IF(A20='Données projet'!$A$114,'Données projet'!$B$114,BY19+BX20-CG19)))</f>
        <v>21.163388504175224</v>
      </c>
      <c r="BZ20" s="14">
        <f>BY20*VLOOKUP('Données projet'!$B$12,Paramètres!$A$1:$I$89,3,0)*VLOOKUP('Données projet'!$B$12,Paramètres!$A$1:$I$89,5,0)</f>
        <v>16.507443033256674</v>
      </c>
      <c r="CA20" s="14">
        <f t="shared" si="39"/>
        <v>5.4890089955831698</v>
      </c>
      <c r="CB20" s="22">
        <f t="shared" si="10"/>
        <v>38.310487283562729</v>
      </c>
      <c r="CC20" s="62">
        <f t="shared" si="11"/>
        <v>247.67661159943546</v>
      </c>
      <c r="CD20" s="62">
        <f ca="1">AVERAGE(OFFSET($CC$3,0,0,'Données projet'!$E$12+1,1))-AVERAGE(OFFSET($H$3,0,0,'Données projet'!$E$12+1,1))</f>
        <v>252.45744983674379</v>
      </c>
      <c r="CE20" s="62">
        <f t="shared" si="40"/>
        <v>283.28099819802776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287.95281706796129</v>
      </c>
      <c r="S21" s="62">
        <f ca="1">AVERAGE(OFFSET($R$3,0,0,'Données projet'!$E$9+1,1))-AVERAGE(OFFSET($H$3,0,0,'Données projet'!$E$9+1,1))</f>
        <v>180.76388336802839</v>
      </c>
      <c r="T21" s="62">
        <f t="shared" si="34"/>
        <v>225.35030757566537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3.56</v>
      </c>
      <c r="AI21" s="14">
        <f>IF('Données projet'!$A$62&gt;35,AI20+AH21-AQ20,IF(A21&lt;'Données projet'!$A$62,$AF$205^A21,IF(A21='Données projet'!$A$62,'Données projet'!$B$62,AI20+AH21-AQ20)))</f>
        <v>25.325661904683113</v>
      </c>
      <c r="AJ21" s="14">
        <f>AI21*VLOOKUP('Données projet'!$B$10,Paramètres!$A$1:$I$89,3,0)*VLOOKUP('Données projet'!$B$10,Paramètres!$A$1:$I$89,5,0)</f>
        <v>19.754016285652828</v>
      </c>
      <c r="AK21" s="14">
        <f t="shared" si="35"/>
        <v>6.4326982982660121</v>
      </c>
      <c r="AL21" s="22">
        <f t="shared" si="4"/>
        <v>45.608527900325306</v>
      </c>
      <c r="AM21" s="62">
        <f t="shared" si="5"/>
        <v>257.37788109232844</v>
      </c>
      <c r="AN21" s="62">
        <f ca="1">AVERAGE(OFFSET($AM$3,0,0,'Données projet'!$E$10+1,1))-AVERAGE(OFFSET($H$3,0,0,'Données projet'!$E$10+1,1))</f>
        <v>252.45744983674379</v>
      </c>
      <c r="AO21" s="62">
        <f t="shared" si="36"/>
        <v>283.28099819802776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3.56</v>
      </c>
      <c r="BD21" s="13">
        <f>IF('Données projet'!$A$88&gt;35,BD20+BC21-BL20,IF(A21&lt;'Données projet'!$A$88,$BA$205^A21,IF(A21='Données projet'!$A$88,'Données projet'!$B$88,BD20+BC21-BL20)))</f>
        <v>25.325661904683113</v>
      </c>
      <c r="BE21" s="14">
        <f>BD21*VLOOKUP('Données projet'!$B$11,Paramètres!$A$1:$I$89,3,0)*VLOOKUP('Données projet'!$B$11,Paramètres!$A$1:$I$89,5,0)</f>
        <v>19.754016285652828</v>
      </c>
      <c r="BF21" s="14">
        <f t="shared" si="37"/>
        <v>6.4326982982660121</v>
      </c>
      <c r="BG21" s="22">
        <f t="shared" si="7"/>
        <v>45.608527900325306</v>
      </c>
      <c r="BH21" s="62">
        <f t="shared" si="8"/>
        <v>257.37788109232844</v>
      </c>
      <c r="BI21" s="62">
        <f ca="1">AVERAGE(OFFSET($BH$3,0,0,'Données projet'!$E$11+1,1))-AVERAGE(OFFSET($H$3,0,0,'Données projet'!$E$11+1,1))</f>
        <v>252.45744983674379</v>
      </c>
      <c r="BJ21" s="62">
        <f t="shared" si="38"/>
        <v>283.28099819802776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3.56</v>
      </c>
      <c r="BY21" s="13">
        <f>IF('Données projet'!$A$114&gt;35,BY20+BX21-CG20,IF(A21&lt;'Données projet'!$A$114,$BV$205^A21,IF(A21='Données projet'!$A$114,'Données projet'!$B$114,BY20+BX21-CG20)))</f>
        <v>25.325661904683113</v>
      </c>
      <c r="BZ21" s="14">
        <f>BY21*VLOOKUP('Données projet'!$B$12,Paramètres!$A$1:$I$89,3,0)*VLOOKUP('Données projet'!$B$12,Paramètres!$A$1:$I$89,5,0)</f>
        <v>19.754016285652828</v>
      </c>
      <c r="CA21" s="14">
        <f t="shared" si="39"/>
        <v>6.4326982982660121</v>
      </c>
      <c r="CB21" s="22">
        <f t="shared" si="10"/>
        <v>45.608527900325306</v>
      </c>
      <c r="CC21" s="62">
        <f t="shared" si="11"/>
        <v>257.37788109232844</v>
      </c>
      <c r="CD21" s="62">
        <f ca="1">AVERAGE(OFFSET($CC$3,0,0,'Données projet'!$E$12+1,1))-AVERAGE(OFFSET($H$3,0,0,'Données projet'!$E$12+1,1))</f>
        <v>252.45744983674379</v>
      </c>
      <c r="CE21" s="62">
        <f t="shared" si="40"/>
        <v>283.28099819802776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310.11722557841688</v>
      </c>
      <c r="S22" s="62">
        <f ca="1">AVERAGE(OFFSET($R$3,0,0,'Données projet'!$E$9+1,1))-AVERAGE(OFFSET($H$3,0,0,'Données projet'!$E$9+1,1))</f>
        <v>180.76388336802839</v>
      </c>
      <c r="T22" s="62">
        <f t="shared" si="34"/>
        <v>225.35030757566537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3.56</v>
      </c>
      <c r="AI22" s="14">
        <f>IF('Données projet'!$A$62&gt;35,AI21+AH22-AQ21,IF(A22&lt;'Données projet'!$A$62,$AF$205^A22,IF(A22='Données projet'!$A$62,'Données projet'!$B$62,AI21+AH22-AQ21)))</f>
        <v>30.306543339398647</v>
      </c>
      <c r="AJ22" s="14">
        <f>AI22*VLOOKUP('Données projet'!$B$10,Paramètres!$A$1:$I$89,3,0)*VLOOKUP('Données projet'!$B$10,Paramètres!$A$1:$I$89,5,0)</f>
        <v>23.639103804730947</v>
      </c>
      <c r="AK22" s="14">
        <f t="shared" si="35"/>
        <v>7.5386299111208031</v>
      </c>
      <c r="AL22" s="22">
        <f t="shared" si="4"/>
        <v>54.301219555108467</v>
      </c>
      <c r="AM22" s="62">
        <f t="shared" si="5"/>
        <v>268.453313798132</v>
      </c>
      <c r="AN22" s="62">
        <f ca="1">AVERAGE(OFFSET($AM$3,0,0,'Données projet'!$E$10+1,1))-AVERAGE(OFFSET($H$3,0,0,'Données projet'!$E$10+1,1))</f>
        <v>252.45744983674379</v>
      </c>
      <c r="AO22" s="62">
        <f t="shared" si="36"/>
        <v>283.28099819802776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3.56</v>
      </c>
      <c r="BD22" s="13">
        <f>IF('Données projet'!$A$88&gt;35,BD21+BC22-BL21,IF(A22&lt;'Données projet'!$A$88,$BA$205^A22,IF(A22='Données projet'!$A$88,'Données projet'!$B$88,BD21+BC22-BL21)))</f>
        <v>30.306543339398647</v>
      </c>
      <c r="BE22" s="14">
        <f>BD22*VLOOKUP('Données projet'!$B$11,Paramètres!$A$1:$I$89,3,0)*VLOOKUP('Données projet'!$B$11,Paramètres!$A$1:$I$89,5,0)</f>
        <v>23.639103804730947</v>
      </c>
      <c r="BF22" s="14">
        <f t="shared" si="37"/>
        <v>7.5386299111208031</v>
      </c>
      <c r="BG22" s="22">
        <f t="shared" si="7"/>
        <v>54.301219555108467</v>
      </c>
      <c r="BH22" s="62">
        <f t="shared" si="8"/>
        <v>268.453313798132</v>
      </c>
      <c r="BI22" s="62">
        <f ca="1">AVERAGE(OFFSET($BH$3,0,0,'Données projet'!$E$11+1,1))-AVERAGE(OFFSET($H$3,0,0,'Données projet'!$E$11+1,1))</f>
        <v>252.45744983674379</v>
      </c>
      <c r="BJ22" s="62">
        <f t="shared" si="38"/>
        <v>283.28099819802776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3.56</v>
      </c>
      <c r="BY22" s="13">
        <f>IF('Données projet'!$A$114&gt;35,BY21+BX22-CG21,IF(A22&lt;'Données projet'!$A$114,$BV$205^A22,IF(A22='Données projet'!$A$114,'Données projet'!$B$114,BY21+BX22-CG21)))</f>
        <v>30.306543339398647</v>
      </c>
      <c r="BZ22" s="14">
        <f>BY22*VLOOKUP('Données projet'!$B$12,Paramètres!$A$1:$I$89,3,0)*VLOOKUP('Données projet'!$B$12,Paramètres!$A$1:$I$89,5,0)</f>
        <v>23.639103804730947</v>
      </c>
      <c r="CA22" s="14">
        <f t="shared" si="39"/>
        <v>7.5386299111208031</v>
      </c>
      <c r="CB22" s="22">
        <f t="shared" si="10"/>
        <v>54.301219555108467</v>
      </c>
      <c r="CC22" s="62">
        <f t="shared" si="11"/>
        <v>268.453313798132</v>
      </c>
      <c r="CD22" s="62">
        <f ca="1">AVERAGE(OFFSET($CC$3,0,0,'Données projet'!$E$12+1,1))-AVERAGE(OFFSET($H$3,0,0,'Données projet'!$E$12+1,1))</f>
        <v>252.45744983674379</v>
      </c>
      <c r="CE22" s="62">
        <f t="shared" si="40"/>
        <v>283.28099819802776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337.41427911790799</v>
      </c>
      <c r="S23" s="62">
        <f ca="1">AVERAGE(OFFSET($R$3,0,0,'Données projet'!$E$9+1,1))-AVERAGE(OFFSET($H$3,0,0,'Données projet'!$E$9+1,1))</f>
        <v>180.76388336802839</v>
      </c>
      <c r="T23" s="62">
        <f t="shared" si="34"/>
        <v>225.35030757566537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17.25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0.22000000000000003</v>
      </c>
      <c r="Y23" s="17">
        <f>IF(ISNA(VLOOKUP(A23,'Données projet'!$A$35:$I$55,7,0)),0%,VLOOKUP(A23,'Données projet'!$A$35:$I$55,7,0))</f>
        <v>0.6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2.3467813683907379</v>
      </c>
      <c r="AB23" s="23">
        <f>EXP(-LN(2)/2)*AB22+(1-EXP(-LN(2)/2))/(LN(2)/2)*V23*Y23*VLOOKUP('Données projet'!$B$9,Paramètres!$A$1:$I$89,3,0)*0.475*44/12</f>
        <v>5.4843068027586943</v>
      </c>
      <c r="AC23" s="24">
        <f t="shared" si="3"/>
        <v>7.8310881711494318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3.56</v>
      </c>
      <c r="AI23" s="14">
        <f>IF('Données projet'!$A$62&gt;35,AI22+AH23-AQ22,IF(A23&lt;'Données projet'!$A$62,$AF$205^A23,IF(A23='Données projet'!$A$62,'Données projet'!$B$62,AI22+AH23-AQ22)))</f>
        <v>36.267031149657967</v>
      </c>
      <c r="AJ23" s="14">
        <f>AI23*VLOOKUP('Données projet'!$B$10,Paramètres!$A$1:$I$89,3,0)*VLOOKUP('Données projet'!$B$10,Paramètres!$A$1:$I$89,5,0)</f>
        <v>28.288284296733217</v>
      </c>
      <c r="AK23" s="14">
        <f t="shared" si="35"/>
        <v>8.834697090047662</v>
      </c>
      <c r="AL23" s="22">
        <f t="shared" si="4"/>
        <v>64.655859248643353</v>
      </c>
      <c r="AM23" s="62">
        <f t="shared" si="5"/>
        <v>281.17056213553906</v>
      </c>
      <c r="AN23" s="62">
        <f ca="1">AVERAGE(OFFSET($AM$3,0,0,'Données projet'!$E$10+1,1))-AVERAGE(OFFSET($H$3,0,0,'Données projet'!$E$10+1,1))</f>
        <v>252.45744983674379</v>
      </c>
      <c r="AO23" s="62">
        <f t="shared" si="36"/>
        <v>283.28099819802776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3.56</v>
      </c>
      <c r="BD23" s="13">
        <f>IF('Données projet'!$A$88&gt;35,BD22+BC23-BL22,IF(A23&lt;'Données projet'!$A$88,$BA$205^A23,IF(A23='Données projet'!$A$88,'Données projet'!$B$88,BD22+BC23-BL22)))</f>
        <v>36.267031149657967</v>
      </c>
      <c r="BE23" s="14">
        <f>BD23*VLOOKUP('Données projet'!$B$11,Paramètres!$A$1:$I$89,3,0)*VLOOKUP('Données projet'!$B$11,Paramètres!$A$1:$I$89,5,0)</f>
        <v>28.288284296733217</v>
      </c>
      <c r="BF23" s="14">
        <f t="shared" si="37"/>
        <v>8.834697090047662</v>
      </c>
      <c r="BG23" s="22">
        <f t="shared" si="7"/>
        <v>64.655859248643353</v>
      </c>
      <c r="BH23" s="62">
        <f t="shared" si="8"/>
        <v>281.17056213553906</v>
      </c>
      <c r="BI23" s="62">
        <f ca="1">AVERAGE(OFFSET($BH$3,0,0,'Données projet'!$E$11+1,1))-AVERAGE(OFFSET($H$3,0,0,'Données projet'!$E$11+1,1))</f>
        <v>252.45744983674379</v>
      </c>
      <c r="BJ23" s="62">
        <f t="shared" si="38"/>
        <v>283.28099819802776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3.56</v>
      </c>
      <c r="BY23" s="13">
        <f>IF('Données projet'!$A$114&gt;35,BY22+BX23-CG22,IF(A23&lt;'Données projet'!$A$114,$BV$205^A23,IF(A23='Données projet'!$A$114,'Données projet'!$B$114,BY22+BX23-CG22)))</f>
        <v>36.267031149657967</v>
      </c>
      <c r="BZ23" s="14">
        <f>BY23*VLOOKUP('Données projet'!$B$12,Paramètres!$A$1:$I$89,3,0)*VLOOKUP('Données projet'!$B$12,Paramètres!$A$1:$I$89,5,0)</f>
        <v>28.288284296733217</v>
      </c>
      <c r="CA23" s="14">
        <f t="shared" si="39"/>
        <v>8.834697090047662</v>
      </c>
      <c r="CB23" s="22">
        <f t="shared" si="10"/>
        <v>64.655859248643353</v>
      </c>
      <c r="CC23" s="62">
        <f t="shared" si="11"/>
        <v>281.17056213553906</v>
      </c>
      <c r="CD23" s="62">
        <f ca="1">AVERAGE(OFFSET($CC$3,0,0,'Données projet'!$E$12+1,1))-AVERAGE(OFFSET($H$3,0,0,'Données projet'!$E$12+1,1))</f>
        <v>252.45744983674379</v>
      </c>
      <c r="CE23" s="62">
        <f t="shared" si="40"/>
        <v>283.28099819802776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104.25</v>
      </c>
      <c r="O24" s="14">
        <f>N24*VLOOKUP('Données projet'!$B$9,Paramètres!$A$1:$I$89,3,0)*VLOOKUP('Données projet'!$B$9,Paramètres!$A$1:$I$89,5,0)</f>
        <v>48.789000000000001</v>
      </c>
      <c r="P24" s="14">
        <f t="shared" si="33"/>
        <v>14.300568759408085</v>
      </c>
      <c r="Q24" s="22">
        <f t="shared" si="2"/>
        <v>109.88099892263575</v>
      </c>
      <c r="R24" s="62">
        <f t="shared" si="0"/>
        <v>328.73852729851012</v>
      </c>
      <c r="S24" s="62">
        <f ca="1">AVERAGE(OFFSET($R$3,0,0,'Données projet'!$E$9+1,1))-AVERAGE(OFFSET($H$3,0,0,'Données projet'!$E$9+1,1))</f>
        <v>180.76388336802839</v>
      </c>
      <c r="T24" s="62">
        <f t="shared" si="34"/>
        <v>225.35030757566537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2.2826085084602248</v>
      </c>
      <c r="AB24" s="23">
        <f>EXP(-LN(2)/2)*AB23+(1-EXP(-LN(2)/2))/(LN(2)/2)*V24*Y24*VLOOKUP('Données projet'!$B$9,Paramètres!$A$1:$I$89,3,0)*0.475*44/12</f>
        <v>3.8779905303381863</v>
      </c>
      <c r="AC24" s="24">
        <f t="shared" si="3"/>
        <v>6.1605990387984111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3.56</v>
      </c>
      <c r="AI24" s="14">
        <f>IF('Données projet'!$A$62&gt;35,AI23+AH24-AQ23,IF(A24&lt;'Données projet'!$A$62,$AF$205^A24,IF(A24='Données projet'!$A$62,'Données projet'!$B$62,AI23+AH24-AQ23)))</f>
        <v>43.399787751457886</v>
      </c>
      <c r="AJ24" s="14">
        <f>AI24*VLOOKUP('Données projet'!$B$10,Paramètres!$A$1:$I$89,3,0)*VLOOKUP('Données projet'!$B$10,Paramètres!$A$1:$I$89,5,0)</f>
        <v>33.851834446137154</v>
      </c>
      <c r="AK24" s="14">
        <f t="shared" si="35"/>
        <v>10.353588595423204</v>
      </c>
      <c r="AL24" s="22">
        <f t="shared" si="4"/>
        <v>76.991111797384278</v>
      </c>
      <c r="AM24" s="62">
        <f t="shared" si="5"/>
        <v>295.84864017325867</v>
      </c>
      <c r="AN24" s="62">
        <f ca="1">AVERAGE(OFFSET($AM$3,0,0,'Données projet'!$E$10+1,1))-AVERAGE(OFFSET($H$3,0,0,'Données projet'!$E$10+1,1))</f>
        <v>252.45744983674379</v>
      </c>
      <c r="AO24" s="62">
        <f t="shared" si="36"/>
        <v>283.28099819802776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3.56</v>
      </c>
      <c r="BD24" s="13">
        <f>IF('Données projet'!$A$88&gt;35,BD23+BC24-BL23,IF(A24&lt;'Données projet'!$A$88,$BA$205^A24,IF(A24='Données projet'!$A$88,'Données projet'!$B$88,BD23+BC24-BL23)))</f>
        <v>43.399787751457886</v>
      </c>
      <c r="BE24" s="14">
        <f>BD24*VLOOKUP('Données projet'!$B$11,Paramètres!$A$1:$I$89,3,0)*VLOOKUP('Données projet'!$B$11,Paramètres!$A$1:$I$89,5,0)</f>
        <v>33.851834446137154</v>
      </c>
      <c r="BF24" s="14">
        <f t="shared" si="37"/>
        <v>10.353588595423204</v>
      </c>
      <c r="BG24" s="22">
        <f t="shared" si="7"/>
        <v>76.991111797384278</v>
      </c>
      <c r="BH24" s="62">
        <f t="shared" si="8"/>
        <v>295.84864017325867</v>
      </c>
      <c r="BI24" s="62">
        <f ca="1">AVERAGE(OFFSET($BH$3,0,0,'Données projet'!$E$11+1,1))-AVERAGE(OFFSET($H$3,0,0,'Données projet'!$E$11+1,1))</f>
        <v>252.45744983674379</v>
      </c>
      <c r="BJ24" s="62">
        <f t="shared" si="38"/>
        <v>283.28099819802776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3.56</v>
      </c>
      <c r="BY24" s="13">
        <f>IF('Données projet'!$A$114&gt;35,BY23+BX24-CG23,IF(A24&lt;'Données projet'!$A$114,$BV$205^A24,IF(A24='Données projet'!$A$114,'Données projet'!$B$114,BY23+BX24-CG23)))</f>
        <v>43.399787751457886</v>
      </c>
      <c r="BZ24" s="14">
        <f>BY24*VLOOKUP('Données projet'!$B$12,Paramètres!$A$1:$I$89,3,0)*VLOOKUP('Données projet'!$B$12,Paramètres!$A$1:$I$89,5,0)</f>
        <v>33.851834446137154</v>
      </c>
      <c r="CA24" s="14">
        <f t="shared" si="39"/>
        <v>10.353588595423204</v>
      </c>
      <c r="CB24" s="22">
        <f t="shared" si="10"/>
        <v>76.991111797384278</v>
      </c>
      <c r="CC24" s="62">
        <f t="shared" si="11"/>
        <v>295.84864017325867</v>
      </c>
      <c r="CD24" s="62">
        <f ca="1">AVERAGE(OFFSET($CC$3,0,0,'Données projet'!$E$12+1,1))-AVERAGE(OFFSET($H$3,0,0,'Données projet'!$E$12+1,1))</f>
        <v>252.45744983674379</v>
      </c>
      <c r="CE24" s="62">
        <f t="shared" si="40"/>
        <v>283.28099819802776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110.75</v>
      </c>
      <c r="O25" s="14">
        <f>N25*VLOOKUP('Données projet'!$B$9,Paramètres!$A$1:$I$89,3,0)*VLOOKUP('Données projet'!$B$9,Paramètres!$A$1:$I$89,5,0)</f>
        <v>51.830999999999996</v>
      </c>
      <c r="P25" s="14">
        <f t="shared" si="33"/>
        <v>15.085629064849899</v>
      </c>
      <c r="Q25" s="22">
        <f t="shared" si="2"/>
        <v>116.54646228794691</v>
      </c>
      <c r="R25" s="62">
        <f t="shared" si="0"/>
        <v>337.72737619141532</v>
      </c>
      <c r="S25" s="62">
        <f ca="1">AVERAGE(OFFSET($R$3,0,0,'Données projet'!$E$9+1,1))-AVERAGE(OFFSET($H$3,0,0,'Données projet'!$E$9+1,1))</f>
        <v>180.76388336802839</v>
      </c>
      <c r="T25" s="62">
        <f t="shared" si="34"/>
        <v>225.35030757566537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2.2201904587592156</v>
      </c>
      <c r="AB25" s="23">
        <f>EXP(-LN(2)/2)*AB24+(1-EXP(-LN(2)/2))/(LN(2)/2)*V25*Y25*VLOOKUP('Données projet'!$B$9,Paramètres!$A$1:$I$89,3,0)*0.475*44/12</f>
        <v>2.7421534013793476</v>
      </c>
      <c r="AC25" s="24">
        <f t="shared" si="3"/>
        <v>4.9623438601385637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3.56</v>
      </c>
      <c r="AI25" s="14">
        <f>IF('Données projet'!$A$62&gt;35,AI24+AH25-AQ24,IF(A25&lt;'Données projet'!$A$62,$AF$205^A25,IF(A25='Données projet'!$A$62,'Données projet'!$B$62,AI24+AH25-AQ24)))</f>
        <v>51.935367113427411</v>
      </c>
      <c r="AJ25" s="14">
        <f>AI25*VLOOKUP('Données projet'!$B$10,Paramètres!$A$1:$I$89,3,0)*VLOOKUP('Données projet'!$B$10,Paramètres!$A$1:$I$89,5,0)</f>
        <v>40.509586348473384</v>
      </c>
      <c r="AK25" s="14">
        <f t="shared" si="35"/>
        <v>12.133613151721432</v>
      </c>
      <c r="AL25" s="22">
        <f t="shared" si="4"/>
        <v>91.686905796172638</v>
      </c>
      <c r="AM25" s="62">
        <f t="shared" si="5"/>
        <v>312.86781969964102</v>
      </c>
      <c r="AN25" s="62">
        <f ca="1">AVERAGE(OFFSET($AM$3,0,0,'Données projet'!$E$10+1,1))-AVERAGE(OFFSET($H$3,0,0,'Données projet'!$E$10+1,1))</f>
        <v>252.45744983674379</v>
      </c>
      <c r="AO25" s="62">
        <f t="shared" si="36"/>
        <v>283.28099819802776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3.56</v>
      </c>
      <c r="BD25" s="13">
        <f>IF('Données projet'!$A$88&gt;35,BD24+BC25-BL24,IF(A25&lt;'Données projet'!$A$88,$BA$205^A25,IF(A25='Données projet'!$A$88,'Données projet'!$B$88,BD24+BC25-BL24)))</f>
        <v>51.935367113427411</v>
      </c>
      <c r="BE25" s="14">
        <f>BD25*VLOOKUP('Données projet'!$B$11,Paramètres!$A$1:$I$89,3,0)*VLOOKUP('Données projet'!$B$11,Paramètres!$A$1:$I$89,5,0)</f>
        <v>40.509586348473384</v>
      </c>
      <c r="BF25" s="14">
        <f t="shared" si="37"/>
        <v>12.133613151721432</v>
      </c>
      <c r="BG25" s="22">
        <f t="shared" si="7"/>
        <v>91.686905796172638</v>
      </c>
      <c r="BH25" s="62">
        <f t="shared" si="8"/>
        <v>312.86781969964102</v>
      </c>
      <c r="BI25" s="62">
        <f ca="1">AVERAGE(OFFSET($BH$3,0,0,'Données projet'!$E$11+1,1))-AVERAGE(OFFSET($H$3,0,0,'Données projet'!$E$11+1,1))</f>
        <v>252.45744983674379</v>
      </c>
      <c r="BJ25" s="62">
        <f t="shared" si="38"/>
        <v>283.28099819802776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3.56</v>
      </c>
      <c r="BY25" s="13">
        <f>IF('Données projet'!$A$114&gt;35,BY24+BX25-CG24,IF(A25&lt;'Données projet'!$A$114,$BV$205^A25,IF(A25='Données projet'!$A$114,'Données projet'!$B$114,BY24+BX25-CG24)))</f>
        <v>51.935367113427411</v>
      </c>
      <c r="BZ25" s="14">
        <f>BY25*VLOOKUP('Données projet'!$B$12,Paramètres!$A$1:$I$89,3,0)*VLOOKUP('Données projet'!$B$12,Paramètres!$A$1:$I$89,5,0)</f>
        <v>40.509586348473384</v>
      </c>
      <c r="CA25" s="14">
        <f t="shared" si="39"/>
        <v>12.133613151721432</v>
      </c>
      <c r="CB25" s="22">
        <f t="shared" si="10"/>
        <v>91.686905796172638</v>
      </c>
      <c r="CC25" s="62">
        <f t="shared" si="11"/>
        <v>312.86781969964102</v>
      </c>
      <c r="CD25" s="62">
        <f ca="1">AVERAGE(OFFSET($CC$3,0,0,'Données projet'!$E$12+1,1))-AVERAGE(OFFSET($H$3,0,0,'Données projet'!$E$12+1,1))</f>
        <v>252.45744983674379</v>
      </c>
      <c r="CE25" s="62">
        <f t="shared" si="40"/>
        <v>283.28099819802776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117.25</v>
      </c>
      <c r="O26" s="14">
        <f>N26*VLOOKUP('Données projet'!$B$9,Paramètres!$A$1:$I$89,3,0)*VLOOKUP('Données projet'!$B$9,Paramètres!$A$1:$I$89,5,0)</f>
        <v>54.873000000000005</v>
      </c>
      <c r="P26" s="14">
        <f t="shared" si="33"/>
        <v>15.865341187516398</v>
      </c>
      <c r="Q26" s="22">
        <f t="shared" si="2"/>
        <v>123.20261090159106</v>
      </c>
      <c r="R26" s="62">
        <f t="shared" si="0"/>
        <v>346.68780761113754</v>
      </c>
      <c r="S26" s="62">
        <f ca="1">AVERAGE(OFFSET($R$3,0,0,'Données projet'!$E$9+1,1))-AVERAGE(OFFSET($H$3,0,0,'Données projet'!$E$9+1,1))</f>
        <v>180.76388336802839</v>
      </c>
      <c r="T26" s="62">
        <f t="shared" si="34"/>
        <v>225.35030757566537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2.1594792339097029</v>
      </c>
      <c r="AB26" s="23">
        <f>EXP(-LN(2)/2)*AB25+(1-EXP(-LN(2)/2))/(LN(2)/2)*V26*Y26*VLOOKUP('Données projet'!$B$9,Paramètres!$A$1:$I$89,3,0)*0.475*44/12</f>
        <v>1.9389952651690936</v>
      </c>
      <c r="AC26" s="24">
        <f t="shared" si="3"/>
        <v>4.0984744990787965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3.56</v>
      </c>
      <c r="AI26" s="14">
        <f>IF('Données projet'!$A$62&gt;35,AI25+AH26-AQ25,IF(A26&lt;'Données projet'!$A$62,$AF$205^A26,IF(A26='Données projet'!$A$62,'Données projet'!$B$62,AI25+AH26-AQ25)))</f>
        <v>62.149667013426139</v>
      </c>
      <c r="AJ26" s="14">
        <f>AI26*VLOOKUP('Données projet'!$B$10,Paramètres!$A$1:$I$89,3,0)*VLOOKUP('Données projet'!$B$10,Paramètres!$A$1:$I$89,5,0)</f>
        <v>48.476740270472391</v>
      </c>
      <c r="AK26" s="14">
        <f t="shared" si="35"/>
        <v>14.219665651067873</v>
      </c>
      <c r="AL26" s="22">
        <f t="shared" si="4"/>
        <v>109.19624031334928</v>
      </c>
      <c r="AM26" s="62">
        <f t="shared" si="5"/>
        <v>332.68143702289581</v>
      </c>
      <c r="AN26" s="62">
        <f ca="1">AVERAGE(OFFSET($AM$3,0,0,'Données projet'!$E$10+1,1))-AVERAGE(OFFSET($H$3,0,0,'Données projet'!$E$10+1,1))</f>
        <v>252.45744983674379</v>
      </c>
      <c r="AO26" s="62">
        <f t="shared" si="36"/>
        <v>283.28099819802776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3.56</v>
      </c>
      <c r="BD26" s="13">
        <f>IF('Données projet'!$A$88&gt;35,BD25+BC26-BL25,IF(A26&lt;'Données projet'!$A$88,$BA$205^A26,IF(A26='Données projet'!$A$88,'Données projet'!$B$88,BD25+BC26-BL25)))</f>
        <v>62.149667013426139</v>
      </c>
      <c r="BE26" s="14">
        <f>BD26*VLOOKUP('Données projet'!$B$11,Paramètres!$A$1:$I$89,3,0)*VLOOKUP('Données projet'!$B$11,Paramètres!$A$1:$I$89,5,0)</f>
        <v>48.476740270472391</v>
      </c>
      <c r="BF26" s="14">
        <f t="shared" si="37"/>
        <v>14.219665651067873</v>
      </c>
      <c r="BG26" s="22">
        <f t="shared" si="7"/>
        <v>109.19624031334928</v>
      </c>
      <c r="BH26" s="62">
        <f t="shared" si="8"/>
        <v>332.68143702289581</v>
      </c>
      <c r="BI26" s="62">
        <f ca="1">AVERAGE(OFFSET($BH$3,0,0,'Données projet'!$E$11+1,1))-AVERAGE(OFFSET($H$3,0,0,'Données projet'!$E$11+1,1))</f>
        <v>252.45744983674379</v>
      </c>
      <c r="BJ26" s="62">
        <f t="shared" si="38"/>
        <v>283.28099819802776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3.56</v>
      </c>
      <c r="BY26" s="13">
        <f>IF('Données projet'!$A$114&gt;35,BY25+BX26-CG25,IF(A26&lt;'Données projet'!$A$114,$BV$205^A26,IF(A26='Données projet'!$A$114,'Données projet'!$B$114,BY25+BX26-CG25)))</f>
        <v>62.149667013426139</v>
      </c>
      <c r="BZ26" s="14">
        <f>BY26*VLOOKUP('Données projet'!$B$12,Paramètres!$A$1:$I$89,3,0)*VLOOKUP('Données projet'!$B$12,Paramètres!$A$1:$I$89,5,0)</f>
        <v>48.476740270472391</v>
      </c>
      <c r="CA26" s="14">
        <f t="shared" si="39"/>
        <v>14.219665651067873</v>
      </c>
      <c r="CB26" s="22">
        <f t="shared" si="10"/>
        <v>109.19624031334928</v>
      </c>
      <c r="CC26" s="62">
        <f t="shared" si="11"/>
        <v>332.68143702289581</v>
      </c>
      <c r="CD26" s="62">
        <f ca="1">AVERAGE(OFFSET($CC$3,0,0,'Données projet'!$E$12+1,1))-AVERAGE(OFFSET($H$3,0,0,'Données projet'!$E$12+1,1))</f>
        <v>252.45744983674379</v>
      </c>
      <c r="CE26" s="62">
        <f t="shared" si="40"/>
        <v>283.28099819802776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123.75</v>
      </c>
      <c r="O27" s="14">
        <f>N27*VLOOKUP('Données projet'!$B$9,Paramètres!$A$1:$I$89,3,0)*VLOOKUP('Données projet'!$B$9,Paramètres!$A$1:$I$89,5,0)</f>
        <v>57.914999999999999</v>
      </c>
      <c r="P27" s="14">
        <f t="shared" si="33"/>
        <v>16.640035408149132</v>
      </c>
      <c r="Q27" s="22">
        <f t="shared" si="2"/>
        <v>129.85002000252641</v>
      </c>
      <c r="R27" s="62">
        <f t="shared" si="0"/>
        <v>355.62072818614621</v>
      </c>
      <c r="S27" s="62">
        <f ca="1">AVERAGE(OFFSET($R$3,0,0,'Données projet'!$E$9+1,1))-AVERAGE(OFFSET($H$3,0,0,'Données projet'!$E$9+1,1))</f>
        <v>180.76388336802839</v>
      </c>
      <c r="T27" s="62">
        <f t="shared" si="34"/>
        <v>225.35030757566537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2.1004281606963646</v>
      </c>
      <c r="AB27" s="23">
        <f>EXP(-LN(2)/2)*AB26+(1-EXP(-LN(2)/2))/(LN(2)/2)*V27*Y27*VLOOKUP('Données projet'!$B$9,Paramètres!$A$1:$I$89,3,0)*0.475*44/12</f>
        <v>1.371076700689674</v>
      </c>
      <c r="AC27" s="24">
        <f t="shared" si="3"/>
        <v>3.4715048613860384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3.56</v>
      </c>
      <c r="AI27" s="14">
        <f>IF('Données projet'!$A$62&gt;35,AI26+AH27-AQ26,IF(A27&lt;'Données projet'!$A$62,$AF$205^A27,IF(A27='Données projet'!$A$62,'Données projet'!$B$62,AI26+AH27-AQ26)))</f>
        <v>74.372846955020648</v>
      </c>
      <c r="AJ27" s="14">
        <f>AI27*VLOOKUP('Données projet'!$B$10,Paramètres!$A$1:$I$89,3,0)*VLOOKUP('Données projet'!$B$10,Paramètres!$A$1:$I$89,5,0)</f>
        <v>58.010820624916107</v>
      </c>
      <c r="AK27" s="14">
        <f t="shared" si="35"/>
        <v>16.664359469831368</v>
      </c>
      <c r="AL27" s="22">
        <f t="shared" si="4"/>
        <v>130.05927199835185</v>
      </c>
      <c r="AM27" s="62">
        <f t="shared" si="5"/>
        <v>355.82998018197168</v>
      </c>
      <c r="AN27" s="62">
        <f ca="1">AVERAGE(OFFSET($AM$3,0,0,'Données projet'!$E$10+1,1))-AVERAGE(OFFSET($H$3,0,0,'Données projet'!$E$10+1,1))</f>
        <v>252.45744983674379</v>
      </c>
      <c r="AO27" s="62">
        <f t="shared" si="36"/>
        <v>283.28099819802776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3.56</v>
      </c>
      <c r="BD27" s="13">
        <f>IF('Données projet'!$A$88&gt;35,BD26+BC27-BL26,IF(A27&lt;'Données projet'!$A$88,$BA$205^A27,IF(A27='Données projet'!$A$88,'Données projet'!$B$88,BD26+BC27-BL26)))</f>
        <v>74.372846955020648</v>
      </c>
      <c r="BE27" s="14">
        <f>BD27*VLOOKUP('Données projet'!$B$11,Paramètres!$A$1:$I$89,3,0)*VLOOKUP('Données projet'!$B$11,Paramètres!$A$1:$I$89,5,0)</f>
        <v>58.010820624916107</v>
      </c>
      <c r="BF27" s="14">
        <f t="shared" si="37"/>
        <v>16.664359469831368</v>
      </c>
      <c r="BG27" s="22">
        <f t="shared" si="7"/>
        <v>130.05927199835185</v>
      </c>
      <c r="BH27" s="62">
        <f t="shared" si="8"/>
        <v>355.82998018197168</v>
      </c>
      <c r="BI27" s="62">
        <f ca="1">AVERAGE(OFFSET($BH$3,0,0,'Données projet'!$E$11+1,1))-AVERAGE(OFFSET($H$3,0,0,'Données projet'!$E$11+1,1))</f>
        <v>252.45744983674379</v>
      </c>
      <c r="BJ27" s="62">
        <f t="shared" si="38"/>
        <v>283.28099819802776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3.56</v>
      </c>
      <c r="BY27" s="13">
        <f>IF('Données projet'!$A$114&gt;35,BY26+BX27-CG26,IF(A27&lt;'Données projet'!$A$114,$BV$205^A27,IF(A27='Données projet'!$A$114,'Données projet'!$B$114,BY26+BX27-CG26)))</f>
        <v>74.372846955020648</v>
      </c>
      <c r="BZ27" s="14">
        <f>BY27*VLOOKUP('Données projet'!$B$12,Paramètres!$A$1:$I$89,3,0)*VLOOKUP('Données projet'!$B$12,Paramètres!$A$1:$I$89,5,0)</f>
        <v>58.010820624916107</v>
      </c>
      <c r="CA27" s="14">
        <f t="shared" si="39"/>
        <v>16.664359469831368</v>
      </c>
      <c r="CB27" s="22">
        <f t="shared" si="10"/>
        <v>130.05927199835185</v>
      </c>
      <c r="CC27" s="62">
        <f t="shared" si="11"/>
        <v>355.82998018197168</v>
      </c>
      <c r="CD27" s="62">
        <f ca="1">AVERAGE(OFFSET($CC$3,0,0,'Données projet'!$E$12+1,1))-AVERAGE(OFFSET($H$3,0,0,'Données projet'!$E$12+1,1))</f>
        <v>252.45744983674379</v>
      </c>
      <c r="CE27" s="62">
        <f t="shared" si="40"/>
        <v>283.28099819802776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130.25</v>
      </c>
      <c r="O28" s="14">
        <f>N28*VLOOKUP('Données projet'!$B$9,Paramètres!$A$1:$I$89,3,0)*VLOOKUP('Données projet'!$B$9,Paramètres!$A$1:$I$89,5,0)</f>
        <v>60.957000000000001</v>
      </c>
      <c r="P28" s="14">
        <f t="shared" si="33"/>
        <v>17.41000535169308</v>
      </c>
      <c r="Q28" s="22">
        <f t="shared" si="2"/>
        <v>136.48920098753212</v>
      </c>
      <c r="R28" s="62">
        <f t="shared" si="0"/>
        <v>364.52697495386423</v>
      </c>
      <c r="S28" s="62">
        <f ca="1">AVERAGE(OFFSET($R$3,0,0,'Données projet'!$E$9+1,1))-AVERAGE(OFFSET($H$3,0,0,'Données projet'!$E$9+1,1))</f>
        <v>180.76388336802839</v>
      </c>
      <c r="T28" s="62">
        <f t="shared" si="34"/>
        <v>225.35030757566537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2.0429918421854061</v>
      </c>
      <c r="AB28" s="23">
        <f>EXP(-LN(2)/2)*AB27+(1-EXP(-LN(2)/2))/(LN(2)/2)*V28*Y28*VLOOKUP('Données projet'!$B$9,Paramètres!$A$1:$I$89,3,0)*0.475*44/12</f>
        <v>0.96949763258454691</v>
      </c>
      <c r="AC28" s="24">
        <f t="shared" si="3"/>
        <v>3.0124894747699531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89</v>
      </c>
      <c r="AG28" s="13">
        <f>VLOOKUP(A28,'Données projet'!$A$61:$I$81,9,0)</f>
        <v>3.56</v>
      </c>
      <c r="AH28" s="13">
        <f t="array" ref="AH28">INDEX(AG:AG,MIN(IF(ISNUMBER(AG28:AG224),ROW(AG28:AG224),"")))</f>
        <v>3.56</v>
      </c>
      <c r="AI28" s="14">
        <f>IF('Données projet'!$A$62&gt;35,AI27+AH28-AQ27,IF(A28&lt;'Données projet'!$A$62,$AF$205^A28,IF(A28='Données projet'!$A$62,'Données projet'!$B$62,AI27+AH28-AQ27)))</f>
        <v>89</v>
      </c>
      <c r="AJ28" s="14">
        <f>AI28*VLOOKUP('Données projet'!$B$10,Paramètres!$A$1:$I$89,3,0)*VLOOKUP('Données projet'!$B$10,Paramètres!$A$1:$I$89,5,0)</f>
        <v>69.42</v>
      </c>
      <c r="AK28" s="14">
        <f t="shared" si="35"/>
        <v>19.529353456978352</v>
      </c>
      <c r="AL28" s="22">
        <f t="shared" si="4"/>
        <v>154.92012393757065</v>
      </c>
      <c r="AM28" s="62">
        <f t="shared" si="5"/>
        <v>382.95789790390279</v>
      </c>
      <c r="AN28" s="62">
        <f ca="1">AVERAGE(OFFSET($AM$3,0,0,'Données projet'!$E$10+1,1))-AVERAGE(OFFSET($H$3,0,0,'Données projet'!$E$10+1,1))</f>
        <v>252.45744983674379</v>
      </c>
      <c r="AO28" s="62">
        <f t="shared" si="36"/>
        <v>283.28099819802776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89</v>
      </c>
      <c r="BB28" s="13">
        <f>VLOOKUP(A28,'Données projet'!$A$87:$I$107,9,0)</f>
        <v>3.56</v>
      </c>
      <c r="BC28" s="13">
        <f t="array" ref="BC28">INDEX(BB:BB,MIN(IF(ISNUMBER(BB28:BB224),ROW(BB28:BB224),"")))</f>
        <v>3.56</v>
      </c>
      <c r="BD28" s="13">
        <f>IF('Données projet'!$A$88&gt;35,BD27+BC28-BL27,IF(A28&lt;'Données projet'!$A$88,$BA$205^A28,IF(A28='Données projet'!$A$88,'Données projet'!$B$88,BD27+BC28-BL27)))</f>
        <v>89</v>
      </c>
      <c r="BE28" s="14">
        <f>BD28*VLOOKUP('Données projet'!$B$11,Paramètres!$A$1:$I$89,3,0)*VLOOKUP('Données projet'!$B$11,Paramètres!$A$1:$I$89,5,0)</f>
        <v>69.42</v>
      </c>
      <c r="BF28" s="14">
        <f t="shared" si="37"/>
        <v>19.529353456978352</v>
      </c>
      <c r="BG28" s="22">
        <f t="shared" si="7"/>
        <v>154.92012393757065</v>
      </c>
      <c r="BH28" s="62">
        <f t="shared" si="8"/>
        <v>382.95789790390279</v>
      </c>
      <c r="BI28" s="62">
        <f ca="1">AVERAGE(OFFSET($BH$3,0,0,'Données projet'!$E$11+1,1))-AVERAGE(OFFSET($H$3,0,0,'Données projet'!$E$11+1,1))</f>
        <v>252.45744983674379</v>
      </c>
      <c r="BJ28" s="62">
        <f t="shared" si="38"/>
        <v>283.28099819802776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89</v>
      </c>
      <c r="BW28" s="13">
        <f>VLOOKUP(A28,'Données projet'!$A$113:$I$133,9,0)</f>
        <v>3.56</v>
      </c>
      <c r="BX28" s="13">
        <f t="array" ref="BX28">INDEX(BW:BW,MIN(IF(ISNUMBER(BW28:BW224),ROW(BW28:BW224),"")))</f>
        <v>3.56</v>
      </c>
      <c r="BY28" s="13">
        <f>IF('Données projet'!$A$114&gt;35,BY27+BX28-CG27,IF(A28&lt;'Données projet'!$A$114,$BV$205^A28,IF(A28='Données projet'!$A$114,'Données projet'!$B$114,BY27+BX28-CG27)))</f>
        <v>89</v>
      </c>
      <c r="BZ28" s="14">
        <f>BY28*VLOOKUP('Données projet'!$B$12,Paramètres!$A$1:$I$89,3,0)*VLOOKUP('Données projet'!$B$12,Paramètres!$A$1:$I$89,5,0)</f>
        <v>69.42</v>
      </c>
      <c r="CA28" s="14">
        <f t="shared" si="39"/>
        <v>19.529353456978352</v>
      </c>
      <c r="CB28" s="22">
        <f t="shared" si="10"/>
        <v>154.92012393757065</v>
      </c>
      <c r="CC28" s="62">
        <f t="shared" si="11"/>
        <v>382.95789790390279</v>
      </c>
      <c r="CD28" s="62">
        <f ca="1">AVERAGE(OFFSET($CC$3,0,0,'Données projet'!$E$12+1,1))-AVERAGE(OFFSET($H$3,0,0,'Données projet'!$E$12+1,1))</f>
        <v>252.45744983674379</v>
      </c>
      <c r="CE28" s="62">
        <f t="shared" si="40"/>
        <v>283.28099819802776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136.75</v>
      </c>
      <c r="O29" s="14">
        <f>N29*VLOOKUP('Données projet'!$B$9,Paramètres!$A$1:$I$89,3,0)*VLOOKUP('Données projet'!$B$9,Paramètres!$A$1:$I$89,5,0)</f>
        <v>63.998999999999995</v>
      </c>
      <c r="P29" s="14">
        <f t="shared" si="33"/>
        <v>18.175513681452724</v>
      </c>
      <c r="Q29" s="22">
        <f t="shared" si="2"/>
        <v>143.12061132853015</v>
      </c>
      <c r="R29" s="62">
        <f t="shared" si="0"/>
        <v>373.40732537772033</v>
      </c>
      <c r="S29" s="62">
        <f ca="1">AVERAGE(OFFSET($R$3,0,0,'Données projet'!$E$9+1,1))-AVERAGE(OFFSET($H$3,0,0,'Données projet'!$E$9+1,1))</f>
        <v>180.76388336802839</v>
      </c>
      <c r="T29" s="62">
        <f t="shared" si="34"/>
        <v>225.35030757566537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1.9871261228245745</v>
      </c>
      <c r="AB29" s="23">
        <f>EXP(-LN(2)/2)*AB28+(1-EXP(-LN(2)/2))/(LN(2)/2)*V29*Y29*VLOOKUP('Données projet'!$B$9,Paramètres!$A$1:$I$89,3,0)*0.475*44/12</f>
        <v>0.68553835034483712</v>
      </c>
      <c r="AC29" s="24">
        <f t="shared" si="3"/>
        <v>2.6726644731694114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</v>
      </c>
      <c r="AI29" s="14">
        <f>IF('Données projet'!$A$62&gt;35,AI28+AH29-AQ28,IF(A29&lt;'Données projet'!$A$62,$AF$205^A29,IF(A29='Données projet'!$A$62,'Données projet'!$B$62,AI28+AH29-AQ28)))</f>
        <v>75.2</v>
      </c>
      <c r="AJ29" s="14">
        <f>AI29*VLOOKUP('Données projet'!$B$10,Paramètres!$A$1:$I$89,3,0)*VLOOKUP('Données projet'!$B$10,Paramètres!$A$1:$I$89,5,0)</f>
        <v>58.656000000000006</v>
      </c>
      <c r="AK29" s="14">
        <f t="shared" si="35"/>
        <v>16.828016909929076</v>
      </c>
      <c r="AL29" s="22">
        <f t="shared" si="4"/>
        <v>131.46799611812648</v>
      </c>
      <c r="AM29" s="62">
        <f t="shared" si="5"/>
        <v>361.75471016731666</v>
      </c>
      <c r="AN29" s="62">
        <f ca="1">AVERAGE(OFFSET($AM$3,0,0,'Données projet'!$E$10+1,1))-AVERAGE(OFFSET($H$3,0,0,'Données projet'!$E$10+1,1))</f>
        <v>252.45744983674379</v>
      </c>
      <c r="AO29" s="62">
        <f t="shared" si="36"/>
        <v>283.28099819802776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75.2</v>
      </c>
      <c r="BE29" s="14">
        <f>BD29*VLOOKUP('Données projet'!$B$11,Paramètres!$A$1:$I$89,3,0)*VLOOKUP('Données projet'!$B$11,Paramètres!$A$1:$I$89,5,0)</f>
        <v>58.656000000000006</v>
      </c>
      <c r="BF29" s="14">
        <f t="shared" si="37"/>
        <v>16.828016909929076</v>
      </c>
      <c r="BG29" s="22">
        <f t="shared" si="7"/>
        <v>131.46799611812648</v>
      </c>
      <c r="BH29" s="62">
        <f t="shared" si="8"/>
        <v>361.75471016731666</v>
      </c>
      <c r="BI29" s="62">
        <f ca="1">AVERAGE(OFFSET($BH$3,0,0,'Données projet'!$E$11+1,1))-AVERAGE(OFFSET($H$3,0,0,'Données projet'!$E$11+1,1))</f>
        <v>252.45744983674379</v>
      </c>
      <c r="BJ29" s="62">
        <f t="shared" si="38"/>
        <v>283.28099819802776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75.2</v>
      </c>
      <c r="BZ29" s="14">
        <f>BY29*VLOOKUP('Données projet'!$B$12,Paramètres!$A$1:$I$89,3,0)*VLOOKUP('Données projet'!$B$12,Paramètres!$A$1:$I$89,5,0)</f>
        <v>58.656000000000006</v>
      </c>
      <c r="CA29" s="14">
        <f t="shared" si="39"/>
        <v>16.828016909929076</v>
      </c>
      <c r="CB29" s="22">
        <f t="shared" si="10"/>
        <v>131.46799611812648</v>
      </c>
      <c r="CC29" s="62">
        <f t="shared" si="11"/>
        <v>361.75471016731666</v>
      </c>
      <c r="CD29" s="62">
        <f ca="1">AVERAGE(OFFSET($CC$3,0,0,'Données projet'!$E$12+1,1))-AVERAGE(OFFSET($H$3,0,0,'Données projet'!$E$12+1,1))</f>
        <v>252.45744983674379</v>
      </c>
      <c r="CE29" s="62">
        <f t="shared" si="40"/>
        <v>283.28099819802776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143.25</v>
      </c>
      <c r="O30" s="14">
        <f>N30*VLOOKUP('Données projet'!$B$9,Paramètres!$A$1:$I$89,3,0)*VLOOKUP('Données projet'!$B$9,Paramètres!$A$1:$I$89,5,0)</f>
        <v>67.040999999999997</v>
      </c>
      <c r="P30" s="14">
        <f t="shared" si="33"/>
        <v>18.936796679958491</v>
      </c>
      <c r="Q30" s="22">
        <f t="shared" si="2"/>
        <v>149.7446625509277</v>
      </c>
      <c r="R30" s="62">
        <f t="shared" si="0"/>
        <v>382.26250542349123</v>
      </c>
      <c r="S30" s="62">
        <f ca="1">AVERAGE(OFFSET($R$3,0,0,'Données projet'!$E$9+1,1))-AVERAGE(OFFSET($H$3,0,0,'Données projet'!$E$9+1,1))</f>
        <v>180.76388336802839</v>
      </c>
      <c r="T30" s="62">
        <f t="shared" si="34"/>
        <v>225.35030757566537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1.9327880544975153</v>
      </c>
      <c r="AB30" s="23">
        <f>EXP(-LN(2)/2)*AB29+(1-EXP(-LN(2)/2))/(LN(2)/2)*V30*Y30*VLOOKUP('Données projet'!$B$9,Paramètres!$A$1:$I$89,3,0)*0.475*44/12</f>
        <v>0.48474881629227351</v>
      </c>
      <c r="AC30" s="24">
        <f t="shared" si="3"/>
        <v>2.4175368707897888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</v>
      </c>
      <c r="AI30" s="14">
        <f>IF('Données projet'!$A$62&gt;35,AI29+AH30-AQ29,IF(A30&lt;'Données projet'!$A$62,$AF$205^A30,IF(A30='Données projet'!$A$62,'Données projet'!$B$62,AI29+AH30-AQ29)))</f>
        <v>89.4</v>
      </c>
      <c r="AJ30" s="14">
        <f>AI30*VLOOKUP('Données projet'!$B$10,Paramètres!$A$1:$I$89,3,0)*VLOOKUP('Données projet'!$B$10,Paramètres!$A$1:$I$89,5,0)</f>
        <v>69.732000000000014</v>
      </c>
      <c r="AK30" s="14">
        <f t="shared" si="35"/>
        <v>19.606888874982506</v>
      </c>
      <c r="AL30" s="22">
        <f t="shared" si="4"/>
        <v>155.59856479059454</v>
      </c>
      <c r="AM30" s="62">
        <f t="shared" si="5"/>
        <v>388.11640766315804</v>
      </c>
      <c r="AN30" s="62">
        <f ca="1">AVERAGE(OFFSET($AM$3,0,0,'Données projet'!$E$10+1,1))-AVERAGE(OFFSET($H$3,0,0,'Données projet'!$E$10+1,1))</f>
        <v>252.45744983674379</v>
      </c>
      <c r="AO30" s="62">
        <f t="shared" si="36"/>
        <v>283.28099819802776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89.4</v>
      </c>
      <c r="BE30" s="14">
        <f>BD30*VLOOKUP('Données projet'!$B$11,Paramètres!$A$1:$I$89,3,0)*VLOOKUP('Données projet'!$B$11,Paramètres!$A$1:$I$89,5,0)</f>
        <v>69.732000000000014</v>
      </c>
      <c r="BF30" s="14">
        <f t="shared" si="37"/>
        <v>19.606888874982506</v>
      </c>
      <c r="BG30" s="22">
        <f t="shared" si="7"/>
        <v>155.59856479059454</v>
      </c>
      <c r="BH30" s="62">
        <f t="shared" si="8"/>
        <v>388.11640766315804</v>
      </c>
      <c r="BI30" s="62">
        <f ca="1">AVERAGE(OFFSET($BH$3,0,0,'Données projet'!$E$11+1,1))-AVERAGE(OFFSET($H$3,0,0,'Données projet'!$E$11+1,1))</f>
        <v>252.45744983674379</v>
      </c>
      <c r="BJ30" s="62">
        <f t="shared" si="38"/>
        <v>283.28099819802776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89.4</v>
      </c>
      <c r="BZ30" s="14">
        <f>BY30*VLOOKUP('Données projet'!$B$12,Paramètres!$A$1:$I$89,3,0)*VLOOKUP('Données projet'!$B$12,Paramètres!$A$1:$I$89,5,0)</f>
        <v>69.732000000000014</v>
      </c>
      <c r="CA30" s="14">
        <f t="shared" si="39"/>
        <v>19.606888874982506</v>
      </c>
      <c r="CB30" s="22">
        <f t="shared" si="10"/>
        <v>155.59856479059454</v>
      </c>
      <c r="CC30" s="62">
        <f t="shared" si="11"/>
        <v>388.11640766315804</v>
      </c>
      <c r="CD30" s="62">
        <f ca="1">AVERAGE(OFFSET($CC$3,0,0,'Données projet'!$E$12+1,1))-AVERAGE(OFFSET($H$3,0,0,'Données projet'!$E$12+1,1))</f>
        <v>252.45744983674379</v>
      </c>
      <c r="CE30" s="62">
        <f t="shared" si="40"/>
        <v>283.28099819802776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149.75</v>
      </c>
      <c r="O31" s="14">
        <f>N31*VLOOKUP('Données projet'!$B$9,Paramètres!$A$1:$I$89,3,0)*VLOOKUP('Données projet'!$B$9,Paramètres!$A$1:$I$89,5,0)</f>
        <v>70.082999999999998</v>
      </c>
      <c r="P31" s="14">
        <f t="shared" si="33"/>
        <v>19.694067974901294</v>
      </c>
      <c r="Q31" s="22">
        <f t="shared" si="2"/>
        <v>156.36172672295308</v>
      </c>
      <c r="R31" s="62">
        <f t="shared" si="0"/>
        <v>391.09319614493717</v>
      </c>
      <c r="S31" s="62">
        <f ca="1">AVERAGE(OFFSET($R$3,0,0,'Données projet'!$E$9+1,1))-AVERAGE(OFFSET($H$3,0,0,'Données projet'!$E$9+1,1))</f>
        <v>180.76388336802839</v>
      </c>
      <c r="T31" s="62">
        <f t="shared" si="34"/>
        <v>225.35030757566537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1.8799358635063745</v>
      </c>
      <c r="AB31" s="23">
        <f>EXP(-LN(2)/2)*AB30+(1-EXP(-LN(2)/2))/(LN(2)/2)*V31*Y31*VLOOKUP('Données projet'!$B$9,Paramètres!$A$1:$I$89,3,0)*0.475*44/12</f>
        <v>0.34276917517241862</v>
      </c>
      <c r="AC31" s="24">
        <f t="shared" si="3"/>
        <v>2.222705038678793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</v>
      </c>
      <c r="AI31" s="14">
        <f>IF('Données projet'!$A$62&gt;35,AI30+AH31-AQ30,IF(A31&lt;'Données projet'!$A$62,$AF$205^A31,IF(A31='Données projet'!$A$62,'Données projet'!$B$62,AI30+AH31-AQ30)))</f>
        <v>103.60000000000001</v>
      </c>
      <c r="AJ31" s="14">
        <f>AI31*VLOOKUP('Données projet'!$B$10,Paramètres!$A$1:$I$89,3,0)*VLOOKUP('Données projet'!$B$10,Paramètres!$A$1:$I$89,5,0)</f>
        <v>80.808000000000007</v>
      </c>
      <c r="AK31" s="14">
        <f t="shared" si="35"/>
        <v>22.334628633536209</v>
      </c>
      <c r="AL31" s="22">
        <f t="shared" si="4"/>
        <v>179.64007820340893</v>
      </c>
      <c r="AM31" s="62">
        <f t="shared" si="5"/>
        <v>414.37154762539302</v>
      </c>
      <c r="AN31" s="62">
        <f ca="1">AVERAGE(OFFSET($AM$3,0,0,'Données projet'!$E$10+1,1))-AVERAGE(OFFSET($H$3,0,0,'Données projet'!$E$10+1,1))</f>
        <v>252.45744983674379</v>
      </c>
      <c r="AO31" s="62">
        <f t="shared" si="36"/>
        <v>283.28099819802776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103.60000000000001</v>
      </c>
      <c r="BE31" s="14">
        <f>BD31*VLOOKUP('Données projet'!$B$11,Paramètres!$A$1:$I$89,3,0)*VLOOKUP('Données projet'!$B$11,Paramètres!$A$1:$I$89,5,0)</f>
        <v>80.808000000000007</v>
      </c>
      <c r="BF31" s="14">
        <f t="shared" si="37"/>
        <v>22.334628633536209</v>
      </c>
      <c r="BG31" s="22">
        <f t="shared" si="7"/>
        <v>179.64007820340893</v>
      </c>
      <c r="BH31" s="62">
        <f t="shared" si="8"/>
        <v>414.37154762539302</v>
      </c>
      <c r="BI31" s="62">
        <f ca="1">AVERAGE(OFFSET($BH$3,0,0,'Données projet'!$E$11+1,1))-AVERAGE(OFFSET($H$3,0,0,'Données projet'!$E$11+1,1))</f>
        <v>252.45744983674379</v>
      </c>
      <c r="BJ31" s="62">
        <f t="shared" si="38"/>
        <v>283.28099819802776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103.60000000000001</v>
      </c>
      <c r="BZ31" s="14">
        <f>BY31*VLOOKUP('Données projet'!$B$12,Paramètres!$A$1:$I$89,3,0)*VLOOKUP('Données projet'!$B$12,Paramètres!$A$1:$I$89,5,0)</f>
        <v>80.808000000000007</v>
      </c>
      <c r="CA31" s="14">
        <f t="shared" si="39"/>
        <v>22.334628633536209</v>
      </c>
      <c r="CB31" s="22">
        <f t="shared" si="10"/>
        <v>179.64007820340893</v>
      </c>
      <c r="CC31" s="62">
        <f t="shared" si="11"/>
        <v>414.37154762539302</v>
      </c>
      <c r="CD31" s="62">
        <f ca="1">AVERAGE(OFFSET($CC$3,0,0,'Données projet'!$E$12+1,1))-AVERAGE(OFFSET($H$3,0,0,'Données projet'!$E$12+1,1))</f>
        <v>252.45744983674379</v>
      </c>
      <c r="CE31" s="62">
        <f t="shared" si="40"/>
        <v>283.28099819802776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156.25</v>
      </c>
      <c r="O32" s="14">
        <f>N32*VLOOKUP('Données projet'!$B$9,Paramètres!$A$1:$I$89,3,0)*VLOOKUP('Données projet'!$B$9,Paramètres!$A$1:$I$89,5,0)</f>
        <v>73.125</v>
      </c>
      <c r="P32" s="14">
        <f t="shared" si="33"/>
        <v>20.447521599907429</v>
      </c>
      <c r="Q32" s="22">
        <f t="shared" si="2"/>
        <v>162.97214178650543</v>
      </c>
      <c r="R32" s="62">
        <f t="shared" si="0"/>
        <v>399.90003910928124</v>
      </c>
      <c r="S32" s="62">
        <f ca="1">AVERAGE(OFFSET($R$3,0,0,'Données projet'!$E$9+1,1))-AVERAGE(OFFSET($H$3,0,0,'Données projet'!$E$9+1,1))</f>
        <v>180.76388336802839</v>
      </c>
      <c r="T32" s="62">
        <f t="shared" si="34"/>
        <v>225.35030757566537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1.8285289184572624</v>
      </c>
      <c r="AB32" s="23">
        <f>EXP(-LN(2)/2)*AB31+(1-EXP(-LN(2)/2))/(LN(2)/2)*V32*Y32*VLOOKUP('Données projet'!$B$9,Paramètres!$A$1:$I$89,3,0)*0.475*44/12</f>
        <v>0.24237440814613681</v>
      </c>
      <c r="AC32" s="24">
        <f t="shared" si="3"/>
        <v>2.0709033266033994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</v>
      </c>
      <c r="AI32" s="14">
        <f>IF('Données projet'!$A$62&gt;35,AI31+AH32-AQ31,IF(A32&lt;'Données projet'!$A$62,$AF$205^A32,IF(A32='Données projet'!$A$62,'Données projet'!$B$62,AI31+AH32-AQ31)))</f>
        <v>117.80000000000001</v>
      </c>
      <c r="AJ32" s="14">
        <f>AI32*VLOOKUP('Données projet'!$B$10,Paramètres!$A$1:$I$89,3,0)*VLOOKUP('Données projet'!$B$10,Paramètres!$A$1:$I$89,5,0)</f>
        <v>91.884000000000015</v>
      </c>
      <c r="AK32" s="14">
        <f t="shared" si="35"/>
        <v>25.019051117801563</v>
      </c>
      <c r="AL32" s="22">
        <f t="shared" si="4"/>
        <v>203.60614736350442</v>
      </c>
      <c r="AM32" s="62">
        <f t="shared" si="5"/>
        <v>440.53404468628025</v>
      </c>
      <c r="AN32" s="62">
        <f ca="1">AVERAGE(OFFSET($AM$3,0,0,'Données projet'!$E$10+1,1))-AVERAGE(OFFSET($H$3,0,0,'Données projet'!$E$10+1,1))</f>
        <v>252.45744983674379</v>
      </c>
      <c r="AO32" s="62">
        <f t="shared" si="36"/>
        <v>283.28099819802776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117.80000000000001</v>
      </c>
      <c r="BE32" s="14">
        <f>BD32*VLOOKUP('Données projet'!$B$11,Paramètres!$A$1:$I$89,3,0)*VLOOKUP('Données projet'!$B$11,Paramètres!$A$1:$I$89,5,0)</f>
        <v>91.884000000000015</v>
      </c>
      <c r="BF32" s="14">
        <f t="shared" si="37"/>
        <v>25.019051117801563</v>
      </c>
      <c r="BG32" s="22">
        <f t="shared" si="7"/>
        <v>203.60614736350442</v>
      </c>
      <c r="BH32" s="62">
        <f t="shared" si="8"/>
        <v>440.53404468628025</v>
      </c>
      <c r="BI32" s="62">
        <f ca="1">AVERAGE(OFFSET($BH$3,0,0,'Données projet'!$E$11+1,1))-AVERAGE(OFFSET($H$3,0,0,'Données projet'!$E$11+1,1))</f>
        <v>252.45744983674379</v>
      </c>
      <c r="BJ32" s="62">
        <f t="shared" si="38"/>
        <v>283.28099819802776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117.80000000000001</v>
      </c>
      <c r="BZ32" s="14">
        <f>BY32*VLOOKUP('Données projet'!$B$12,Paramètres!$A$1:$I$89,3,0)*VLOOKUP('Données projet'!$B$12,Paramètres!$A$1:$I$89,5,0)</f>
        <v>91.884000000000015</v>
      </c>
      <c r="CA32" s="14">
        <f t="shared" si="39"/>
        <v>25.019051117801563</v>
      </c>
      <c r="CB32" s="22">
        <f t="shared" si="10"/>
        <v>203.60614736350442</v>
      </c>
      <c r="CC32" s="62">
        <f t="shared" si="11"/>
        <v>440.53404468628025</v>
      </c>
      <c r="CD32" s="62">
        <f ca="1">AVERAGE(OFFSET($CC$3,0,0,'Données projet'!$E$12+1,1))-AVERAGE(OFFSET($H$3,0,0,'Données projet'!$E$12+1,1))</f>
        <v>252.45744983674379</v>
      </c>
      <c r="CE32" s="62">
        <f t="shared" si="40"/>
        <v>283.28099819802776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162.75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162.75</v>
      </c>
      <c r="O33" s="14">
        <f>N33*VLOOKUP('Données projet'!$B$9,Paramètres!$A$1:$I$89,3,0)*VLOOKUP('Données projet'!$B$9,Paramètres!$A$1:$I$89,5,0)</f>
        <v>76.167000000000002</v>
      </c>
      <c r="P33" s="14">
        <f t="shared" si="33"/>
        <v>21.197334531649798</v>
      </c>
      <c r="Q33" s="22">
        <f t="shared" si="2"/>
        <v>169.57621597595673</v>
      </c>
      <c r="R33" s="62">
        <f t="shared" si="0"/>
        <v>408.68364090899871</v>
      </c>
      <c r="S33" s="62">
        <f ca="1">AVERAGE(OFFSET($R$3,0,0,'Données projet'!$E$9+1,1))-AVERAGE(OFFSET($H$3,0,0,'Données projet'!$E$9+1,1))</f>
        <v>180.76388336802839</v>
      </c>
      <c r="T33" s="62">
        <f t="shared" si="34"/>
        <v>225.35030757566537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24.412499999999998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0.22000000000000003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5.0997335051594792</v>
      </c>
      <c r="AB33" s="23">
        <f>EXP(-LN(2)/2)*AB32+(1-EXP(-LN(2)/2))/(LN(2)/2)*V33*Y33*VLOOKUP('Données projet'!$B$9,Paramètres!$A$1:$I$89,3,0)*0.475*44/12</f>
        <v>7.9328709540990578</v>
      </c>
      <c r="AC33" s="24">
        <f t="shared" si="3"/>
        <v>13.032604459258536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132</v>
      </c>
      <c r="AG33" s="13">
        <f>VLOOKUP(A33,'Données projet'!$A$61:$I$81,9,0)</f>
        <v>14.2</v>
      </c>
      <c r="AH33" s="13">
        <f t="array" ref="AH33">INDEX(AG:AG,MIN(IF(ISNUMBER(AG33:AG229),ROW(AG33:AG229),"")))</f>
        <v>14.2</v>
      </c>
      <c r="AI33" s="14">
        <f>IF('Données projet'!$A$62&gt;35,AI32+AH33-AQ32,IF(A33&lt;'Données projet'!$A$62,$AF$205^A33,IF(A33='Données projet'!$A$62,'Données projet'!$B$62,AI32+AH33-AQ32)))</f>
        <v>132</v>
      </c>
      <c r="AJ33" s="14">
        <f>AI33*VLOOKUP('Données projet'!$B$10,Paramètres!$A$1:$I$89,3,0)*VLOOKUP('Données projet'!$B$10,Paramètres!$A$1:$I$89,5,0)</f>
        <v>102.96000000000001</v>
      </c>
      <c r="AK33" s="14">
        <f t="shared" si="35"/>
        <v>27.665975080374633</v>
      </c>
      <c r="AL33" s="22">
        <f t="shared" si="4"/>
        <v>227.50690659831915</v>
      </c>
      <c r="AM33" s="62">
        <f t="shared" si="5"/>
        <v>466.61433153136113</v>
      </c>
      <c r="AN33" s="62">
        <f ca="1">AVERAGE(OFFSET($AM$3,0,0,'Données projet'!$E$10+1,1))-AVERAGE(OFFSET($H$3,0,0,'Données projet'!$E$10+1,1))</f>
        <v>252.45744983674379</v>
      </c>
      <c r="AO33" s="62">
        <f t="shared" si="36"/>
        <v>283.28099819802776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24</v>
      </c>
      <c r="AR33" s="17">
        <f>IF(ISNA(VLOOKUP(A33,'Données projet'!$A$61:$I$81,5,0)),0%,VLOOKUP(A33,'Données projet'!$A$61:$I$81,5,0)*VLOOKUP('Données projet'!$B$10,Paramètres!$A$1:$I$89,7,0))</f>
        <v>0.215</v>
      </c>
      <c r="AS33" s="17">
        <f>IF(ISNA(VLOOKUP(A33,'Données projet'!$A$61:$I$81,6,0)),0%,VLOOKUP(A33,'Données projet'!$A$61:$I$81,6,0)*VLOOKUP('Données projet'!$B$10,Paramètres!$A$1:$I$89,7,0))</f>
        <v>4.3000000000000003E-2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4.4492971835442177</v>
      </c>
      <c r="AV33" s="23">
        <f>EXP(-LN(2)/25)*AV32+(1-EXP(-LN(2)/25))/(LN(2)/25)*Calculateur!AQ33*Calculateur!AS33*VLOOKUP('Données projet'!$B$10,Paramètres!$A$1:$I$89,3,0)*0.475*44/12</f>
        <v>0.88635572104349336</v>
      </c>
      <c r="AW33" s="23">
        <f>EXP(-LN(2)/2)*AW32+(1-EXP(-LN(2)/2))/(LN(2)/2)*AQ33*AT33*VLOOKUP('Données projet'!$B$10,Paramètres!$A$1:$I$89,3,0)*0.475*44/12</f>
        <v>2.6494235762119298</v>
      </c>
      <c r="AX33" s="23">
        <f t="shared" si="6"/>
        <v>7.9850764807996413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132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132</v>
      </c>
      <c r="BE33" s="14">
        <f>BD33*VLOOKUP('Données projet'!$B$11,Paramètres!$A$1:$I$89,3,0)*VLOOKUP('Données projet'!$B$11,Paramètres!$A$1:$I$89,5,0)</f>
        <v>102.96000000000001</v>
      </c>
      <c r="BF33" s="14">
        <f t="shared" si="37"/>
        <v>27.665975080374633</v>
      </c>
      <c r="BG33" s="22">
        <f t="shared" si="7"/>
        <v>227.50690659831915</v>
      </c>
      <c r="BH33" s="62">
        <f t="shared" si="8"/>
        <v>466.61433153136113</v>
      </c>
      <c r="BI33" s="62">
        <f ca="1">AVERAGE(OFFSET($BH$3,0,0,'Données projet'!$E$11+1,1))-AVERAGE(OFFSET($H$3,0,0,'Données projet'!$E$11+1,1))</f>
        <v>252.45744983674379</v>
      </c>
      <c r="BJ33" s="62">
        <f t="shared" si="38"/>
        <v>283.28099819802776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24</v>
      </c>
      <c r="BM33" s="17">
        <f>IF(ISNA(VLOOKUP(A33,'Données projet'!$A$87:$I$107,5,0)),0%,VLOOKUP(A33,'Données projet'!$A$87:$I$107,5,0)*VLOOKUP('Données projet'!$B$11,Paramètres!$A$1:$I$89,7,0))</f>
        <v>0.215</v>
      </c>
      <c r="BN33" s="17">
        <f>IF(ISNA(VLOOKUP(A33,'Données projet'!$A$87:$I$107,6,0)),0%,VLOOKUP(A33,'Données projet'!$A$87:$I$107,6,0)*VLOOKUP('Données projet'!$B$11,Paramètres!$A$1:$I$89,7,0))</f>
        <v>4.3000000000000003E-2</v>
      </c>
      <c r="BO33" s="17">
        <f>IF(ISNA(VLOOKUP(A33,'Données projet'!$A$87:$I$107,7,0)),0%,VLOOKUP(A33,'Données projet'!$A$87:$I$107,7,0))</f>
        <v>0.15</v>
      </c>
      <c r="BP33" s="23">
        <f>EXP(-LN(2)/35)*BP32+(1-EXP(-LN(2)/35))/(LN(2)/35)*BL33*BM33*VLOOKUP('Données projet'!$B$11,Paramètres!$A$1:$I$89,3,0)*0.475*44/12</f>
        <v>4.4492971835442177</v>
      </c>
      <c r="BQ33" s="23">
        <f>EXP(-LN(2)/25)*BQ32+(1-EXP(-LN(2)/25))/(LN(2)/25)*Calculateur!BL33*Calculateur!BN33*VLOOKUP('Données projet'!$B$11,Paramètres!$A$1:$I$89,3,0)*0.475*44/12</f>
        <v>0.88635572104349336</v>
      </c>
      <c r="BR33" s="23">
        <f>EXP(-LN(2)/2)*BR32+(1-EXP(-LN(2)/2))/(LN(2)/2)*BL33*BO33*VLOOKUP('Données projet'!$B$11,Paramètres!$A$1:$I$89,3,0)*0.475*44/12</f>
        <v>2.6494235762119298</v>
      </c>
      <c r="BS33" s="24">
        <f t="shared" si="9"/>
        <v>7.9850764807996413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132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132</v>
      </c>
      <c r="BZ33" s="14">
        <f>BY33*VLOOKUP('Données projet'!$B$12,Paramètres!$A$1:$I$89,3,0)*VLOOKUP('Données projet'!$B$12,Paramètres!$A$1:$I$89,5,0)</f>
        <v>102.96000000000001</v>
      </c>
      <c r="CA33" s="14">
        <f t="shared" si="39"/>
        <v>27.665975080374633</v>
      </c>
      <c r="CB33" s="22">
        <f t="shared" si="10"/>
        <v>227.50690659831915</v>
      </c>
      <c r="CC33" s="62">
        <f t="shared" si="11"/>
        <v>466.61433153136113</v>
      </c>
      <c r="CD33" s="62">
        <f ca="1">AVERAGE(OFFSET($CC$3,0,0,'Données projet'!$E$12+1,1))-AVERAGE(OFFSET($H$3,0,0,'Données projet'!$E$12+1,1))</f>
        <v>252.45744983674379</v>
      </c>
      <c r="CE33" s="62">
        <f t="shared" si="40"/>
        <v>283.28099819802776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24</v>
      </c>
      <c r="CH33" s="17">
        <f>IF(ISNA(VLOOKUP(A33,'Données projet'!$A$113:$I$133,5,0)),0%,VLOOKUP(A33,'Données projet'!$A$113:$I$133,5,0)*VLOOKUP('Données projet'!$B$12,Paramètres!$A$1:$I$89,7,0))</f>
        <v>0.215</v>
      </c>
      <c r="CI33" s="17">
        <f>IF(ISNA(VLOOKUP(A33,'Données projet'!$A$113:$I$133,6,0)),0%,VLOOKUP(A33,'Données projet'!$A$113:$I$133,6,0)*VLOOKUP('Données projet'!$B$12,Paramètres!$A$1:$I$89,7,0))</f>
        <v>4.3000000000000003E-2</v>
      </c>
      <c r="CJ33" s="17">
        <f>IF(ISNA(VLOOKUP(A33,'Données projet'!$A$113:$I$133,7,0)),0%,VLOOKUP(A33,'Données projet'!$A$113:$I$133,7,0))</f>
        <v>0.15</v>
      </c>
      <c r="CK33" s="23">
        <f>EXP(-LN(2)/35)*CK32+(1-EXP(-LN(2)/35))/(LN(2)/35)*CG33*CH33*VLOOKUP('Données projet'!$B$12,Paramètres!$A$1:$I$89,3,0)*0.475*44/12</f>
        <v>4.4492971835442177</v>
      </c>
      <c r="CL33" s="23">
        <f>EXP(-LN(2)/25)*CL32+(1-EXP(-LN(2)/25))/(LN(2)/25)*Calculateur!CG33*Calculateur!CI33*VLOOKUP('Données projet'!$B$12,Paramètres!$A$1:$I$89,3,0)*0.475*44/12</f>
        <v>0.88635572104349336</v>
      </c>
      <c r="CM33" s="23">
        <f>EXP(-LN(2)/2)*CM32+(1-EXP(-LN(2)/2))/(LN(2)/2)*CG33*CJ33*VLOOKUP('Données projet'!$B$12,Paramètres!$A$1:$I$89,3,0)*0.475*44/12</f>
        <v>2.6494235762119298</v>
      </c>
      <c r="CN33" s="24">
        <f t="shared" si="12"/>
        <v>7.9850764807996413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145.33750000000001</v>
      </c>
      <c r="O34" s="14">
        <f>N34*VLOOKUP('Données projet'!$B$9,Paramètres!$A$1:$I$89,3,0)*VLOOKUP('Données projet'!$B$9,Paramètres!$A$1:$I$89,5,0)</f>
        <v>68.017949999999999</v>
      </c>
      <c r="P34" s="14">
        <f t="shared" si="33"/>
        <v>19.180424889093509</v>
      </c>
      <c r="Q34" s="22">
        <f t="shared" si="2"/>
        <v>151.87050293183788</v>
      </c>
      <c r="R34" s="62">
        <f t="shared" si="0"/>
        <v>391.91862614465543</v>
      </c>
      <c r="S34" s="62">
        <f ca="1">AVERAGE(OFFSET($R$3,0,0,'Données projet'!$E$9+1,1))-AVERAGE(OFFSET($H$3,0,0,'Données projet'!$E$9+1,1))</f>
        <v>180.76388336802839</v>
      </c>
      <c r="T34" s="62">
        <f t="shared" si="34"/>
        <v>225.35030757566537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4.9602810242775641</v>
      </c>
      <c r="AB34" s="23">
        <f>EXP(-LN(2)/2)*AB33+(1-EXP(-LN(2)/2))/(LN(2)/2)*V34*Y34*VLOOKUP('Données projet'!$B$9,Paramètres!$A$1:$I$89,3,0)*0.475*44/12</f>
        <v>5.6093868459212413</v>
      </c>
      <c r="AC34" s="24">
        <f t="shared" si="3"/>
        <v>10.569667870198806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</v>
      </c>
      <c r="AI34" s="14">
        <f>IF('Données projet'!$A$62&gt;35,AI33+AH34-AQ33,IF(A34&lt;'Données projet'!$A$62,$AF$205^A34,IF(A34='Données projet'!$A$62,'Données projet'!$B$62,AI33+AH34-AQ33)))</f>
        <v>121</v>
      </c>
      <c r="AJ34" s="14">
        <f>AI34*VLOOKUP('Données projet'!$B$10,Paramètres!$A$1:$I$89,3,0)*VLOOKUP('Données projet'!$B$10,Paramètres!$A$1:$I$89,5,0)</f>
        <v>94.38000000000001</v>
      </c>
      <c r="AK34" s="14">
        <f t="shared" si="35"/>
        <v>25.618636348883211</v>
      </c>
      <c r="AL34" s="22">
        <f t="shared" si="4"/>
        <v>208.99762497430493</v>
      </c>
      <c r="AM34" s="62">
        <f t="shared" si="5"/>
        <v>449.04574818712251</v>
      </c>
      <c r="AN34" s="62">
        <f ca="1">AVERAGE(OFFSET($AM$3,0,0,'Données projet'!$E$10+1,1))-AVERAGE(OFFSET($H$3,0,0,'Données projet'!$E$10+1,1))</f>
        <v>252.45744983674379</v>
      </c>
      <c r="AO34" s="62">
        <f t="shared" si="36"/>
        <v>283.28099819802776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4.3620491795782321</v>
      </c>
      <c r="AV34" s="23">
        <f>EXP(-LN(2)/25)*AV33+(1-EXP(-LN(2)/25))/(LN(2)/25)*Calculateur!AQ34*Calculateur!AS34*VLOOKUP('Données projet'!$B$10,Paramètres!$A$1:$I$89,3,0)*0.475*44/12</f>
        <v>0.86211827724013745</v>
      </c>
      <c r="AW34" s="23">
        <f>EXP(-LN(2)/2)*AW33+(1-EXP(-LN(2)/2))/(LN(2)/2)*AQ34*AT34*VLOOKUP('Données projet'!$B$10,Paramètres!$A$1:$I$89,3,0)*0.475*44/12</f>
        <v>1.8734253769749694</v>
      </c>
      <c r="AX34" s="23">
        <f t="shared" si="6"/>
        <v>7.0975928337933389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</v>
      </c>
      <c r="BD34" s="13">
        <f>IF('Données projet'!$A$88&gt;35,BD33+BC34-BL33,IF(A34&lt;'Données projet'!$A$88,$BA$205^A34,IF(A34='Données projet'!$A$88,'Données projet'!$B$88,BD33+BC34-BL33)))</f>
        <v>121</v>
      </c>
      <c r="BE34" s="14">
        <f>BD34*VLOOKUP('Données projet'!$B$11,Paramètres!$A$1:$I$89,3,0)*VLOOKUP('Données projet'!$B$11,Paramètres!$A$1:$I$89,5,0)</f>
        <v>94.38000000000001</v>
      </c>
      <c r="BF34" s="14">
        <f t="shared" si="37"/>
        <v>25.618636348883211</v>
      </c>
      <c r="BG34" s="22">
        <f t="shared" si="7"/>
        <v>208.99762497430493</v>
      </c>
      <c r="BH34" s="62">
        <f t="shared" si="8"/>
        <v>449.04574818712251</v>
      </c>
      <c r="BI34" s="62">
        <f ca="1">AVERAGE(OFFSET($BH$3,0,0,'Données projet'!$E$11+1,1))-AVERAGE(OFFSET($H$3,0,0,'Données projet'!$E$11+1,1))</f>
        <v>252.45744983674379</v>
      </c>
      <c r="BJ34" s="62">
        <f t="shared" si="38"/>
        <v>283.28099819802776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4.3620491795782321</v>
      </c>
      <c r="BQ34" s="23">
        <f>EXP(-LN(2)/25)*BQ33+(1-EXP(-LN(2)/25))/(LN(2)/25)*Calculateur!BL34*Calculateur!BN34*VLOOKUP('Données projet'!$B$11,Paramètres!$A$1:$I$89,3,0)*0.475*44/12</f>
        <v>0.86211827724013745</v>
      </c>
      <c r="BR34" s="23">
        <f>EXP(-LN(2)/2)*BR33+(1-EXP(-LN(2)/2))/(LN(2)/2)*BL34*BO34*VLOOKUP('Données projet'!$B$11,Paramètres!$A$1:$I$89,3,0)*0.475*44/12</f>
        <v>1.8734253769749694</v>
      </c>
      <c r="BS34" s="24">
        <f t="shared" si="9"/>
        <v>7.0975928337933389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</v>
      </c>
      <c r="BY34" s="13">
        <f>IF('Données projet'!$A$114&gt;35,BY33+BX34-CG33,IF(A34&lt;'Données projet'!$A$114,$BV$205^A34,IF(A34='Données projet'!$A$114,'Données projet'!$B$114,BY33+BX34-CG33)))</f>
        <v>121</v>
      </c>
      <c r="BZ34" s="14">
        <f>BY34*VLOOKUP('Données projet'!$B$12,Paramètres!$A$1:$I$89,3,0)*VLOOKUP('Données projet'!$B$12,Paramètres!$A$1:$I$89,5,0)</f>
        <v>94.38000000000001</v>
      </c>
      <c r="CA34" s="14">
        <f t="shared" si="39"/>
        <v>25.618636348883211</v>
      </c>
      <c r="CB34" s="22">
        <f t="shared" si="10"/>
        <v>208.99762497430493</v>
      </c>
      <c r="CC34" s="62">
        <f t="shared" si="11"/>
        <v>449.04574818712251</v>
      </c>
      <c r="CD34" s="62">
        <f ca="1">AVERAGE(OFFSET($CC$3,0,0,'Données projet'!$E$12+1,1))-AVERAGE(OFFSET($H$3,0,0,'Données projet'!$E$12+1,1))</f>
        <v>252.45744983674379</v>
      </c>
      <c r="CE34" s="62">
        <f t="shared" si="40"/>
        <v>283.28099819802776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4.3620491795782321</v>
      </c>
      <c r="CL34" s="23">
        <f>EXP(-LN(2)/25)*CL33+(1-EXP(-LN(2)/25))/(LN(2)/25)*Calculateur!CG34*Calculateur!CI34*VLOOKUP('Données projet'!$B$12,Paramètres!$A$1:$I$89,3,0)*0.475*44/12</f>
        <v>0.86211827724013745</v>
      </c>
      <c r="CM34" s="23">
        <f>EXP(-LN(2)/2)*CM33+(1-EXP(-LN(2)/2))/(LN(2)/2)*CG34*CJ34*VLOOKUP('Données projet'!$B$12,Paramètres!$A$1:$I$89,3,0)*0.475*44/12</f>
        <v>1.8734253769749694</v>
      </c>
      <c r="CN34" s="24">
        <f t="shared" si="12"/>
        <v>7.0975928337933389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152.33750000000001</v>
      </c>
      <c r="O35" s="14">
        <f>N35*VLOOKUP('Données projet'!$B$9,Paramètres!$A$1:$I$89,3,0)*VLOOKUP('Données projet'!$B$9,Paramètres!$A$1:$I$89,5,0)</f>
        <v>71.293950000000009</v>
      </c>
      <c r="P35" s="14">
        <f t="shared" si="33"/>
        <v>19.994447616803264</v>
      </c>
      <c r="Q35" s="22">
        <f t="shared" ref="Q35:Q66" si="53">(O35+P35)*0.475*44/12</f>
        <v>158.99395918259904</v>
      </c>
      <c r="R35" s="62">
        <f t="shared" si="0"/>
        <v>399.96646166312439</v>
      </c>
      <c r="S35" s="62">
        <f ca="1">AVERAGE(OFFSET($R$3,0,0,'Données projet'!$E$9+1,1))-AVERAGE(OFFSET($H$3,0,0,'Données projet'!$E$9+1,1))</f>
        <v>180.76388336802839</v>
      </c>
      <c r="T35" s="62">
        <f t="shared" si="34"/>
        <v>225.35030757566537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4.8246418788188521</v>
      </c>
      <c r="AB35" s="23">
        <f>EXP(-LN(2)/2)*AB34+(1-EXP(-LN(2)/2))/(LN(2)/2)*V35*Y35*VLOOKUP('Données projet'!$B$9,Paramètres!$A$1:$I$89,3,0)*0.475*44/12</f>
        <v>3.9664354770495294</v>
      </c>
      <c r="AC35" s="24">
        <f t="shared" si="3"/>
        <v>8.7910773558683815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</v>
      </c>
      <c r="AI35" s="14">
        <f>IF('Données projet'!$A$62&gt;35,AI34+AH35-AQ34,IF(A35&lt;'Données projet'!$A$62,$AF$205^A35,IF(A35='Données projet'!$A$62,'Données projet'!$B$62,AI34+AH35-AQ34)))</f>
        <v>134</v>
      </c>
      <c r="AJ35" s="14">
        <f>AI35*VLOOKUP('Données projet'!$B$10,Paramètres!$A$1:$I$89,3,0)*VLOOKUP('Données projet'!$B$10,Paramètres!$A$1:$I$89,5,0)</f>
        <v>104.52000000000001</v>
      </c>
      <c r="AK35" s="14">
        <f t="shared" si="35"/>
        <v>28.036039012748962</v>
      </c>
      <c r="AL35" s="22">
        <f t="shared" si="4"/>
        <v>230.86843461387113</v>
      </c>
      <c r="AM35" s="62">
        <f t="shared" si="5"/>
        <v>471.84093709439645</v>
      </c>
      <c r="AN35" s="62">
        <f ca="1">AVERAGE(OFFSET($AM$3,0,0,'Données projet'!$E$10+1,1))-AVERAGE(OFFSET($H$3,0,0,'Données projet'!$E$10+1,1))</f>
        <v>252.45744983674379</v>
      </c>
      <c r="AO35" s="62">
        <f t="shared" si="36"/>
        <v>283.28099819802776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4.2765120557539911</v>
      </c>
      <c r="AV35" s="23">
        <f>EXP(-LN(2)/25)*AV34+(1-EXP(-LN(2)/25))/(LN(2)/25)*Calculateur!AQ35*Calculateur!AS35*VLOOKUP('Données projet'!$B$10,Paramètres!$A$1:$I$89,3,0)*0.475*44/12</f>
        <v>0.83854360761217606</v>
      </c>
      <c r="AW35" s="23">
        <f>EXP(-LN(2)/2)*AW34+(1-EXP(-LN(2)/2))/(LN(2)/2)*AQ35*AT35*VLOOKUP('Données projet'!$B$10,Paramètres!$A$1:$I$89,3,0)*0.475*44/12</f>
        <v>1.3247117881059651</v>
      </c>
      <c r="AX35" s="23">
        <f t="shared" si="6"/>
        <v>6.4397674514721324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</v>
      </c>
      <c r="BD35" s="13">
        <f>IF('Données projet'!$A$88&gt;35,BD34+BC35-BL34,IF(A35&lt;'Données projet'!$A$88,$BA$205^A35,IF(A35='Données projet'!$A$88,'Données projet'!$B$88,BD34+BC35-BL34)))</f>
        <v>134</v>
      </c>
      <c r="BE35" s="14">
        <f>BD35*VLOOKUP('Données projet'!$B$11,Paramètres!$A$1:$I$89,3,0)*VLOOKUP('Données projet'!$B$11,Paramètres!$A$1:$I$89,5,0)</f>
        <v>104.52000000000001</v>
      </c>
      <c r="BF35" s="14">
        <f t="shared" si="37"/>
        <v>28.036039012748962</v>
      </c>
      <c r="BG35" s="22">
        <f t="shared" si="7"/>
        <v>230.86843461387113</v>
      </c>
      <c r="BH35" s="62">
        <f t="shared" si="8"/>
        <v>471.84093709439645</v>
      </c>
      <c r="BI35" s="62">
        <f ca="1">AVERAGE(OFFSET($BH$3,0,0,'Données projet'!$E$11+1,1))-AVERAGE(OFFSET($H$3,0,0,'Données projet'!$E$11+1,1))</f>
        <v>252.45744983674379</v>
      </c>
      <c r="BJ35" s="62">
        <f t="shared" si="38"/>
        <v>283.28099819802776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4.2765120557539911</v>
      </c>
      <c r="BQ35" s="23">
        <f>EXP(-LN(2)/25)*BQ34+(1-EXP(-LN(2)/25))/(LN(2)/25)*Calculateur!BL35*Calculateur!BN35*VLOOKUP('Données projet'!$B$11,Paramètres!$A$1:$I$89,3,0)*0.475*44/12</f>
        <v>0.83854360761217606</v>
      </c>
      <c r="BR35" s="23">
        <f>EXP(-LN(2)/2)*BR34+(1-EXP(-LN(2)/2))/(LN(2)/2)*BL35*BO35*VLOOKUP('Données projet'!$B$11,Paramètres!$A$1:$I$89,3,0)*0.475*44/12</f>
        <v>1.3247117881059651</v>
      </c>
      <c r="BS35" s="24">
        <f t="shared" si="9"/>
        <v>6.4397674514721324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</v>
      </c>
      <c r="BY35" s="13">
        <f>IF('Données projet'!$A$114&gt;35,BY34+BX35-CG34,IF(A35&lt;'Données projet'!$A$114,$BV$205^A35,IF(A35='Données projet'!$A$114,'Données projet'!$B$114,BY34+BX35-CG34)))</f>
        <v>134</v>
      </c>
      <c r="BZ35" s="14">
        <f>BY35*VLOOKUP('Données projet'!$B$12,Paramètres!$A$1:$I$89,3,0)*VLOOKUP('Données projet'!$B$12,Paramètres!$A$1:$I$89,5,0)</f>
        <v>104.52000000000001</v>
      </c>
      <c r="CA35" s="14">
        <f t="shared" si="39"/>
        <v>28.036039012748962</v>
      </c>
      <c r="CB35" s="22">
        <f t="shared" si="10"/>
        <v>230.86843461387113</v>
      </c>
      <c r="CC35" s="62">
        <f t="shared" si="11"/>
        <v>471.84093709439645</v>
      </c>
      <c r="CD35" s="62">
        <f ca="1">AVERAGE(OFFSET($CC$3,0,0,'Données projet'!$E$12+1,1))-AVERAGE(OFFSET($H$3,0,0,'Données projet'!$E$12+1,1))</f>
        <v>252.45744983674379</v>
      </c>
      <c r="CE35" s="62">
        <f t="shared" si="40"/>
        <v>283.28099819802776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4.2765120557539911</v>
      </c>
      <c r="CL35" s="23">
        <f>EXP(-LN(2)/25)*CL34+(1-EXP(-LN(2)/25))/(LN(2)/25)*Calculateur!CG35*Calculateur!CI35*VLOOKUP('Données projet'!$B$12,Paramètres!$A$1:$I$89,3,0)*0.475*44/12</f>
        <v>0.83854360761217606</v>
      </c>
      <c r="CM35" s="23">
        <f>EXP(-LN(2)/2)*CM34+(1-EXP(-LN(2)/2))/(LN(2)/2)*CG35*CJ35*VLOOKUP('Données projet'!$B$12,Paramètres!$A$1:$I$89,3,0)*0.475*44/12</f>
        <v>1.3247117881059651</v>
      </c>
      <c r="CN35" s="24">
        <f t="shared" si="12"/>
        <v>6.4397674514721324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159.33750000000001</v>
      </c>
      <c r="O36" s="14">
        <f>N36*VLOOKUP('Données projet'!$B$9,Paramètres!$A$1:$I$89,3,0)*VLOOKUP('Données projet'!$B$9,Paramètres!$A$1:$I$89,5,0)</f>
        <v>74.569950000000006</v>
      </c>
      <c r="P36" s="14">
        <f t="shared" si="33"/>
        <v>20.804126430622269</v>
      </c>
      <c r="Q36" s="22">
        <f t="shared" si="53"/>
        <v>166.10984978333377</v>
      </c>
      <c r="R36" s="62">
        <f t="shared" si="0"/>
        <v>407.99069561787451</v>
      </c>
      <c r="S36" s="62">
        <f ca="1">AVERAGE(OFFSET($R$3,0,0,'Données projet'!$E$9+1,1))-AVERAGE(OFFSET($H$3,0,0,'Données projet'!$E$9+1,1))</f>
        <v>180.76388336802839</v>
      </c>
      <c r="T36" s="62">
        <f t="shared" si="34"/>
        <v>225.35030757566537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4.6927117929256612</v>
      </c>
      <c r="AB36" s="23">
        <f>EXP(-LN(2)/2)*AB35+(1-EXP(-LN(2)/2))/(LN(2)/2)*V36*Y36*VLOOKUP('Données projet'!$B$9,Paramètres!$A$1:$I$89,3,0)*0.475*44/12</f>
        <v>2.8046934229606211</v>
      </c>
      <c r="AC36" s="24">
        <f t="shared" si="3"/>
        <v>7.4974052158862818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</v>
      </c>
      <c r="AI36" s="14">
        <f>IF('Données projet'!$A$62&gt;35,AI35+AH36-AQ35,IF(A36&lt;'Données projet'!$A$62,$AF$205^A36,IF(A36='Données projet'!$A$62,'Données projet'!$B$62,AI35+AH36-AQ35)))</f>
        <v>147</v>
      </c>
      <c r="AJ36" s="14">
        <f>AI36*VLOOKUP('Données projet'!$B$10,Paramètres!$A$1:$I$89,3,0)*VLOOKUP('Données projet'!$B$10,Paramètres!$A$1:$I$89,5,0)</f>
        <v>114.66000000000001</v>
      </c>
      <c r="AK36" s="14">
        <f t="shared" si="35"/>
        <v>30.426251641117418</v>
      </c>
      <c r="AL36" s="22">
        <f t="shared" si="4"/>
        <v>252.69188827494614</v>
      </c>
      <c r="AM36" s="62">
        <f t="shared" si="5"/>
        <v>494.57273410948687</v>
      </c>
      <c r="AN36" s="62">
        <f ca="1">AVERAGE(OFFSET($AM$3,0,0,'Données projet'!$E$10+1,1))-AVERAGE(OFFSET($H$3,0,0,'Données projet'!$E$10+1,1))</f>
        <v>252.45744983674379</v>
      </c>
      <c r="AO36" s="62">
        <f t="shared" si="36"/>
        <v>283.28099819802776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4.1926522627554501</v>
      </c>
      <c r="AV36" s="23">
        <f>EXP(-LN(2)/25)*AV35+(1-EXP(-LN(2)/25))/(LN(2)/25)*Calculateur!AQ36*Calculateur!AS36*VLOOKUP('Données projet'!$B$10,Paramètres!$A$1:$I$89,3,0)*0.475*44/12</f>
        <v>0.81561358856492927</v>
      </c>
      <c r="AW36" s="23">
        <f>EXP(-LN(2)/2)*AW35+(1-EXP(-LN(2)/2))/(LN(2)/2)*AQ36*AT36*VLOOKUP('Données projet'!$B$10,Paramètres!$A$1:$I$89,3,0)*0.475*44/12</f>
        <v>0.9367126884874849</v>
      </c>
      <c r="AX36" s="23">
        <f t="shared" si="6"/>
        <v>5.9449785398078641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</v>
      </c>
      <c r="BD36" s="13">
        <f>IF('Données projet'!$A$88&gt;35,BD35+BC36-BL35,IF(A36&lt;'Données projet'!$A$88,$BA$205^A36,IF(A36='Données projet'!$A$88,'Données projet'!$B$88,BD35+BC36-BL35)))</f>
        <v>147</v>
      </c>
      <c r="BE36" s="14">
        <f>BD36*VLOOKUP('Données projet'!$B$11,Paramètres!$A$1:$I$89,3,0)*VLOOKUP('Données projet'!$B$11,Paramètres!$A$1:$I$89,5,0)</f>
        <v>114.66000000000001</v>
      </c>
      <c r="BF36" s="14">
        <f t="shared" si="37"/>
        <v>30.426251641117418</v>
      </c>
      <c r="BG36" s="22">
        <f t="shared" si="7"/>
        <v>252.69188827494614</v>
      </c>
      <c r="BH36" s="62">
        <f t="shared" si="8"/>
        <v>494.57273410948687</v>
      </c>
      <c r="BI36" s="62">
        <f ca="1">AVERAGE(OFFSET($BH$3,0,0,'Données projet'!$E$11+1,1))-AVERAGE(OFFSET($H$3,0,0,'Données projet'!$E$11+1,1))</f>
        <v>252.45744983674379</v>
      </c>
      <c r="BJ36" s="62">
        <f t="shared" si="38"/>
        <v>283.28099819802776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4.1926522627554501</v>
      </c>
      <c r="BQ36" s="23">
        <f>EXP(-LN(2)/25)*BQ35+(1-EXP(-LN(2)/25))/(LN(2)/25)*Calculateur!BL36*Calculateur!BN36*VLOOKUP('Données projet'!$B$11,Paramètres!$A$1:$I$89,3,0)*0.475*44/12</f>
        <v>0.81561358856492927</v>
      </c>
      <c r="BR36" s="23">
        <f>EXP(-LN(2)/2)*BR35+(1-EXP(-LN(2)/2))/(LN(2)/2)*BL36*BO36*VLOOKUP('Données projet'!$B$11,Paramètres!$A$1:$I$89,3,0)*0.475*44/12</f>
        <v>0.9367126884874849</v>
      </c>
      <c r="BS36" s="24">
        <f t="shared" si="9"/>
        <v>5.9449785398078641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</v>
      </c>
      <c r="BY36" s="13">
        <f>IF('Données projet'!$A$114&gt;35,BY35+BX36-CG35,IF(A36&lt;'Données projet'!$A$114,$BV$205^A36,IF(A36='Données projet'!$A$114,'Données projet'!$B$114,BY35+BX36-CG35)))</f>
        <v>147</v>
      </c>
      <c r="BZ36" s="14">
        <f>BY36*VLOOKUP('Données projet'!$B$12,Paramètres!$A$1:$I$89,3,0)*VLOOKUP('Données projet'!$B$12,Paramètres!$A$1:$I$89,5,0)</f>
        <v>114.66000000000001</v>
      </c>
      <c r="CA36" s="14">
        <f t="shared" si="39"/>
        <v>30.426251641117418</v>
      </c>
      <c r="CB36" s="22">
        <f t="shared" si="10"/>
        <v>252.69188827494614</v>
      </c>
      <c r="CC36" s="62">
        <f t="shared" si="11"/>
        <v>494.57273410948687</v>
      </c>
      <c r="CD36" s="62">
        <f ca="1">AVERAGE(OFFSET($CC$3,0,0,'Données projet'!$E$12+1,1))-AVERAGE(OFFSET($H$3,0,0,'Données projet'!$E$12+1,1))</f>
        <v>252.45744983674379</v>
      </c>
      <c r="CE36" s="62">
        <f t="shared" si="40"/>
        <v>283.28099819802776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4.1926522627554501</v>
      </c>
      <c r="CL36" s="23">
        <f>EXP(-LN(2)/25)*CL35+(1-EXP(-LN(2)/25))/(LN(2)/25)*Calculateur!CG36*Calculateur!CI36*VLOOKUP('Données projet'!$B$12,Paramètres!$A$1:$I$89,3,0)*0.475*44/12</f>
        <v>0.81561358856492927</v>
      </c>
      <c r="CM36" s="23">
        <f>EXP(-LN(2)/2)*CM35+(1-EXP(-LN(2)/2))/(LN(2)/2)*CG36*CJ36*VLOOKUP('Données projet'!$B$12,Paramètres!$A$1:$I$89,3,0)*0.475*44/12</f>
        <v>0.9367126884874849</v>
      </c>
      <c r="CN36" s="24">
        <f t="shared" si="12"/>
        <v>5.9449785398078641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166.33750000000001</v>
      </c>
      <c r="O37" s="14">
        <f>N37*VLOOKUP('Données projet'!$B$9,Paramètres!$A$1:$I$89,3,0)*VLOOKUP('Données projet'!$B$9,Paramètres!$A$1:$I$89,5,0)</f>
        <v>77.845950000000002</v>
      </c>
      <c r="P37" s="14">
        <f t="shared" si="33"/>
        <v>21.609673976184716</v>
      </c>
      <c r="Q37" s="22">
        <f t="shared" si="53"/>
        <v>173.21854509185502</v>
      </c>
      <c r="R37" s="62">
        <f t="shared" si="0"/>
        <v>415.99197655397063</v>
      </c>
      <c r="S37" s="62">
        <f ca="1">AVERAGE(OFFSET($R$3,0,0,'Données projet'!$E$9+1,1))-AVERAGE(OFFSET($H$3,0,0,'Données projet'!$E$9+1,1))</f>
        <v>180.76388336802839</v>
      </c>
      <c r="T37" s="62">
        <f t="shared" si="34"/>
        <v>225.35030757566537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4.5643893421691208</v>
      </c>
      <c r="AB37" s="23">
        <f>EXP(-LN(2)/2)*AB36+(1-EXP(-LN(2)/2))/(LN(2)/2)*V37*Y37*VLOOKUP('Données projet'!$B$9,Paramètres!$A$1:$I$89,3,0)*0.475*44/12</f>
        <v>1.9832177385247649</v>
      </c>
      <c r="AC37" s="24">
        <f t="shared" si="3"/>
        <v>6.5476070806938855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</v>
      </c>
      <c r="AI37" s="14">
        <f>IF('Données projet'!$A$62&gt;35,AI36+AH37-AQ36,IF(A37&lt;'Données projet'!$A$62,$AF$205^A37,IF(A37='Données projet'!$A$62,'Données projet'!$B$62,AI36+AH37-AQ36)))</f>
        <v>160</v>
      </c>
      <c r="AJ37" s="14">
        <f>AI37*VLOOKUP('Données projet'!$B$10,Paramètres!$A$1:$I$89,3,0)*VLOOKUP('Données projet'!$B$10,Paramètres!$A$1:$I$89,5,0)</f>
        <v>124.80000000000001</v>
      </c>
      <c r="AK37" s="14">
        <f t="shared" si="35"/>
        <v>32.791952217579265</v>
      </c>
      <c r="AL37" s="22">
        <f t="shared" si="4"/>
        <v>274.47265011228387</v>
      </c>
      <c r="AM37" s="62">
        <f t="shared" si="5"/>
        <v>517.24608157439945</v>
      </c>
      <c r="AN37" s="62">
        <f ca="1">AVERAGE(OFFSET($AM$3,0,0,'Données projet'!$E$10+1,1))-AVERAGE(OFFSET($H$3,0,0,'Données projet'!$E$10+1,1))</f>
        <v>252.45744983674379</v>
      </c>
      <c r="AO37" s="62">
        <f t="shared" si="36"/>
        <v>283.28099819802776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4.1104369091481869</v>
      </c>
      <c r="AV37" s="23">
        <f>EXP(-LN(2)/25)*AV36+(1-EXP(-LN(2)/25))/(LN(2)/25)*Calculateur!AQ37*Calculateur!AS37*VLOOKUP('Données projet'!$B$10,Paramètres!$A$1:$I$89,3,0)*0.475*44/12</f>
        <v>0.79331059209436672</v>
      </c>
      <c r="AW37" s="23">
        <f>EXP(-LN(2)/2)*AW36+(1-EXP(-LN(2)/2))/(LN(2)/2)*AQ37*AT37*VLOOKUP('Données projet'!$B$10,Paramètres!$A$1:$I$89,3,0)*0.475*44/12</f>
        <v>0.66235589405298267</v>
      </c>
      <c r="AX37" s="23">
        <f t="shared" si="6"/>
        <v>5.5661033952955359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</v>
      </c>
      <c r="BD37" s="13">
        <f>IF('Données projet'!$A$88&gt;35,BD36+BC37-BL36,IF(A37&lt;'Données projet'!$A$88,$BA$205^A37,IF(A37='Données projet'!$A$88,'Données projet'!$B$88,BD36+BC37-BL36)))</f>
        <v>160</v>
      </c>
      <c r="BE37" s="14">
        <f>BD37*VLOOKUP('Données projet'!$B$11,Paramètres!$A$1:$I$89,3,0)*VLOOKUP('Données projet'!$B$11,Paramètres!$A$1:$I$89,5,0)</f>
        <v>124.80000000000001</v>
      </c>
      <c r="BF37" s="14">
        <f t="shared" si="37"/>
        <v>32.791952217579265</v>
      </c>
      <c r="BG37" s="22">
        <f t="shared" si="7"/>
        <v>274.47265011228387</v>
      </c>
      <c r="BH37" s="62">
        <f t="shared" si="8"/>
        <v>517.24608157439945</v>
      </c>
      <c r="BI37" s="62">
        <f ca="1">AVERAGE(OFFSET($BH$3,0,0,'Données projet'!$E$11+1,1))-AVERAGE(OFFSET($H$3,0,0,'Données projet'!$E$11+1,1))</f>
        <v>252.45744983674379</v>
      </c>
      <c r="BJ37" s="62">
        <f t="shared" si="38"/>
        <v>283.28099819802776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4.1104369091481869</v>
      </c>
      <c r="BQ37" s="23">
        <f>EXP(-LN(2)/25)*BQ36+(1-EXP(-LN(2)/25))/(LN(2)/25)*Calculateur!BL37*Calculateur!BN37*VLOOKUP('Données projet'!$B$11,Paramètres!$A$1:$I$89,3,0)*0.475*44/12</f>
        <v>0.79331059209436672</v>
      </c>
      <c r="BR37" s="23">
        <f>EXP(-LN(2)/2)*BR36+(1-EXP(-LN(2)/2))/(LN(2)/2)*BL37*BO37*VLOOKUP('Données projet'!$B$11,Paramètres!$A$1:$I$89,3,0)*0.475*44/12</f>
        <v>0.66235589405298267</v>
      </c>
      <c r="BS37" s="24">
        <f t="shared" si="9"/>
        <v>5.5661033952955359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</v>
      </c>
      <c r="BY37" s="13">
        <f>IF('Données projet'!$A$114&gt;35,BY36+BX37-CG36,IF(A37&lt;'Données projet'!$A$114,$BV$205^A37,IF(A37='Données projet'!$A$114,'Données projet'!$B$114,BY36+BX37-CG36)))</f>
        <v>160</v>
      </c>
      <c r="BZ37" s="14">
        <f>BY37*VLOOKUP('Données projet'!$B$12,Paramètres!$A$1:$I$89,3,0)*VLOOKUP('Données projet'!$B$12,Paramètres!$A$1:$I$89,5,0)</f>
        <v>124.80000000000001</v>
      </c>
      <c r="CA37" s="14">
        <f t="shared" si="39"/>
        <v>32.791952217579265</v>
      </c>
      <c r="CB37" s="22">
        <f t="shared" si="10"/>
        <v>274.47265011228387</v>
      </c>
      <c r="CC37" s="62">
        <f t="shared" si="11"/>
        <v>517.24608157439945</v>
      </c>
      <c r="CD37" s="62">
        <f ca="1">AVERAGE(OFFSET($CC$3,0,0,'Données projet'!$E$12+1,1))-AVERAGE(OFFSET($H$3,0,0,'Données projet'!$E$12+1,1))</f>
        <v>252.45744983674379</v>
      </c>
      <c r="CE37" s="62">
        <f t="shared" si="40"/>
        <v>283.28099819802776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4.1104369091481869</v>
      </c>
      <c r="CL37" s="23">
        <f>EXP(-LN(2)/25)*CL36+(1-EXP(-LN(2)/25))/(LN(2)/25)*Calculateur!CG37*Calculateur!CI37*VLOOKUP('Données projet'!$B$12,Paramètres!$A$1:$I$89,3,0)*0.475*44/12</f>
        <v>0.79331059209436672</v>
      </c>
      <c r="CM37" s="23">
        <f>EXP(-LN(2)/2)*CM36+(1-EXP(-LN(2)/2))/(LN(2)/2)*CG37*CJ37*VLOOKUP('Données projet'!$B$12,Paramètres!$A$1:$I$89,3,0)*0.475*44/12</f>
        <v>0.66235589405298267</v>
      </c>
      <c r="CN37" s="24">
        <f t="shared" si="12"/>
        <v>5.5661033952955359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173.33750000000001</v>
      </c>
      <c r="O38" s="14">
        <f>N38*VLOOKUP('Données projet'!$B$9,Paramètres!$A$1:$I$89,3,0)*VLOOKUP('Données projet'!$B$9,Paramètres!$A$1:$I$89,5,0)</f>
        <v>81.121949999999998</v>
      </c>
      <c r="P38" s="14">
        <f t="shared" si="33"/>
        <v>22.411283989084154</v>
      </c>
      <c r="Q38" s="22">
        <f t="shared" si="53"/>
        <v>180.32038253098821</v>
      </c>
      <c r="R38" s="62">
        <f t="shared" si="0"/>
        <v>423.97091525556272</v>
      </c>
      <c r="S38" s="62">
        <f ca="1">AVERAGE(OFFSET($R$3,0,0,'Données projet'!$E$9+1,1))-AVERAGE(OFFSET($H$3,0,0,'Données projet'!$E$9+1,1))</f>
        <v>180.76388336802839</v>
      </c>
      <c r="T38" s="62">
        <f t="shared" si="34"/>
        <v>225.35030757566537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4.4395758755767032</v>
      </c>
      <c r="AB38" s="23">
        <f>EXP(-LN(2)/2)*AB37+(1-EXP(-LN(2)/2))/(LN(2)/2)*V38*Y38*VLOOKUP('Données projet'!$B$9,Paramètres!$A$1:$I$89,3,0)*0.475*44/12</f>
        <v>1.4023467114803108</v>
      </c>
      <c r="AC38" s="24">
        <f t="shared" si="3"/>
        <v>5.8419225870570139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173</v>
      </c>
      <c r="AG38" s="13">
        <f>VLOOKUP(A38,'Données projet'!$A$61:$I$81,9,0)</f>
        <v>13</v>
      </c>
      <c r="AH38" s="13">
        <f t="array" ref="AH38">INDEX(AG:AG,MIN(IF(ISNUMBER(AG38:AG234),ROW(AG38:AG234),"")))</f>
        <v>13</v>
      </c>
      <c r="AI38" s="14">
        <f>IF('Données projet'!$A$62&gt;35,AI37+AH38-AQ37,IF(A38&lt;'Données projet'!$A$62,$AF$205^A38,IF(A38='Données projet'!$A$62,'Données projet'!$B$62,AI37+AH38-AQ37)))</f>
        <v>173</v>
      </c>
      <c r="AJ38" s="14">
        <f>AI38*VLOOKUP('Données projet'!$B$10,Paramètres!$A$1:$I$89,3,0)*VLOOKUP('Données projet'!$B$10,Paramètres!$A$1:$I$89,5,0)</f>
        <v>134.94</v>
      </c>
      <c r="AK38" s="14">
        <f t="shared" si="35"/>
        <v>35.135358771568036</v>
      </c>
      <c r="AL38" s="22">
        <f t="shared" si="4"/>
        <v>296.21458319381429</v>
      </c>
      <c r="AM38" s="62">
        <f t="shared" si="5"/>
        <v>539.86511591838882</v>
      </c>
      <c r="AN38" s="62">
        <f ca="1">AVERAGE(OFFSET($AM$3,0,0,'Données projet'!$E$10+1,1))-AVERAGE(OFFSET($H$3,0,0,'Données projet'!$E$10+1,1))</f>
        <v>252.45744983674379</v>
      </c>
      <c r="AO38" s="62">
        <f t="shared" si="36"/>
        <v>283.28099819802776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27</v>
      </c>
      <c r="AR38" s="17">
        <f>IF(ISNA(VLOOKUP(A38,'Données projet'!$A$61:$I$81,5,0)),0%,VLOOKUP(A38,'Données projet'!$A$61:$I$81,5,0)*VLOOKUP('Données projet'!$B$10,Paramètres!$A$1:$I$89,7,0))</f>
        <v>0.215</v>
      </c>
      <c r="AS38" s="17">
        <f>IF(ISNA(VLOOKUP(A38,'Données projet'!$A$61:$I$81,6,0)),0%,VLOOKUP(A38,'Données projet'!$A$61:$I$81,6,0)*VLOOKUP('Données projet'!$B$10,Paramètres!$A$1:$I$89,7,0))</f>
        <v>4.3000000000000003E-2</v>
      </c>
      <c r="AT38" s="17">
        <f>IF(ISNA(VLOOKUP(A38,'Données projet'!$A$61:$I$81,7,0)),0%,VLOOKUP(A38,'Données projet'!$A$61:$I$81,7,0))</f>
        <v>0.15</v>
      </c>
      <c r="AU38" s="23">
        <f>EXP(-LN(2)/35)*AU37+(1-EXP(-LN(2)/35))/(LN(2)/35)*AQ38*AR38*VLOOKUP('Données projet'!$B$10,Paramètres!$A$1:$I$89,3,0)*0.475*44/12</f>
        <v>9.0352930799659923</v>
      </c>
      <c r="AV38" s="23">
        <f>EXP(-LN(2)/25)*AV37+(1-EXP(-LN(2)/25))/(LN(2)/25)*Calculateur!AQ38*Calculateur!AS38*VLOOKUP('Données projet'!$B$10,Paramètres!$A$1:$I$89,3,0)*0.475*44/12</f>
        <v>1.7687676584090855</v>
      </c>
      <c r="AW38" s="23">
        <f>EXP(-LN(2)/2)*AW37+(1-EXP(-LN(2)/2))/(LN(2)/2)*AQ38*AT38*VLOOKUP('Données projet'!$B$10,Paramètres!$A$1:$I$89,3,0)*0.475*44/12</f>
        <v>3.4489578674821639</v>
      </c>
      <c r="AX38" s="23">
        <f t="shared" si="6"/>
        <v>14.253018605857243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173</v>
      </c>
      <c r="BB38" s="13">
        <f>VLOOKUP(A38,'Données projet'!$A$87:$I$107,9,0)</f>
        <v>13</v>
      </c>
      <c r="BC38" s="13">
        <f t="array" ref="BC38">INDEX(BB:BB,MIN(IF(ISNUMBER(BB38:BB234),ROW(BB38:BB234),"")))</f>
        <v>13</v>
      </c>
      <c r="BD38" s="13">
        <f>IF('Données projet'!$A$88&gt;35,BD37+BC38-BL37,IF(A38&lt;'Données projet'!$A$88,$BA$205^A38,IF(A38='Données projet'!$A$88,'Données projet'!$B$88,BD37+BC38-BL37)))</f>
        <v>173</v>
      </c>
      <c r="BE38" s="14">
        <f>BD38*VLOOKUP('Données projet'!$B$11,Paramètres!$A$1:$I$89,3,0)*VLOOKUP('Données projet'!$B$11,Paramètres!$A$1:$I$89,5,0)</f>
        <v>134.94</v>
      </c>
      <c r="BF38" s="14">
        <f t="shared" si="37"/>
        <v>35.135358771568036</v>
      </c>
      <c r="BG38" s="22">
        <f t="shared" si="7"/>
        <v>296.21458319381429</v>
      </c>
      <c r="BH38" s="62">
        <f t="shared" si="8"/>
        <v>539.86511591838882</v>
      </c>
      <c r="BI38" s="62">
        <f ca="1">AVERAGE(OFFSET($BH$3,0,0,'Données projet'!$E$11+1,1))-AVERAGE(OFFSET($H$3,0,0,'Données projet'!$E$11+1,1))</f>
        <v>252.45744983674379</v>
      </c>
      <c r="BJ38" s="62">
        <f t="shared" si="38"/>
        <v>283.28099819802776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27</v>
      </c>
      <c r="BM38" s="17">
        <f>IF(ISNA(VLOOKUP(A38,'Données projet'!$A$87:$I$107,5,0)),0%,VLOOKUP(A38,'Données projet'!$A$87:$I$107,5,0)*VLOOKUP('Données projet'!$B$11,Paramètres!$A$1:$I$89,7,0))</f>
        <v>0.215</v>
      </c>
      <c r="BN38" s="17">
        <f>IF(ISNA(VLOOKUP(A38,'Données projet'!$A$87:$I$107,6,0)),0%,VLOOKUP(A38,'Données projet'!$A$87:$I$107,6,0)*VLOOKUP('Données projet'!$B$11,Paramètres!$A$1:$I$89,7,0))</f>
        <v>4.3000000000000003E-2</v>
      </c>
      <c r="BO38" s="17">
        <f>IF(ISNA(VLOOKUP(A38,'Données projet'!$A$87:$I$107,7,0)),0%,VLOOKUP(A38,'Données projet'!$A$87:$I$107,7,0))</f>
        <v>0.15</v>
      </c>
      <c r="BP38" s="23">
        <f>EXP(-LN(2)/35)*BP37+(1-EXP(-LN(2)/35))/(LN(2)/35)*BL38*BM38*VLOOKUP('Données projet'!$B$11,Paramètres!$A$1:$I$89,3,0)*0.475*44/12</f>
        <v>9.0352930799659923</v>
      </c>
      <c r="BQ38" s="23">
        <f>EXP(-LN(2)/25)*BQ37+(1-EXP(-LN(2)/25))/(LN(2)/25)*Calculateur!BL38*Calculateur!BN38*VLOOKUP('Données projet'!$B$11,Paramètres!$A$1:$I$89,3,0)*0.475*44/12</f>
        <v>1.7687676584090855</v>
      </c>
      <c r="BR38" s="23">
        <f>EXP(-LN(2)/2)*BR37+(1-EXP(-LN(2)/2))/(LN(2)/2)*BL38*BO38*VLOOKUP('Données projet'!$B$11,Paramètres!$A$1:$I$89,3,0)*0.475*44/12</f>
        <v>3.4489578674821639</v>
      </c>
      <c r="BS38" s="24">
        <f t="shared" si="9"/>
        <v>14.253018605857243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173</v>
      </c>
      <c r="BW38" s="13">
        <f>VLOOKUP(A38,'Données projet'!$A$113:$I$133,9,0)</f>
        <v>13</v>
      </c>
      <c r="BX38" s="13">
        <f t="array" ref="BX38">INDEX(BW:BW,MIN(IF(ISNUMBER(BW38:BW234),ROW(BW38:BW234),"")))</f>
        <v>13</v>
      </c>
      <c r="BY38" s="13">
        <f>IF('Données projet'!$A$114&gt;35,BY37+BX38-CG37,IF(A38&lt;'Données projet'!$A$114,$BV$205^A38,IF(A38='Données projet'!$A$114,'Données projet'!$B$114,BY37+BX38-CG37)))</f>
        <v>173</v>
      </c>
      <c r="BZ38" s="14">
        <f>BY38*VLOOKUP('Données projet'!$B$12,Paramètres!$A$1:$I$89,3,0)*VLOOKUP('Données projet'!$B$12,Paramètres!$A$1:$I$89,5,0)</f>
        <v>134.94</v>
      </c>
      <c r="CA38" s="14">
        <f t="shared" si="39"/>
        <v>35.135358771568036</v>
      </c>
      <c r="CB38" s="22">
        <f t="shared" si="10"/>
        <v>296.21458319381429</v>
      </c>
      <c r="CC38" s="62">
        <f t="shared" si="11"/>
        <v>539.86511591838882</v>
      </c>
      <c r="CD38" s="62">
        <f ca="1">AVERAGE(OFFSET($CC$3,0,0,'Données projet'!$E$12+1,1))-AVERAGE(OFFSET($H$3,0,0,'Données projet'!$E$12+1,1))</f>
        <v>252.45744983674379</v>
      </c>
      <c r="CE38" s="62">
        <f t="shared" si="40"/>
        <v>283.28099819802776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27</v>
      </c>
      <c r="CH38" s="17">
        <f>IF(ISNA(VLOOKUP(A38,'Données projet'!$A$113:$I$133,5,0)),0%,VLOOKUP(A38,'Données projet'!$A$113:$I$133,5,0)*VLOOKUP('Données projet'!$B$12,Paramètres!$A$1:$I$89,7,0))</f>
        <v>0.215</v>
      </c>
      <c r="CI38" s="17">
        <f>IF(ISNA(VLOOKUP(A38,'Données projet'!$A$113:$I$133,6,0)),0%,VLOOKUP(A38,'Données projet'!$A$113:$I$133,6,0)*VLOOKUP('Données projet'!$B$12,Paramètres!$A$1:$I$89,7,0))</f>
        <v>4.3000000000000003E-2</v>
      </c>
      <c r="CJ38" s="17">
        <f>IF(ISNA(VLOOKUP(A38,'Données projet'!$A$113:$I$133,7,0)),0%,VLOOKUP(A38,'Données projet'!$A$113:$I$133,7,0))</f>
        <v>0.15</v>
      </c>
      <c r="CK38" s="23">
        <f>EXP(-LN(2)/35)*CK37+(1-EXP(-LN(2)/35))/(LN(2)/35)*CG38*CH38*VLOOKUP('Données projet'!$B$12,Paramètres!$A$1:$I$89,3,0)*0.475*44/12</f>
        <v>9.0352930799659923</v>
      </c>
      <c r="CL38" s="23">
        <f>EXP(-LN(2)/25)*CL37+(1-EXP(-LN(2)/25))/(LN(2)/25)*Calculateur!CG38*Calculateur!CI38*VLOOKUP('Données projet'!$B$12,Paramètres!$A$1:$I$89,3,0)*0.475*44/12</f>
        <v>1.7687676584090855</v>
      </c>
      <c r="CM38" s="23">
        <f>EXP(-LN(2)/2)*CM37+(1-EXP(-LN(2)/2))/(LN(2)/2)*CG38*CJ38*VLOOKUP('Données projet'!$B$12,Paramètres!$A$1:$I$89,3,0)*0.475*44/12</f>
        <v>3.4489578674821639</v>
      </c>
      <c r="CN38" s="24">
        <f t="shared" si="12"/>
        <v>14.253018605857243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180.33750000000001</v>
      </c>
      <c r="O39" s="14">
        <f>N39*VLOOKUP('Données projet'!$B$9,Paramètres!$A$1:$I$89,3,0)*VLOOKUP('Données projet'!$B$9,Paramètres!$A$1:$I$89,5,0)</f>
        <v>84.397949999999994</v>
      </c>
      <c r="P39" s="14">
        <f t="shared" si="33"/>
        <v>23.209133671819771</v>
      </c>
      <c r="Q39" s="22">
        <f t="shared" si="53"/>
        <v>187.4156707284194</v>
      </c>
      <c r="R39" s="62">
        <f t="shared" si="0"/>
        <v>431.92808896945382</v>
      </c>
      <c r="S39" s="62">
        <f ca="1">AVERAGE(OFFSET($R$3,0,0,'Données projet'!$E$9+1,1))-AVERAGE(OFFSET($H$3,0,0,'Données projet'!$E$9+1,1))</f>
        <v>180.76388336802839</v>
      </c>
      <c r="T39" s="62">
        <f t="shared" si="34"/>
        <v>225.35030757566537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4.3181754397919097</v>
      </c>
      <c r="AB39" s="23">
        <f>EXP(-LN(2)/2)*AB38+(1-EXP(-LN(2)/2))/(LN(2)/2)*V39*Y39*VLOOKUP('Données projet'!$B$9,Paramètres!$A$1:$I$89,3,0)*0.475*44/12</f>
        <v>0.99160886926238268</v>
      </c>
      <c r="AC39" s="24">
        <f t="shared" si="3"/>
        <v>5.309784309054292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12.4</v>
      </c>
      <c r="AI39" s="14">
        <f>IF('Données projet'!$A$62&gt;35,AI38+AH39-AQ38,IF(A39&lt;'Données projet'!$A$62,$AF$205^A39,IF(A39='Données projet'!$A$62,'Données projet'!$B$62,AI38+AH39-AQ38)))</f>
        <v>158.4</v>
      </c>
      <c r="AJ39" s="14">
        <f>AI39*VLOOKUP('Données projet'!$B$10,Paramètres!$A$1:$I$89,3,0)*VLOOKUP('Données projet'!$B$10,Paramètres!$A$1:$I$89,5,0)</f>
        <v>123.55200000000001</v>
      </c>
      <c r="AK39" s="14">
        <f t="shared" si="35"/>
        <v>32.502033262579566</v>
      </c>
      <c r="AL39" s="22">
        <f t="shared" si="4"/>
        <v>271.79410793232609</v>
      </c>
      <c r="AM39" s="62">
        <f t="shared" si="5"/>
        <v>516.30652617336045</v>
      </c>
      <c r="AN39" s="62">
        <f ca="1">AVERAGE(OFFSET($AM$3,0,0,'Données projet'!$E$10+1,1))-AVERAGE(OFFSET($H$3,0,0,'Données projet'!$E$10+1,1))</f>
        <v>252.45744983674379</v>
      </c>
      <c r="AO39" s="62">
        <f t="shared" si="36"/>
        <v>283.28099819802776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8.8581164936524726</v>
      </c>
      <c r="AV39" s="23">
        <f>EXP(-LN(2)/25)*AV38+(1-EXP(-LN(2)/25))/(LN(2)/25)*Calculateur!AQ39*Calculateur!AS39*VLOOKUP('Données projet'!$B$10,Paramètres!$A$1:$I$89,3,0)*0.475*44/12</f>
        <v>1.7204006137744405</v>
      </c>
      <c r="AW39" s="23">
        <f>EXP(-LN(2)/2)*AW38+(1-EXP(-LN(2)/2))/(LN(2)/2)*AQ39*AT39*VLOOKUP('Données projet'!$B$10,Paramètres!$A$1:$I$89,3,0)*0.475*44/12</f>
        <v>2.4387814961233323</v>
      </c>
      <c r="AX39" s="23">
        <f t="shared" si="6"/>
        <v>13.017298603550245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12.4</v>
      </c>
      <c r="BD39" s="13">
        <f>IF('Données projet'!$A$88&gt;35,BD38+BC39-BL38,IF(A39&lt;'Données projet'!$A$88,$BA$205^A39,IF(A39='Données projet'!$A$88,'Données projet'!$B$88,BD38+BC39-BL38)))</f>
        <v>158.4</v>
      </c>
      <c r="BE39" s="14">
        <f>BD39*VLOOKUP('Données projet'!$B$11,Paramètres!$A$1:$I$89,3,0)*VLOOKUP('Données projet'!$B$11,Paramètres!$A$1:$I$89,5,0)</f>
        <v>123.55200000000001</v>
      </c>
      <c r="BF39" s="14">
        <f t="shared" si="37"/>
        <v>32.502033262579566</v>
      </c>
      <c r="BG39" s="22">
        <f t="shared" si="7"/>
        <v>271.79410793232609</v>
      </c>
      <c r="BH39" s="62">
        <f t="shared" si="8"/>
        <v>516.30652617336045</v>
      </c>
      <c r="BI39" s="62">
        <f ca="1">AVERAGE(OFFSET($BH$3,0,0,'Données projet'!$E$11+1,1))-AVERAGE(OFFSET($H$3,0,0,'Données projet'!$E$11+1,1))</f>
        <v>252.45744983674379</v>
      </c>
      <c r="BJ39" s="62">
        <f t="shared" si="38"/>
        <v>283.28099819802776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8.8581164936524726</v>
      </c>
      <c r="BQ39" s="23">
        <f>EXP(-LN(2)/25)*BQ38+(1-EXP(-LN(2)/25))/(LN(2)/25)*Calculateur!BL39*Calculateur!BN39*VLOOKUP('Données projet'!$B$11,Paramètres!$A$1:$I$89,3,0)*0.475*44/12</f>
        <v>1.7204006137744405</v>
      </c>
      <c r="BR39" s="23">
        <f>EXP(-LN(2)/2)*BR38+(1-EXP(-LN(2)/2))/(LN(2)/2)*BL39*BO39*VLOOKUP('Données projet'!$B$11,Paramètres!$A$1:$I$89,3,0)*0.475*44/12</f>
        <v>2.4387814961233323</v>
      </c>
      <c r="BS39" s="24">
        <f t="shared" si="9"/>
        <v>13.017298603550245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12.4</v>
      </c>
      <c r="BY39" s="13">
        <f>IF('Données projet'!$A$114&gt;35,BY38+BX39-CG38,IF(A39&lt;'Données projet'!$A$114,$BV$205^A39,IF(A39='Données projet'!$A$114,'Données projet'!$B$114,BY38+BX39-CG38)))</f>
        <v>158.4</v>
      </c>
      <c r="BZ39" s="14">
        <f>BY39*VLOOKUP('Données projet'!$B$12,Paramètres!$A$1:$I$89,3,0)*VLOOKUP('Données projet'!$B$12,Paramètres!$A$1:$I$89,5,0)</f>
        <v>123.55200000000001</v>
      </c>
      <c r="CA39" s="14">
        <f t="shared" si="39"/>
        <v>32.502033262579566</v>
      </c>
      <c r="CB39" s="22">
        <f t="shared" si="10"/>
        <v>271.79410793232609</v>
      </c>
      <c r="CC39" s="62">
        <f t="shared" si="11"/>
        <v>516.30652617336045</v>
      </c>
      <c r="CD39" s="62">
        <f ca="1">AVERAGE(OFFSET($CC$3,0,0,'Données projet'!$E$12+1,1))-AVERAGE(OFFSET($H$3,0,0,'Données projet'!$E$12+1,1))</f>
        <v>252.45744983674379</v>
      </c>
      <c r="CE39" s="62">
        <f t="shared" si="40"/>
        <v>283.28099819802776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8.8581164936524726</v>
      </c>
      <c r="CL39" s="23">
        <f>EXP(-LN(2)/25)*CL38+(1-EXP(-LN(2)/25))/(LN(2)/25)*Calculateur!CG39*Calculateur!CI39*VLOOKUP('Données projet'!$B$12,Paramètres!$A$1:$I$89,3,0)*0.475*44/12</f>
        <v>1.7204006137744405</v>
      </c>
      <c r="CM39" s="23">
        <f>EXP(-LN(2)/2)*CM38+(1-EXP(-LN(2)/2))/(LN(2)/2)*CG39*CJ39*VLOOKUP('Données projet'!$B$12,Paramètres!$A$1:$I$89,3,0)*0.475*44/12</f>
        <v>2.4387814961233323</v>
      </c>
      <c r="CN39" s="24">
        <f t="shared" si="12"/>
        <v>13.017298603550245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187.33750000000001</v>
      </c>
      <c r="O40" s="14">
        <f>N40*VLOOKUP('Données projet'!$B$9,Paramètres!$A$1:$I$89,3,0)*VLOOKUP('Données projet'!$B$9,Paramètres!$A$1:$I$89,5,0)</f>
        <v>87.673950000000005</v>
      </c>
      <c r="P40" s="14">
        <f t="shared" si="33"/>
        <v>24.003385691305219</v>
      </c>
      <c r="Q40" s="22">
        <f t="shared" si="53"/>
        <v>194.50469299568991</v>
      </c>
      <c r="R40" s="62">
        <f t="shared" si="0"/>
        <v>439.86404496636101</v>
      </c>
      <c r="S40" s="62">
        <f ca="1">AVERAGE(OFFSET($R$3,0,0,'Données projet'!$E$9+1,1))-AVERAGE(OFFSET($H$3,0,0,'Données projet'!$E$9+1,1))</f>
        <v>180.76388336802839</v>
      </c>
      <c r="T40" s="62">
        <f t="shared" si="34"/>
        <v>225.35030757566537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4.2000947053078228</v>
      </c>
      <c r="AB40" s="23">
        <f>EXP(-LN(2)/2)*AB39+(1-EXP(-LN(2)/2))/(LN(2)/2)*V40*Y40*VLOOKUP('Données projet'!$B$9,Paramètres!$A$1:$I$89,3,0)*0.475*44/12</f>
        <v>0.70117335574015549</v>
      </c>
      <c r="AC40" s="24">
        <f t="shared" si="3"/>
        <v>4.9012680610479782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12.4</v>
      </c>
      <c r="AI40" s="14">
        <f>IF('Données projet'!$A$62&gt;35,AI39+AH40-AQ39,IF(A40&lt;'Données projet'!$A$62,$AF$205^A40,IF(A40='Données projet'!$A$62,'Données projet'!$B$62,AI39+AH40-AQ39)))</f>
        <v>170.8</v>
      </c>
      <c r="AJ40" s="14">
        <f>AI40*VLOOKUP('Données projet'!$B$10,Paramètres!$A$1:$I$89,3,0)*VLOOKUP('Données projet'!$B$10,Paramètres!$A$1:$I$89,5,0)</f>
        <v>133.22400000000002</v>
      </c>
      <c r="AK40" s="14">
        <f t="shared" si="35"/>
        <v>34.740265606230608</v>
      </c>
      <c r="AL40" s="22">
        <f t="shared" si="4"/>
        <v>292.53776259751834</v>
      </c>
      <c r="AM40" s="62">
        <f t="shared" si="5"/>
        <v>537.89711456818941</v>
      </c>
      <c r="AN40" s="62">
        <f ca="1">AVERAGE(OFFSET($AM$3,0,0,'Données projet'!$E$10+1,1))-AVERAGE(OFFSET($H$3,0,0,'Données projet'!$E$10+1,1))</f>
        <v>252.45744983674379</v>
      </c>
      <c r="AO40" s="62">
        <f t="shared" si="36"/>
        <v>283.28099819802776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8.6844142321295141</v>
      </c>
      <c r="AV40" s="23">
        <f>EXP(-LN(2)/25)*AV39+(1-EXP(-LN(2)/25))/(LN(2)/25)*Calculateur!AQ40*Calculateur!AS40*VLOOKUP('Données projet'!$B$10,Paramètres!$A$1:$I$89,3,0)*0.475*44/12</f>
        <v>1.6733561685188423</v>
      </c>
      <c r="AW40" s="23">
        <f>EXP(-LN(2)/2)*AW39+(1-EXP(-LN(2)/2))/(LN(2)/2)*AQ40*AT40*VLOOKUP('Données projet'!$B$10,Paramètres!$A$1:$I$89,3,0)*0.475*44/12</f>
        <v>1.7244789337410822</v>
      </c>
      <c r="AX40" s="23">
        <f t="shared" si="6"/>
        <v>12.082249334389438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12.4</v>
      </c>
      <c r="BD40" s="13">
        <f>IF('Données projet'!$A$88&gt;35,BD39+BC40-BL39,IF(A40&lt;'Données projet'!$A$88,$BA$205^A40,IF(A40='Données projet'!$A$88,'Données projet'!$B$88,BD39+BC40-BL39)))</f>
        <v>170.8</v>
      </c>
      <c r="BE40" s="14">
        <f>BD40*VLOOKUP('Données projet'!$B$11,Paramètres!$A$1:$I$89,3,0)*VLOOKUP('Données projet'!$B$11,Paramètres!$A$1:$I$89,5,0)</f>
        <v>133.22400000000002</v>
      </c>
      <c r="BF40" s="14">
        <f t="shared" si="37"/>
        <v>34.740265606230608</v>
      </c>
      <c r="BG40" s="22">
        <f t="shared" si="7"/>
        <v>292.53776259751834</v>
      </c>
      <c r="BH40" s="62">
        <f t="shared" si="8"/>
        <v>537.89711456818941</v>
      </c>
      <c r="BI40" s="62">
        <f ca="1">AVERAGE(OFFSET($BH$3,0,0,'Données projet'!$E$11+1,1))-AVERAGE(OFFSET($H$3,0,0,'Données projet'!$E$11+1,1))</f>
        <v>252.45744983674379</v>
      </c>
      <c r="BJ40" s="62">
        <f t="shared" si="38"/>
        <v>283.28099819802776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8.6844142321295141</v>
      </c>
      <c r="BQ40" s="23">
        <f>EXP(-LN(2)/25)*BQ39+(1-EXP(-LN(2)/25))/(LN(2)/25)*Calculateur!BL40*Calculateur!BN40*VLOOKUP('Données projet'!$B$11,Paramètres!$A$1:$I$89,3,0)*0.475*44/12</f>
        <v>1.6733561685188423</v>
      </c>
      <c r="BR40" s="23">
        <f>EXP(-LN(2)/2)*BR39+(1-EXP(-LN(2)/2))/(LN(2)/2)*BL40*BO40*VLOOKUP('Données projet'!$B$11,Paramètres!$A$1:$I$89,3,0)*0.475*44/12</f>
        <v>1.7244789337410822</v>
      </c>
      <c r="BS40" s="24">
        <f t="shared" si="9"/>
        <v>12.082249334389438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12.4</v>
      </c>
      <c r="BY40" s="13">
        <f>IF('Données projet'!$A$114&gt;35,BY39+BX40-CG39,IF(A40&lt;'Données projet'!$A$114,$BV$205^A40,IF(A40='Données projet'!$A$114,'Données projet'!$B$114,BY39+BX40-CG39)))</f>
        <v>170.8</v>
      </c>
      <c r="BZ40" s="14">
        <f>BY40*VLOOKUP('Données projet'!$B$12,Paramètres!$A$1:$I$89,3,0)*VLOOKUP('Données projet'!$B$12,Paramètres!$A$1:$I$89,5,0)</f>
        <v>133.22400000000002</v>
      </c>
      <c r="CA40" s="14">
        <f t="shared" si="39"/>
        <v>34.740265606230608</v>
      </c>
      <c r="CB40" s="22">
        <f t="shared" si="10"/>
        <v>292.53776259751834</v>
      </c>
      <c r="CC40" s="62">
        <f t="shared" si="11"/>
        <v>537.89711456818941</v>
      </c>
      <c r="CD40" s="62">
        <f ca="1">AVERAGE(OFFSET($CC$3,0,0,'Données projet'!$E$12+1,1))-AVERAGE(OFFSET($H$3,0,0,'Données projet'!$E$12+1,1))</f>
        <v>252.45744983674379</v>
      </c>
      <c r="CE40" s="62">
        <f t="shared" si="40"/>
        <v>283.28099819802776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8.6844142321295141</v>
      </c>
      <c r="CL40" s="23">
        <f>EXP(-LN(2)/25)*CL39+(1-EXP(-LN(2)/25))/(LN(2)/25)*Calculateur!CG40*Calculateur!CI40*VLOOKUP('Données projet'!$B$12,Paramètres!$A$1:$I$89,3,0)*0.475*44/12</f>
        <v>1.6733561685188423</v>
      </c>
      <c r="CM40" s="23">
        <f>EXP(-LN(2)/2)*CM39+(1-EXP(-LN(2)/2))/(LN(2)/2)*CG40*CJ40*VLOOKUP('Données projet'!$B$12,Paramètres!$A$1:$I$89,3,0)*0.475*44/12</f>
        <v>1.7244789337410822</v>
      </c>
      <c r="CN40" s="24">
        <f t="shared" si="12"/>
        <v>12.082249334389438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194.33750000000001</v>
      </c>
      <c r="O41" s="14">
        <f>N41*VLOOKUP('Données projet'!$B$9,Paramètres!$A$1:$I$89,3,0)*VLOOKUP('Données projet'!$B$9,Paramètres!$A$1:$I$89,5,0)</f>
        <v>90.949950000000001</v>
      </c>
      <c r="P41" s="14">
        <f t="shared" si="33"/>
        <v>24.794189869430411</v>
      </c>
      <c r="Q41" s="22">
        <f t="shared" si="53"/>
        <v>201.58771027259129</v>
      </c>
      <c r="R41" s="62">
        <f t="shared" si="0"/>
        <v>447.77930356615002</v>
      </c>
      <c r="S41" s="62">
        <f ca="1">AVERAGE(OFFSET($R$3,0,0,'Données projet'!$E$9+1,1))-AVERAGE(OFFSET($H$3,0,0,'Données projet'!$E$9+1,1))</f>
        <v>180.76388336802839</v>
      </c>
      <c r="T41" s="62">
        <f t="shared" si="34"/>
        <v>225.35030757566537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4.0852428947177994</v>
      </c>
      <c r="AB41" s="23">
        <f>EXP(-LN(2)/2)*AB40+(1-EXP(-LN(2)/2))/(LN(2)/2)*V41*Y41*VLOOKUP('Données projet'!$B$9,Paramètres!$A$1:$I$89,3,0)*0.475*44/12</f>
        <v>0.49580443463119139</v>
      </c>
      <c r="AC41" s="24">
        <f t="shared" si="3"/>
        <v>4.5810473293489906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12.4</v>
      </c>
      <c r="AI41" s="14">
        <f>IF('Données projet'!$A$62&gt;35,AI40+AH41-AQ40,IF(A41&lt;'Données projet'!$A$62,$AF$205^A41,IF(A41='Données projet'!$A$62,'Données projet'!$B$62,AI40+AH41-AQ40)))</f>
        <v>183.20000000000002</v>
      </c>
      <c r="AJ41" s="14">
        <f>AI41*VLOOKUP('Données projet'!$B$10,Paramètres!$A$1:$I$89,3,0)*VLOOKUP('Données projet'!$B$10,Paramètres!$A$1:$I$89,5,0)</f>
        <v>142.89600000000002</v>
      </c>
      <c r="AK41" s="14">
        <f t="shared" si="35"/>
        <v>36.959645797372403</v>
      </c>
      <c r="AL41" s="22">
        <f t="shared" si="4"/>
        <v>313.24858309709026</v>
      </c>
      <c r="AM41" s="62">
        <f t="shared" si="5"/>
        <v>559.44017639064896</v>
      </c>
      <c r="AN41" s="62">
        <f ca="1">AVERAGE(OFFSET($AM$3,0,0,'Données projet'!$E$10+1,1))-AVERAGE(OFFSET($H$3,0,0,'Données projet'!$E$10+1,1))</f>
        <v>252.45744983674379</v>
      </c>
      <c r="AO41" s="62">
        <f t="shared" si="36"/>
        <v>283.28099819802776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8.514118166007103</v>
      </c>
      <c r="AV41" s="23">
        <f>EXP(-LN(2)/25)*AV40+(1-EXP(-LN(2)/25))/(LN(2)/25)*Calculateur!AQ41*Calculateur!AS41*VLOOKUP('Données projet'!$B$10,Paramètres!$A$1:$I$89,3,0)*0.475*44/12</f>
        <v>1.6275981560927182</v>
      </c>
      <c r="AW41" s="23">
        <f>EXP(-LN(2)/2)*AW40+(1-EXP(-LN(2)/2))/(LN(2)/2)*AQ41*AT41*VLOOKUP('Données projet'!$B$10,Paramètres!$A$1:$I$89,3,0)*0.475*44/12</f>
        <v>1.2193907480616664</v>
      </c>
      <c r="AX41" s="23">
        <f t="shared" si="6"/>
        <v>11.361107070161488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12.4</v>
      </c>
      <c r="BD41" s="13">
        <f>IF('Données projet'!$A$88&gt;35,BD40+BC41-BL40,IF(A41&lt;'Données projet'!$A$88,$BA$205^A41,IF(A41='Données projet'!$A$88,'Données projet'!$B$88,BD40+BC41-BL40)))</f>
        <v>183.20000000000002</v>
      </c>
      <c r="BE41" s="14">
        <f>BD41*VLOOKUP('Données projet'!$B$11,Paramètres!$A$1:$I$89,3,0)*VLOOKUP('Données projet'!$B$11,Paramètres!$A$1:$I$89,5,0)</f>
        <v>142.89600000000002</v>
      </c>
      <c r="BF41" s="14">
        <f t="shared" si="37"/>
        <v>36.959645797372403</v>
      </c>
      <c r="BG41" s="22">
        <f t="shared" si="7"/>
        <v>313.24858309709026</v>
      </c>
      <c r="BH41" s="62">
        <f t="shared" si="8"/>
        <v>559.44017639064896</v>
      </c>
      <c r="BI41" s="62">
        <f ca="1">AVERAGE(OFFSET($BH$3,0,0,'Données projet'!$E$11+1,1))-AVERAGE(OFFSET($H$3,0,0,'Données projet'!$E$11+1,1))</f>
        <v>252.45744983674379</v>
      </c>
      <c r="BJ41" s="62">
        <f t="shared" si="38"/>
        <v>283.28099819802776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8.514118166007103</v>
      </c>
      <c r="BQ41" s="23">
        <f>EXP(-LN(2)/25)*BQ40+(1-EXP(-LN(2)/25))/(LN(2)/25)*Calculateur!BL41*Calculateur!BN41*VLOOKUP('Données projet'!$B$11,Paramètres!$A$1:$I$89,3,0)*0.475*44/12</f>
        <v>1.6275981560927182</v>
      </c>
      <c r="BR41" s="23">
        <f>EXP(-LN(2)/2)*BR40+(1-EXP(-LN(2)/2))/(LN(2)/2)*BL41*BO41*VLOOKUP('Données projet'!$B$11,Paramètres!$A$1:$I$89,3,0)*0.475*44/12</f>
        <v>1.2193907480616664</v>
      </c>
      <c r="BS41" s="24">
        <f t="shared" si="9"/>
        <v>11.361107070161488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12.4</v>
      </c>
      <c r="BY41" s="13">
        <f>IF('Données projet'!$A$114&gt;35,BY40+BX41-CG40,IF(A41&lt;'Données projet'!$A$114,$BV$205^A41,IF(A41='Données projet'!$A$114,'Données projet'!$B$114,BY40+BX41-CG40)))</f>
        <v>183.20000000000002</v>
      </c>
      <c r="BZ41" s="14">
        <f>BY41*VLOOKUP('Données projet'!$B$12,Paramètres!$A$1:$I$89,3,0)*VLOOKUP('Données projet'!$B$12,Paramètres!$A$1:$I$89,5,0)</f>
        <v>142.89600000000002</v>
      </c>
      <c r="CA41" s="14">
        <f t="shared" si="39"/>
        <v>36.959645797372403</v>
      </c>
      <c r="CB41" s="22">
        <f t="shared" si="10"/>
        <v>313.24858309709026</v>
      </c>
      <c r="CC41" s="62">
        <f t="shared" si="11"/>
        <v>559.44017639064896</v>
      </c>
      <c r="CD41" s="62">
        <f ca="1">AVERAGE(OFFSET($CC$3,0,0,'Données projet'!$E$12+1,1))-AVERAGE(OFFSET($H$3,0,0,'Données projet'!$E$12+1,1))</f>
        <v>252.45744983674379</v>
      </c>
      <c r="CE41" s="62">
        <f t="shared" si="40"/>
        <v>283.28099819802776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8.514118166007103</v>
      </c>
      <c r="CL41" s="23">
        <f>EXP(-LN(2)/25)*CL40+(1-EXP(-LN(2)/25))/(LN(2)/25)*Calculateur!CG41*Calculateur!CI41*VLOOKUP('Données projet'!$B$12,Paramètres!$A$1:$I$89,3,0)*0.475*44/12</f>
        <v>1.6275981560927182</v>
      </c>
      <c r="CM41" s="23">
        <f>EXP(-LN(2)/2)*CM40+(1-EXP(-LN(2)/2))/(LN(2)/2)*CG41*CJ41*VLOOKUP('Données projet'!$B$12,Paramètres!$A$1:$I$89,3,0)*0.475*44/12</f>
        <v>1.2193907480616664</v>
      </c>
      <c r="CN41" s="24">
        <f t="shared" si="12"/>
        <v>11.361107070161488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201.33750000000001</v>
      </c>
      <c r="O42" s="14">
        <f>N42*VLOOKUP('Données projet'!$B$9,Paramètres!$A$1:$I$89,3,0)*VLOOKUP('Données projet'!$B$9,Paramètres!$A$1:$I$89,5,0)</f>
        <v>94.225949999999997</v>
      </c>
      <c r="P42" s="14">
        <f t="shared" si="33"/>
        <v>25.581684623202985</v>
      </c>
      <c r="Q42" s="22">
        <f t="shared" si="53"/>
        <v>208.66496363541185</v>
      </c>
      <c r="R42" s="62">
        <f t="shared" si="0"/>
        <v>455.67436072551897</v>
      </c>
      <c r="S42" s="62">
        <f ca="1">AVERAGE(OFFSET($R$3,0,0,'Données projet'!$E$9+1,1))-AVERAGE(OFFSET($H$3,0,0,'Données projet'!$E$9+1,1))</f>
        <v>180.76388336802839</v>
      </c>
      <c r="T42" s="62">
        <f t="shared" si="34"/>
        <v>225.35030757566537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3.9735317129281542</v>
      </c>
      <c r="AB42" s="23">
        <f>EXP(-LN(2)/2)*AB41+(1-EXP(-LN(2)/2))/(LN(2)/2)*V42*Y42*VLOOKUP('Données projet'!$B$9,Paramètres!$A$1:$I$89,3,0)*0.475*44/12</f>
        <v>0.3505866778700778</v>
      </c>
      <c r="AC42" s="24">
        <f t="shared" si="3"/>
        <v>4.3241183907982323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12.4</v>
      </c>
      <c r="AI42" s="14">
        <f>IF('Données projet'!$A$62&gt;35,AI41+AH42-AQ41,IF(A42&lt;'Données projet'!$A$62,$AF$205^A42,IF(A42='Données projet'!$A$62,'Données projet'!$B$62,AI41+AH42-AQ41)))</f>
        <v>195.60000000000002</v>
      </c>
      <c r="AJ42" s="14">
        <f>AI42*VLOOKUP('Données projet'!$B$10,Paramètres!$A$1:$I$89,3,0)*VLOOKUP('Données projet'!$B$10,Paramètres!$A$1:$I$89,5,0)</f>
        <v>152.56800000000001</v>
      </c>
      <c r="AK42" s="14">
        <f t="shared" si="35"/>
        <v>39.161595030150863</v>
      </c>
      <c r="AL42" s="22">
        <f t="shared" si="4"/>
        <v>333.92904467751276</v>
      </c>
      <c r="AM42" s="62">
        <f t="shared" si="5"/>
        <v>580.93844176761991</v>
      </c>
      <c r="AN42" s="62">
        <f ca="1">AVERAGE(OFFSET($AM$3,0,0,'Données projet'!$E$10+1,1))-AVERAGE(OFFSET($H$3,0,0,'Données projet'!$E$10+1,1))</f>
        <v>252.45744983674379</v>
      </c>
      <c r="AO42" s="62">
        <f t="shared" si="36"/>
        <v>283.28099819802776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8.3471615018710086</v>
      </c>
      <c r="AV42" s="23">
        <f>EXP(-LN(2)/25)*AV41+(1-EXP(-LN(2)/25))/(LN(2)/25)*Calculateur!AQ42*Calculateur!AS42*VLOOKUP('Données projet'!$B$10,Paramètres!$A$1:$I$89,3,0)*0.475*44/12</f>
        <v>1.5830913989226958</v>
      </c>
      <c r="AW42" s="23">
        <f>EXP(-LN(2)/2)*AW41+(1-EXP(-LN(2)/2))/(LN(2)/2)*AQ42*AT42*VLOOKUP('Données projet'!$B$10,Paramètres!$A$1:$I$89,3,0)*0.475*44/12</f>
        <v>0.86223946687054132</v>
      </c>
      <c r="AX42" s="23">
        <f t="shared" si="6"/>
        <v>10.792492367664245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12.4</v>
      </c>
      <c r="BD42" s="13">
        <f>IF('Données projet'!$A$88&gt;35,BD41+BC42-BL41,IF(A42&lt;'Données projet'!$A$88,$BA$205^A42,IF(A42='Données projet'!$A$88,'Données projet'!$B$88,BD41+BC42-BL41)))</f>
        <v>195.60000000000002</v>
      </c>
      <c r="BE42" s="14">
        <f>BD42*VLOOKUP('Données projet'!$B$11,Paramètres!$A$1:$I$89,3,0)*VLOOKUP('Données projet'!$B$11,Paramètres!$A$1:$I$89,5,0)</f>
        <v>152.56800000000001</v>
      </c>
      <c r="BF42" s="14">
        <f t="shared" si="37"/>
        <v>39.161595030150863</v>
      </c>
      <c r="BG42" s="22">
        <f t="shared" si="7"/>
        <v>333.92904467751276</v>
      </c>
      <c r="BH42" s="62">
        <f t="shared" si="8"/>
        <v>580.93844176761991</v>
      </c>
      <c r="BI42" s="62">
        <f ca="1">AVERAGE(OFFSET($BH$3,0,0,'Données projet'!$E$11+1,1))-AVERAGE(OFFSET($H$3,0,0,'Données projet'!$E$11+1,1))</f>
        <v>252.45744983674379</v>
      </c>
      <c r="BJ42" s="62">
        <f t="shared" si="38"/>
        <v>283.28099819802776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8.3471615018710086</v>
      </c>
      <c r="BQ42" s="23">
        <f>EXP(-LN(2)/25)*BQ41+(1-EXP(-LN(2)/25))/(LN(2)/25)*Calculateur!BL42*Calculateur!BN42*VLOOKUP('Données projet'!$B$11,Paramètres!$A$1:$I$89,3,0)*0.475*44/12</f>
        <v>1.5830913989226958</v>
      </c>
      <c r="BR42" s="23">
        <f>EXP(-LN(2)/2)*BR41+(1-EXP(-LN(2)/2))/(LN(2)/2)*BL42*BO42*VLOOKUP('Données projet'!$B$11,Paramètres!$A$1:$I$89,3,0)*0.475*44/12</f>
        <v>0.86223946687054132</v>
      </c>
      <c r="BS42" s="24">
        <f t="shared" si="9"/>
        <v>10.792492367664245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12.4</v>
      </c>
      <c r="BY42" s="13">
        <f>IF('Données projet'!$A$114&gt;35,BY41+BX42-CG41,IF(A42&lt;'Données projet'!$A$114,$BV$205^A42,IF(A42='Données projet'!$A$114,'Données projet'!$B$114,BY41+BX42-CG41)))</f>
        <v>195.60000000000002</v>
      </c>
      <c r="BZ42" s="14">
        <f>BY42*VLOOKUP('Données projet'!$B$12,Paramètres!$A$1:$I$89,3,0)*VLOOKUP('Données projet'!$B$12,Paramètres!$A$1:$I$89,5,0)</f>
        <v>152.56800000000001</v>
      </c>
      <c r="CA42" s="14">
        <f t="shared" si="39"/>
        <v>39.161595030150863</v>
      </c>
      <c r="CB42" s="22">
        <f t="shared" si="10"/>
        <v>333.92904467751276</v>
      </c>
      <c r="CC42" s="62">
        <f t="shared" si="11"/>
        <v>580.93844176761991</v>
      </c>
      <c r="CD42" s="62">
        <f ca="1">AVERAGE(OFFSET($CC$3,0,0,'Données projet'!$E$12+1,1))-AVERAGE(OFFSET($H$3,0,0,'Données projet'!$E$12+1,1))</f>
        <v>252.45744983674379</v>
      </c>
      <c r="CE42" s="62">
        <f t="shared" si="40"/>
        <v>283.28099819802776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8.3471615018710086</v>
      </c>
      <c r="CL42" s="23">
        <f>EXP(-LN(2)/25)*CL41+(1-EXP(-LN(2)/25))/(LN(2)/25)*Calculateur!CG42*Calculateur!CI42*VLOOKUP('Données projet'!$B$12,Paramètres!$A$1:$I$89,3,0)*0.475*44/12</f>
        <v>1.5830913989226958</v>
      </c>
      <c r="CM42" s="23">
        <f>EXP(-LN(2)/2)*CM41+(1-EXP(-LN(2)/2))/(LN(2)/2)*CG42*CJ42*VLOOKUP('Données projet'!$B$12,Paramètres!$A$1:$I$89,3,0)*0.475*44/12</f>
        <v>0.86223946687054132</v>
      </c>
      <c r="CN42" s="24">
        <f t="shared" si="12"/>
        <v>10.792492367664245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208.33750000000001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208.33750000000001</v>
      </c>
      <c r="O43" s="14">
        <f>N43*VLOOKUP('Données projet'!$B$9,Paramètres!$A$1:$I$89,3,0)*VLOOKUP('Données projet'!$B$9,Paramètres!$A$1:$I$89,5,0)</f>
        <v>97.501949999999994</v>
      </c>
      <c r="P43" s="14">
        <f t="shared" si="33"/>
        <v>26.365998198982467</v>
      </c>
      <c r="Q43" s="22">
        <f t="shared" si="53"/>
        <v>215.73667644656112</v>
      </c>
      <c r="R43" s="62">
        <f t="shared" si="0"/>
        <v>463.54969026568193</v>
      </c>
      <c r="S43" s="62">
        <f ca="1">AVERAGE(OFFSET($R$3,0,0,'Données projet'!$E$9+1,1))-AVERAGE(OFFSET($H$3,0,0,'Données projet'!$E$9+1,1))</f>
        <v>180.76388336802839</v>
      </c>
      <c r="T43" s="62">
        <f t="shared" si="34"/>
        <v>225.35030757566537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41.667500000000004</v>
      </c>
      <c r="W43" s="17">
        <f>IF(ISNA(VLOOKUP(A43,'Données projet'!$A$35:$I$55,5,0)),0%,VLOOKUP(A43,'Données projet'!$A$35:$I$55,5,0)*VLOOKUP('Données projet'!$B$9,Paramètres!$A$1:$I$89,7,0))</f>
        <v>0.27500000000000002</v>
      </c>
      <c r="X43" s="17">
        <f>IF(ISNA(VLOOKUP(A43,'Données projet'!$A$35:$I$55,6,0)),0%,VLOOKUP(A43,'Données projet'!$A$35:$I$55,6,0)*VLOOKUP('Données projet'!$B$9,Paramètres!$A$1:$I$89,7,0))</f>
        <v>0.11000000000000001</v>
      </c>
      <c r="Y43" s="17">
        <f>IF(ISNA(VLOOKUP(A43,'Données projet'!$A$35:$I$55,7,0)),0%,VLOOKUP(A43,'Données projet'!$A$35:$I$55,7,0))</f>
        <v>0.3</v>
      </c>
      <c r="Z43" s="23">
        <f>EXP(-LN(2)/35)*Z42+(1-EXP(-LN(2)/35))/(LN(2)/35)*V43*W43*VLOOKUP('Données projet'!$B$9,Paramètres!$A$1:$I$89,3,0)*0.475*44/12</f>
        <v>7.1138441663323801</v>
      </c>
      <c r="AA43" s="23">
        <f>EXP(-LN(2)/25)*AA42+(1-EXP(-LN(2)/25))/(LN(2)/25)*Calculateur!V43*Calculateur!X43*VLOOKUP('Données projet'!$B$9,Paramètres!$A$1:$I$89,3,0)*0.475*44/12</f>
        <v>6.6992089797841405</v>
      </c>
      <c r="AB43" s="23">
        <f>EXP(-LN(2)/2)*AB42+(1-EXP(-LN(2)/2))/(LN(2)/2)*V43*Y43*VLOOKUP('Données projet'!$B$9,Paramètres!$A$1:$I$89,3,0)*0.475*44/12</f>
        <v>6.8715936290242308</v>
      </c>
      <c r="AC43" s="24">
        <f t="shared" si="3"/>
        <v>20.684646775140749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208</v>
      </c>
      <c r="AG43" s="13">
        <f>VLOOKUP(A43,'Données projet'!$A$61:$I$81,9,0)</f>
        <v>12.4</v>
      </c>
      <c r="AH43" s="13">
        <f t="array" ref="AH43">INDEX(AG:AG,MIN(IF(ISNUMBER(AG43:AG239),ROW(AG43:AG239),"")))</f>
        <v>12.4</v>
      </c>
      <c r="AI43" s="14">
        <f>IF('Données projet'!$A$62&gt;35,AI42+AH43-AQ42,IF(A43&lt;'Données projet'!$A$62,$AF$205^A43,IF(A43='Données projet'!$A$62,'Données projet'!$B$62,AI42+AH43-AQ42)))</f>
        <v>208.00000000000003</v>
      </c>
      <c r="AJ43" s="14">
        <f>AI43*VLOOKUP('Données projet'!$B$10,Paramètres!$A$1:$I$89,3,0)*VLOOKUP('Données projet'!$B$10,Paramètres!$A$1:$I$89,5,0)</f>
        <v>162.24000000000004</v>
      </c>
      <c r="AK43" s="14">
        <f t="shared" si="35"/>
        <v>41.347344120141088</v>
      </c>
      <c r="AL43" s="22">
        <f t="shared" si="4"/>
        <v>354.58129100924572</v>
      </c>
      <c r="AM43" s="62">
        <f t="shared" si="5"/>
        <v>602.39430482836656</v>
      </c>
      <c r="AN43" s="62">
        <f ca="1">AVERAGE(OFFSET($AM$3,0,0,'Données projet'!$E$10+1,1))-AVERAGE(OFFSET($H$3,0,0,'Données projet'!$E$10+1,1))</f>
        <v>252.45744983674379</v>
      </c>
      <c r="AO43" s="62">
        <f t="shared" si="36"/>
        <v>283.28099819802776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32</v>
      </c>
      <c r="AR43" s="17">
        <f>IF(ISNA(VLOOKUP(A43,'Données projet'!$A$61:$I$81,5,0)),0%,VLOOKUP(A43,'Données projet'!$A$61:$I$81,5,0)*VLOOKUP('Données projet'!$B$10,Paramètres!$A$1:$I$89,7,0))</f>
        <v>0.215</v>
      </c>
      <c r="AS43" s="17">
        <f>IF(ISNA(VLOOKUP(A43,'Données projet'!$A$61:$I$81,6,0)),0%,VLOOKUP(A43,'Données projet'!$A$61:$I$81,6,0)*VLOOKUP('Données projet'!$B$10,Paramètres!$A$1:$I$89,7,0))</f>
        <v>4.3000000000000003E-2</v>
      </c>
      <c r="AT43" s="17">
        <f>IF(ISNA(VLOOKUP(A43,'Données projet'!$A$61:$I$81,7,0)),0%,VLOOKUP(A43,'Données projet'!$A$61:$I$81,7,0))</f>
        <v>0.15</v>
      </c>
      <c r="AU43" s="23">
        <f>EXP(-LN(2)/35)*AU42+(1-EXP(-LN(2)/35))/(LN(2)/35)*AQ43*AR43*VLOOKUP('Données projet'!$B$10,Paramètres!$A$1:$I$89,3,0)*0.475*44/12</f>
        <v>14.115875000810737</v>
      </c>
      <c r="AV43" s="23">
        <f>EXP(-LN(2)/25)*AV42+(1-EXP(-LN(2)/25))/(LN(2)/25)*Calculateur!AQ43*Calculateur!AS43*VLOOKUP('Données projet'!$B$10,Paramètres!$A$1:$I$89,3,0)*0.475*44/12</f>
        <v>2.7216093094259874</v>
      </c>
      <c r="AW43" s="23">
        <f>EXP(-LN(2)/2)*AW42+(1-EXP(-LN(2)/2))/(LN(2)/2)*AQ43*AT43*VLOOKUP('Données projet'!$B$10,Paramètres!$A$1:$I$89,3,0)*0.475*44/12</f>
        <v>4.1422601423134058</v>
      </c>
      <c r="AX43" s="23">
        <f t="shared" si="6"/>
        <v>20.979744452550129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208</v>
      </c>
      <c r="BB43" s="13">
        <f>VLOOKUP(A43,'Données projet'!$A$87:$I$107,9,0)</f>
        <v>12.4</v>
      </c>
      <c r="BC43" s="13">
        <f t="array" ref="BC43">INDEX(BB:BB,MIN(IF(ISNUMBER(BB43:BB239),ROW(BB43:BB239),"")))</f>
        <v>12.4</v>
      </c>
      <c r="BD43" s="13">
        <f>IF('Données projet'!$A$88&gt;35,BD42+BC43-BL42,IF(A43&lt;'Données projet'!$A$88,$BA$205^A43,IF(A43='Données projet'!$A$88,'Données projet'!$B$88,BD42+BC43-BL42)))</f>
        <v>208.00000000000003</v>
      </c>
      <c r="BE43" s="14">
        <f>BD43*VLOOKUP('Données projet'!$B$11,Paramètres!$A$1:$I$89,3,0)*VLOOKUP('Données projet'!$B$11,Paramètres!$A$1:$I$89,5,0)</f>
        <v>162.24000000000004</v>
      </c>
      <c r="BF43" s="14">
        <f t="shared" si="37"/>
        <v>41.347344120141088</v>
      </c>
      <c r="BG43" s="22">
        <f t="shared" si="7"/>
        <v>354.58129100924572</v>
      </c>
      <c r="BH43" s="62">
        <f t="shared" si="8"/>
        <v>602.39430482836656</v>
      </c>
      <c r="BI43" s="62">
        <f ca="1">AVERAGE(OFFSET($BH$3,0,0,'Données projet'!$E$11+1,1))-AVERAGE(OFFSET($H$3,0,0,'Données projet'!$E$11+1,1))</f>
        <v>252.45744983674379</v>
      </c>
      <c r="BJ43" s="62">
        <f t="shared" si="38"/>
        <v>283.28099819802776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32</v>
      </c>
      <c r="BM43" s="17">
        <f>IF(ISNA(VLOOKUP(A43,'Données projet'!$A$87:$I$107,5,0)),0%,VLOOKUP(A43,'Données projet'!$A$87:$I$107,5,0)*VLOOKUP('Données projet'!$B$11,Paramètres!$A$1:$I$89,7,0))</f>
        <v>0.215</v>
      </c>
      <c r="BN43" s="17">
        <f>IF(ISNA(VLOOKUP(A43,'Données projet'!$A$87:$I$107,6,0)),0%,VLOOKUP(A43,'Données projet'!$A$87:$I$107,6,0)*VLOOKUP('Données projet'!$B$11,Paramètres!$A$1:$I$89,7,0))</f>
        <v>4.3000000000000003E-2</v>
      </c>
      <c r="BO43" s="17">
        <f>IF(ISNA(VLOOKUP(A43,'Données projet'!$A$87:$I$107,7,0)),0%,VLOOKUP(A43,'Données projet'!$A$87:$I$107,7,0))</f>
        <v>0.15</v>
      </c>
      <c r="BP43" s="23">
        <f>EXP(-LN(2)/35)*BP42+(1-EXP(-LN(2)/35))/(LN(2)/35)*BL43*BM43*VLOOKUP('Données projet'!$B$11,Paramètres!$A$1:$I$89,3,0)*0.475*44/12</f>
        <v>14.115875000810737</v>
      </c>
      <c r="BQ43" s="23">
        <f>EXP(-LN(2)/25)*BQ42+(1-EXP(-LN(2)/25))/(LN(2)/25)*Calculateur!BL43*Calculateur!BN43*VLOOKUP('Données projet'!$B$11,Paramètres!$A$1:$I$89,3,0)*0.475*44/12</f>
        <v>2.7216093094259874</v>
      </c>
      <c r="BR43" s="23">
        <f>EXP(-LN(2)/2)*BR42+(1-EXP(-LN(2)/2))/(LN(2)/2)*BL43*BO43*VLOOKUP('Données projet'!$B$11,Paramètres!$A$1:$I$89,3,0)*0.475*44/12</f>
        <v>4.1422601423134058</v>
      </c>
      <c r="BS43" s="24">
        <f t="shared" si="9"/>
        <v>20.979744452550129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208</v>
      </c>
      <c r="BW43" s="13">
        <f>VLOOKUP(A43,'Données projet'!$A$113:$I$133,9,0)</f>
        <v>12.4</v>
      </c>
      <c r="BX43" s="13">
        <f t="array" ref="BX43">INDEX(BW:BW,MIN(IF(ISNUMBER(BW43:BW239),ROW(BW43:BW239),"")))</f>
        <v>12.4</v>
      </c>
      <c r="BY43" s="13">
        <f>IF('Données projet'!$A$114&gt;35,BY42+BX43-CG42,IF(A43&lt;'Données projet'!$A$114,$BV$205^A43,IF(A43='Données projet'!$A$114,'Données projet'!$B$114,BY42+BX43-CG42)))</f>
        <v>208.00000000000003</v>
      </c>
      <c r="BZ43" s="14">
        <f>BY43*VLOOKUP('Données projet'!$B$12,Paramètres!$A$1:$I$89,3,0)*VLOOKUP('Données projet'!$B$12,Paramètres!$A$1:$I$89,5,0)</f>
        <v>162.24000000000004</v>
      </c>
      <c r="CA43" s="14">
        <f t="shared" si="39"/>
        <v>41.347344120141088</v>
      </c>
      <c r="CB43" s="22">
        <f t="shared" si="10"/>
        <v>354.58129100924572</v>
      </c>
      <c r="CC43" s="62">
        <f t="shared" si="11"/>
        <v>602.39430482836656</v>
      </c>
      <c r="CD43" s="62">
        <f ca="1">AVERAGE(OFFSET($CC$3,0,0,'Données projet'!$E$12+1,1))-AVERAGE(OFFSET($H$3,0,0,'Données projet'!$E$12+1,1))</f>
        <v>252.45744983674379</v>
      </c>
      <c r="CE43" s="62">
        <f t="shared" si="40"/>
        <v>283.28099819802776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32</v>
      </c>
      <c r="CH43" s="17">
        <f>IF(ISNA(VLOOKUP(A43,'Données projet'!$A$113:$I$133,5,0)),0%,VLOOKUP(A43,'Données projet'!$A$113:$I$133,5,0)*VLOOKUP('Données projet'!$B$12,Paramètres!$A$1:$I$89,7,0))</f>
        <v>0.215</v>
      </c>
      <c r="CI43" s="17">
        <f>IF(ISNA(VLOOKUP(A43,'Données projet'!$A$113:$I$133,6,0)),0%,VLOOKUP(A43,'Données projet'!$A$113:$I$133,6,0)*VLOOKUP('Données projet'!$B$12,Paramètres!$A$1:$I$89,7,0))</f>
        <v>4.3000000000000003E-2</v>
      </c>
      <c r="CJ43" s="17">
        <f>IF(ISNA(VLOOKUP(A43,'Données projet'!$A$113:$I$133,7,0)),0%,VLOOKUP(A43,'Données projet'!$A$113:$I$133,7,0))</f>
        <v>0.15</v>
      </c>
      <c r="CK43" s="23">
        <f>EXP(-LN(2)/35)*CK42+(1-EXP(-LN(2)/35))/(LN(2)/35)*CG43*CH43*VLOOKUP('Données projet'!$B$12,Paramètres!$A$1:$I$89,3,0)*0.475*44/12</f>
        <v>14.115875000810737</v>
      </c>
      <c r="CL43" s="23">
        <f>EXP(-LN(2)/25)*CL42+(1-EXP(-LN(2)/25))/(LN(2)/25)*Calculateur!CG43*Calculateur!CI43*VLOOKUP('Données projet'!$B$12,Paramètres!$A$1:$I$89,3,0)*0.475*44/12</f>
        <v>2.7216093094259874</v>
      </c>
      <c r="CM43" s="23">
        <f>EXP(-LN(2)/2)*CM42+(1-EXP(-LN(2)/2))/(LN(2)/2)*CG43*CJ43*VLOOKUP('Données projet'!$B$12,Paramètres!$A$1:$I$89,3,0)*0.475*44/12</f>
        <v>4.1422601423134058</v>
      </c>
      <c r="CN43" s="24">
        <f t="shared" si="12"/>
        <v>20.979744452550129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173.67000000000002</v>
      </c>
      <c r="O44" s="14">
        <f>N44*VLOOKUP('Données projet'!$B$9,Paramètres!$A$1:$I$89,3,0)*VLOOKUP('Données projet'!$B$9,Paramètres!$A$1:$I$89,5,0)</f>
        <v>81.277560000000008</v>
      </c>
      <c r="P44" s="14">
        <f t="shared" si="33"/>
        <v>22.449265576701602</v>
      </c>
      <c r="Q44" s="22">
        <f t="shared" si="53"/>
        <v>180.65755454608862</v>
      </c>
      <c r="R44" s="62">
        <f t="shared" si="0"/>
        <v>429.26024414059259</v>
      </c>
      <c r="S44" s="62">
        <f ca="1">AVERAGE(OFFSET($R$3,0,0,'Données projet'!$E$9+1,1))-AVERAGE(OFFSET($H$3,0,0,'Données projet'!$E$9+1,1))</f>
        <v>180.76388336802839</v>
      </c>
      <c r="T44" s="62">
        <f t="shared" si="34"/>
        <v>225.35030757566537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6.9743460212471016</v>
      </c>
      <c r="AA44" s="23">
        <f>EXP(-LN(2)/25)*AA43+(1-EXP(-LN(2)/25))/(LN(2)/25)*Calculateur!V44*Calculateur!X44*VLOOKUP('Données projet'!$B$9,Paramètres!$A$1:$I$89,3,0)*0.475*44/12</f>
        <v>6.5160187579358544</v>
      </c>
      <c r="AB44" s="23">
        <f>EXP(-LN(2)/2)*AB43+(1-EXP(-LN(2)/2))/(LN(2)/2)*V44*Y44*VLOOKUP('Données projet'!$B$9,Paramètres!$A$1:$I$89,3,0)*0.475*44/12</f>
        <v>4.8589504526413112</v>
      </c>
      <c r="AC44" s="24">
        <f t="shared" si="3"/>
        <v>18.349315231824267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187.40000000000003</v>
      </c>
      <c r="AJ44" s="14">
        <f>AI44*VLOOKUP('Données projet'!$B$10,Paramètres!$A$1:$I$89,3,0)*VLOOKUP('Données projet'!$B$10,Paramètres!$A$1:$I$89,5,0)</f>
        <v>146.17200000000003</v>
      </c>
      <c r="AK44" s="14">
        <f t="shared" si="35"/>
        <v>37.707354374771185</v>
      </c>
      <c r="AL44" s="22">
        <f t="shared" si="4"/>
        <v>320.25654220272645</v>
      </c>
      <c r="AM44" s="62">
        <f t="shared" si="5"/>
        <v>568.85923179723045</v>
      </c>
      <c r="AN44" s="62">
        <f ca="1">AVERAGE(OFFSET($AM$3,0,0,'Données projet'!$E$10+1,1))-AVERAGE(OFFSET($H$3,0,0,'Données projet'!$E$10+1,1))</f>
        <v>252.45744983674379</v>
      </c>
      <c r="AO44" s="62">
        <f t="shared" si="36"/>
        <v>283.28099819802776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13.839071301878439</v>
      </c>
      <c r="AV44" s="23">
        <f>EXP(-LN(2)/25)*AV43+(1-EXP(-LN(2)/25))/(LN(2)/25)*Calculateur!AQ44*Calculateur!AS44*VLOOKUP('Données projet'!$B$10,Paramètres!$A$1:$I$89,3,0)*0.475*44/12</f>
        <v>2.6471867597365204</v>
      </c>
      <c r="AW44" s="23">
        <f>EXP(-LN(2)/2)*AW43+(1-EXP(-LN(2)/2))/(LN(2)/2)*AQ44*AT44*VLOOKUP('Données projet'!$B$10,Paramètres!$A$1:$I$89,3,0)*0.475*44/12</f>
        <v>2.9290202360685629</v>
      </c>
      <c r="AX44" s="23">
        <f t="shared" si="6"/>
        <v>19.415278297683525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187.40000000000003</v>
      </c>
      <c r="BE44" s="14">
        <f>BD44*VLOOKUP('Données projet'!$B$11,Paramètres!$A$1:$I$89,3,0)*VLOOKUP('Données projet'!$B$11,Paramètres!$A$1:$I$89,5,0)</f>
        <v>146.17200000000003</v>
      </c>
      <c r="BF44" s="14">
        <f t="shared" si="37"/>
        <v>37.707354374771185</v>
      </c>
      <c r="BG44" s="22">
        <f t="shared" si="7"/>
        <v>320.25654220272645</v>
      </c>
      <c r="BH44" s="62">
        <f t="shared" si="8"/>
        <v>568.85923179723045</v>
      </c>
      <c r="BI44" s="62">
        <f ca="1">AVERAGE(OFFSET($BH$3,0,0,'Données projet'!$E$11+1,1))-AVERAGE(OFFSET($H$3,0,0,'Données projet'!$E$11+1,1))</f>
        <v>252.45744983674379</v>
      </c>
      <c r="BJ44" s="62">
        <f t="shared" si="38"/>
        <v>283.28099819802776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13.839071301878439</v>
      </c>
      <c r="BQ44" s="23">
        <f>EXP(-LN(2)/25)*BQ43+(1-EXP(-LN(2)/25))/(LN(2)/25)*Calculateur!BL44*Calculateur!BN44*VLOOKUP('Données projet'!$B$11,Paramètres!$A$1:$I$89,3,0)*0.475*44/12</f>
        <v>2.6471867597365204</v>
      </c>
      <c r="BR44" s="23">
        <f>EXP(-LN(2)/2)*BR43+(1-EXP(-LN(2)/2))/(LN(2)/2)*BL44*BO44*VLOOKUP('Données projet'!$B$11,Paramètres!$A$1:$I$89,3,0)*0.475*44/12</f>
        <v>2.9290202360685629</v>
      </c>
      <c r="BS44" s="24">
        <f t="shared" si="9"/>
        <v>19.415278297683525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187.40000000000003</v>
      </c>
      <c r="BZ44" s="14">
        <f>BY44*VLOOKUP('Données projet'!$B$12,Paramètres!$A$1:$I$89,3,0)*VLOOKUP('Données projet'!$B$12,Paramètres!$A$1:$I$89,5,0)</f>
        <v>146.17200000000003</v>
      </c>
      <c r="CA44" s="14">
        <f t="shared" si="39"/>
        <v>37.707354374771185</v>
      </c>
      <c r="CB44" s="22">
        <f t="shared" si="10"/>
        <v>320.25654220272645</v>
      </c>
      <c r="CC44" s="62">
        <f t="shared" si="11"/>
        <v>568.85923179723045</v>
      </c>
      <c r="CD44" s="62">
        <f ca="1">AVERAGE(OFFSET($CC$3,0,0,'Données projet'!$E$12+1,1))-AVERAGE(OFFSET($H$3,0,0,'Données projet'!$E$12+1,1))</f>
        <v>252.45744983674379</v>
      </c>
      <c r="CE44" s="62">
        <f t="shared" si="40"/>
        <v>283.28099819802776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13.839071301878439</v>
      </c>
      <c r="CL44" s="23">
        <f>EXP(-LN(2)/25)*CL43+(1-EXP(-LN(2)/25))/(LN(2)/25)*Calculateur!CG44*Calculateur!CI44*VLOOKUP('Données projet'!$B$12,Paramètres!$A$1:$I$89,3,0)*0.475*44/12</f>
        <v>2.6471867597365204</v>
      </c>
      <c r="CM44" s="23">
        <f>EXP(-LN(2)/2)*CM43+(1-EXP(-LN(2)/2))/(LN(2)/2)*CG44*CJ44*VLOOKUP('Données projet'!$B$12,Paramètres!$A$1:$I$89,3,0)*0.475*44/12</f>
        <v>2.9290202360685629</v>
      </c>
      <c r="CN44" s="24">
        <f t="shared" si="12"/>
        <v>19.415278297683525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180.67000000000002</v>
      </c>
      <c r="O45" s="14">
        <f>N45*VLOOKUP('Données projet'!$B$9,Paramètres!$A$1:$I$89,3,0)*VLOOKUP('Données projet'!$B$9,Paramètres!$A$1:$I$89,5,0)</f>
        <v>84.553560000000004</v>
      </c>
      <c r="P45" s="14">
        <f t="shared" si="33"/>
        <v>23.246940798146024</v>
      </c>
      <c r="Q45" s="22">
        <f t="shared" si="53"/>
        <v>187.75253889010435</v>
      </c>
      <c r="R45" s="62">
        <f t="shared" si="0"/>
        <v>437.13120515073911</v>
      </c>
      <c r="S45" s="62">
        <f ca="1">AVERAGE(OFFSET($R$3,0,0,'Données projet'!$E$9+1,1))-AVERAGE(OFFSET($H$3,0,0,'Données projet'!$E$9+1,1))</f>
        <v>180.76388336802839</v>
      </c>
      <c r="T45" s="62">
        <f t="shared" si="34"/>
        <v>225.35030757566537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6.837583349701478</v>
      </c>
      <c r="AA45" s="23">
        <f>EXP(-LN(2)/25)*AA44+(1-EXP(-LN(2)/25))/(LN(2)/25)*Calculateur!V45*Calculateur!X45*VLOOKUP('Données projet'!$B$9,Paramètres!$A$1:$I$89,3,0)*0.475*44/12</f>
        <v>6.3378378823375643</v>
      </c>
      <c r="AB45" s="23">
        <f>EXP(-LN(2)/2)*AB44+(1-EXP(-LN(2)/2))/(LN(2)/2)*V45*Y45*VLOOKUP('Données projet'!$B$9,Paramètres!$A$1:$I$89,3,0)*0.475*44/12</f>
        <v>3.4357968145121158</v>
      </c>
      <c r="AC45" s="24">
        <f t="shared" si="3"/>
        <v>16.611218046551159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198.80000000000004</v>
      </c>
      <c r="AJ45" s="14">
        <f>AI45*VLOOKUP('Données projet'!$B$10,Paramètres!$A$1:$I$89,3,0)*VLOOKUP('Données projet'!$B$10,Paramètres!$A$1:$I$89,5,0)</f>
        <v>155.06400000000005</v>
      </c>
      <c r="AK45" s="14">
        <f t="shared" si="35"/>
        <v>39.727164550120094</v>
      </c>
      <c r="AL45" s="22">
        <f t="shared" si="4"/>
        <v>339.26127825812586</v>
      </c>
      <c r="AM45" s="62">
        <f t="shared" si="5"/>
        <v>588.63994451876056</v>
      </c>
      <c r="AN45" s="62">
        <f ca="1">AVERAGE(OFFSET($AM$3,0,0,'Données projet'!$E$10+1,1))-AVERAGE(OFFSET($H$3,0,0,'Données projet'!$E$10+1,1))</f>
        <v>252.45744983674379</v>
      </c>
      <c r="AO45" s="62">
        <f t="shared" si="36"/>
        <v>283.28099819802776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13.567695554648617</v>
      </c>
      <c r="AV45" s="23">
        <f>EXP(-LN(2)/25)*AV44+(1-EXP(-LN(2)/25))/(LN(2)/25)*Calculateur!AQ45*Calculateur!AS45*VLOOKUP('Données projet'!$B$10,Paramètres!$A$1:$I$89,3,0)*0.475*44/12</f>
        <v>2.5747992985820236</v>
      </c>
      <c r="AW45" s="23">
        <f>EXP(-LN(2)/2)*AW44+(1-EXP(-LN(2)/2))/(LN(2)/2)*AQ45*AT45*VLOOKUP('Données projet'!$B$10,Paramètres!$A$1:$I$89,3,0)*0.475*44/12</f>
        <v>2.0711300711567033</v>
      </c>
      <c r="AX45" s="23">
        <f t="shared" si="6"/>
        <v>18.213624924387343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198.80000000000004</v>
      </c>
      <c r="BE45" s="14">
        <f>BD45*VLOOKUP('Données projet'!$B$11,Paramètres!$A$1:$I$89,3,0)*VLOOKUP('Données projet'!$B$11,Paramètres!$A$1:$I$89,5,0)</f>
        <v>155.06400000000005</v>
      </c>
      <c r="BF45" s="14">
        <f t="shared" si="37"/>
        <v>39.727164550120094</v>
      </c>
      <c r="BG45" s="22">
        <f t="shared" si="7"/>
        <v>339.26127825812586</v>
      </c>
      <c r="BH45" s="62">
        <f t="shared" si="8"/>
        <v>588.63994451876056</v>
      </c>
      <c r="BI45" s="62">
        <f ca="1">AVERAGE(OFFSET($BH$3,0,0,'Données projet'!$E$11+1,1))-AVERAGE(OFFSET($H$3,0,0,'Données projet'!$E$11+1,1))</f>
        <v>252.45744983674379</v>
      </c>
      <c r="BJ45" s="62">
        <f t="shared" si="38"/>
        <v>283.28099819802776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13.567695554648617</v>
      </c>
      <c r="BQ45" s="23">
        <f>EXP(-LN(2)/25)*BQ44+(1-EXP(-LN(2)/25))/(LN(2)/25)*Calculateur!BL45*Calculateur!BN45*VLOOKUP('Données projet'!$B$11,Paramètres!$A$1:$I$89,3,0)*0.475*44/12</f>
        <v>2.5747992985820236</v>
      </c>
      <c r="BR45" s="23">
        <f>EXP(-LN(2)/2)*BR44+(1-EXP(-LN(2)/2))/(LN(2)/2)*BL45*BO45*VLOOKUP('Données projet'!$B$11,Paramètres!$A$1:$I$89,3,0)*0.475*44/12</f>
        <v>2.0711300711567033</v>
      </c>
      <c r="BS45" s="24">
        <f t="shared" si="9"/>
        <v>18.213624924387343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198.80000000000004</v>
      </c>
      <c r="BZ45" s="14">
        <f>BY45*VLOOKUP('Données projet'!$B$12,Paramètres!$A$1:$I$89,3,0)*VLOOKUP('Données projet'!$B$12,Paramètres!$A$1:$I$89,5,0)</f>
        <v>155.06400000000005</v>
      </c>
      <c r="CA45" s="14">
        <f t="shared" si="39"/>
        <v>39.727164550120094</v>
      </c>
      <c r="CB45" s="22">
        <f t="shared" si="10"/>
        <v>339.26127825812586</v>
      </c>
      <c r="CC45" s="62">
        <f t="shared" si="11"/>
        <v>588.63994451876056</v>
      </c>
      <c r="CD45" s="62">
        <f ca="1">AVERAGE(OFFSET($CC$3,0,0,'Données projet'!$E$12+1,1))-AVERAGE(OFFSET($H$3,0,0,'Données projet'!$E$12+1,1))</f>
        <v>252.45744983674379</v>
      </c>
      <c r="CE45" s="62">
        <f t="shared" si="40"/>
        <v>283.28099819802776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13.567695554648617</v>
      </c>
      <c r="CL45" s="23">
        <f>EXP(-LN(2)/25)*CL44+(1-EXP(-LN(2)/25))/(LN(2)/25)*Calculateur!CG45*Calculateur!CI45*VLOOKUP('Données projet'!$B$12,Paramètres!$A$1:$I$89,3,0)*0.475*44/12</f>
        <v>2.5747992985820236</v>
      </c>
      <c r="CM45" s="23">
        <f>EXP(-LN(2)/2)*CM44+(1-EXP(-LN(2)/2))/(LN(2)/2)*CG45*CJ45*VLOOKUP('Données projet'!$B$12,Paramètres!$A$1:$I$89,3,0)*0.475*44/12</f>
        <v>2.0711300711567033</v>
      </c>
      <c r="CN45" s="24">
        <f t="shared" si="12"/>
        <v>18.213624924387343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187.67000000000002</v>
      </c>
      <c r="O46" s="14">
        <f>N46*VLOOKUP('Données projet'!$B$9,Paramètres!$A$1:$I$89,3,0)*VLOOKUP('Données projet'!$B$9,Paramètres!$A$1:$I$89,5,0)</f>
        <v>87.829560000000001</v>
      </c>
      <c r="P46" s="14">
        <f t="shared" si="33"/>
        <v>24.04102575119618</v>
      </c>
      <c r="Q46" s="22">
        <f t="shared" si="53"/>
        <v>194.84127018333334</v>
      </c>
      <c r="R46" s="62">
        <f t="shared" si="0"/>
        <v>444.98245164976538</v>
      </c>
      <c r="S46" s="62">
        <f ca="1">AVERAGE(OFFSET($R$3,0,0,'Données projet'!$E$9+1,1))-AVERAGE(OFFSET($H$3,0,0,'Données projet'!$E$9+1,1))</f>
        <v>180.76388336802839</v>
      </c>
      <c r="T46" s="62">
        <f t="shared" si="34"/>
        <v>225.35030757566537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6.703502510727871</v>
      </c>
      <c r="AA46" s="23">
        <f>EXP(-LN(2)/25)*AA45+(1-EXP(-LN(2)/25))/(LN(2)/25)*Calculateur!V46*Calculateur!X46*VLOOKUP('Données projet'!$B$9,Paramètres!$A$1:$I$89,3,0)*0.475*44/12</f>
        <v>6.1645293721526349</v>
      </c>
      <c r="AB46" s="23">
        <f>EXP(-LN(2)/2)*AB45+(1-EXP(-LN(2)/2))/(LN(2)/2)*V46*Y46*VLOOKUP('Données projet'!$B$9,Paramètres!$A$1:$I$89,3,0)*0.475*44/12</f>
        <v>2.429475226320656</v>
      </c>
      <c r="AC46" s="24">
        <f t="shared" si="3"/>
        <v>15.297507109201161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210.20000000000005</v>
      </c>
      <c r="AJ46" s="14">
        <f>AI46*VLOOKUP('Données projet'!$B$10,Paramètres!$A$1:$I$89,3,0)*VLOOKUP('Données projet'!$B$10,Paramètres!$A$1:$I$89,5,0)</f>
        <v>163.95600000000005</v>
      </c>
      <c r="AK46" s="14">
        <f t="shared" si="35"/>
        <v>41.733529914742604</v>
      </c>
      <c r="AL46" s="22">
        <f t="shared" si="4"/>
        <v>358.24259793484339</v>
      </c>
      <c r="AM46" s="62">
        <f t="shared" si="5"/>
        <v>608.38377940127543</v>
      </c>
      <c r="AN46" s="62">
        <f ca="1">AVERAGE(OFFSET($AM$3,0,0,'Données projet'!$E$10+1,1))-AVERAGE(OFFSET($H$3,0,0,'Données projet'!$E$10+1,1))</f>
        <v>252.45744983674379</v>
      </c>
      <c r="AO46" s="62">
        <f t="shared" si="36"/>
        <v>283.28099819802776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13.30164132029911</v>
      </c>
      <c r="AV46" s="23">
        <f>EXP(-LN(2)/25)*AV45+(1-EXP(-LN(2)/25))/(LN(2)/25)*Calculateur!AQ46*Calculateur!AS46*VLOOKUP('Données projet'!$B$10,Paramètres!$A$1:$I$89,3,0)*0.475*44/12</f>
        <v>2.5043912763594878</v>
      </c>
      <c r="AW46" s="23">
        <f>EXP(-LN(2)/2)*AW45+(1-EXP(-LN(2)/2))/(LN(2)/2)*AQ46*AT46*VLOOKUP('Données projet'!$B$10,Paramètres!$A$1:$I$89,3,0)*0.475*44/12</f>
        <v>1.4645101180342817</v>
      </c>
      <c r="AX46" s="23">
        <f t="shared" si="6"/>
        <v>17.27054271469288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210.20000000000005</v>
      </c>
      <c r="BE46" s="14">
        <f>BD46*VLOOKUP('Données projet'!$B$11,Paramètres!$A$1:$I$89,3,0)*VLOOKUP('Données projet'!$B$11,Paramètres!$A$1:$I$89,5,0)</f>
        <v>163.95600000000005</v>
      </c>
      <c r="BF46" s="14">
        <f t="shared" si="37"/>
        <v>41.733529914742604</v>
      </c>
      <c r="BG46" s="22">
        <f t="shared" si="7"/>
        <v>358.24259793484339</v>
      </c>
      <c r="BH46" s="62">
        <f t="shared" si="8"/>
        <v>608.38377940127543</v>
      </c>
      <c r="BI46" s="62">
        <f ca="1">AVERAGE(OFFSET($BH$3,0,0,'Données projet'!$E$11+1,1))-AVERAGE(OFFSET($H$3,0,0,'Données projet'!$E$11+1,1))</f>
        <v>252.45744983674379</v>
      </c>
      <c r="BJ46" s="62">
        <f t="shared" si="38"/>
        <v>283.28099819802776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13.30164132029911</v>
      </c>
      <c r="BQ46" s="23">
        <f>EXP(-LN(2)/25)*BQ45+(1-EXP(-LN(2)/25))/(LN(2)/25)*Calculateur!BL46*Calculateur!BN46*VLOOKUP('Données projet'!$B$11,Paramètres!$A$1:$I$89,3,0)*0.475*44/12</f>
        <v>2.5043912763594878</v>
      </c>
      <c r="BR46" s="23">
        <f>EXP(-LN(2)/2)*BR45+(1-EXP(-LN(2)/2))/(LN(2)/2)*BL46*BO46*VLOOKUP('Données projet'!$B$11,Paramètres!$A$1:$I$89,3,0)*0.475*44/12</f>
        <v>1.4645101180342817</v>
      </c>
      <c r="BS46" s="24">
        <f t="shared" si="9"/>
        <v>17.27054271469288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210.20000000000005</v>
      </c>
      <c r="BZ46" s="14">
        <f>BY46*VLOOKUP('Données projet'!$B$12,Paramètres!$A$1:$I$89,3,0)*VLOOKUP('Données projet'!$B$12,Paramètres!$A$1:$I$89,5,0)</f>
        <v>163.95600000000005</v>
      </c>
      <c r="CA46" s="14">
        <f t="shared" si="39"/>
        <v>41.733529914742604</v>
      </c>
      <c r="CB46" s="22">
        <f t="shared" si="10"/>
        <v>358.24259793484339</v>
      </c>
      <c r="CC46" s="62">
        <f t="shared" si="11"/>
        <v>608.38377940127543</v>
      </c>
      <c r="CD46" s="62">
        <f ca="1">AVERAGE(OFFSET($CC$3,0,0,'Données projet'!$E$12+1,1))-AVERAGE(OFFSET($H$3,0,0,'Données projet'!$E$12+1,1))</f>
        <v>252.45744983674379</v>
      </c>
      <c r="CE46" s="62">
        <f t="shared" si="40"/>
        <v>283.28099819802776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13.30164132029911</v>
      </c>
      <c r="CL46" s="23">
        <f>EXP(-LN(2)/25)*CL45+(1-EXP(-LN(2)/25))/(LN(2)/25)*Calculateur!CG46*Calculateur!CI46*VLOOKUP('Données projet'!$B$12,Paramètres!$A$1:$I$89,3,0)*0.475*44/12</f>
        <v>2.5043912763594878</v>
      </c>
      <c r="CM46" s="23">
        <f>EXP(-LN(2)/2)*CM45+(1-EXP(-LN(2)/2))/(LN(2)/2)*CG46*CJ46*VLOOKUP('Données projet'!$B$12,Paramètres!$A$1:$I$89,3,0)*0.475*44/12</f>
        <v>1.4645101180342817</v>
      </c>
      <c r="CN46" s="24">
        <f t="shared" si="12"/>
        <v>17.27054271469288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194.67000000000002</v>
      </c>
      <c r="O47" s="14">
        <f>N47*VLOOKUP('Données projet'!$B$9,Paramètres!$A$1:$I$89,3,0)*VLOOKUP('Données projet'!$B$9,Paramètres!$A$1:$I$89,5,0)</f>
        <v>91.105560000000011</v>
      </c>
      <c r="P47" s="14">
        <f t="shared" si="33"/>
        <v>24.831669685213004</v>
      </c>
      <c r="Q47" s="22">
        <f t="shared" si="53"/>
        <v>201.92400836841264</v>
      </c>
      <c r="R47" s="62">
        <f t="shared" si="0"/>
        <v>452.81447710655004</v>
      </c>
      <c r="S47" s="62">
        <f ca="1">AVERAGE(OFFSET($R$3,0,0,'Données projet'!$E$9+1,1))-AVERAGE(OFFSET($H$3,0,0,'Données projet'!$E$9+1,1))</f>
        <v>180.76388336802839</v>
      </c>
      <c r="T47" s="62">
        <f t="shared" si="34"/>
        <v>225.35030757566537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6.5720509152252999</v>
      </c>
      <c r="AA47" s="23">
        <f>EXP(-LN(2)/25)*AA46+(1-EXP(-LN(2)/25))/(LN(2)/25)*Calculateur!V47*Calculateur!X47*VLOOKUP('Données projet'!$B$9,Paramètres!$A$1:$I$89,3,0)*0.475*44/12</f>
        <v>5.9959599922926108</v>
      </c>
      <c r="AB47" s="23">
        <f>EXP(-LN(2)/2)*AB46+(1-EXP(-LN(2)/2))/(LN(2)/2)*V47*Y47*VLOOKUP('Données projet'!$B$9,Paramètres!$A$1:$I$89,3,0)*0.475*44/12</f>
        <v>1.7178984072560584</v>
      </c>
      <c r="AC47" s="24">
        <f t="shared" si="3"/>
        <v>14.285909314773969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221.60000000000005</v>
      </c>
      <c r="AJ47" s="14">
        <f>AI47*VLOOKUP('Données projet'!$B$10,Paramètres!$A$1:$I$89,3,0)*VLOOKUP('Données projet'!$B$10,Paramètres!$A$1:$I$89,5,0)</f>
        <v>172.84800000000004</v>
      </c>
      <c r="AK47" s="14">
        <f t="shared" si="35"/>
        <v>43.727262763680358</v>
      </c>
      <c r="AL47" s="22">
        <f t="shared" si="4"/>
        <v>377.20191598007665</v>
      </c>
      <c r="AM47" s="62">
        <f t="shared" si="5"/>
        <v>628.09238471821413</v>
      </c>
      <c r="AN47" s="62">
        <f ca="1">AVERAGE(OFFSET($AM$3,0,0,'Données projet'!$E$10+1,1))-AVERAGE(OFFSET($H$3,0,0,'Données projet'!$E$10+1,1))</f>
        <v>252.45744983674379</v>
      </c>
      <c r="AO47" s="62">
        <f t="shared" si="36"/>
        <v>283.28099819802776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13.040804247208138</v>
      </c>
      <c r="AV47" s="23">
        <f>EXP(-LN(2)/25)*AV46+(1-EXP(-LN(2)/25))/(LN(2)/25)*Calculateur!AQ47*Calculateur!AS47*VLOOKUP('Données projet'!$B$10,Paramètres!$A$1:$I$89,3,0)*0.475*44/12</f>
        <v>2.4359085652072241</v>
      </c>
      <c r="AW47" s="23">
        <f>EXP(-LN(2)/2)*AW46+(1-EXP(-LN(2)/2))/(LN(2)/2)*AQ47*AT47*VLOOKUP('Données projet'!$B$10,Paramètres!$A$1:$I$89,3,0)*0.475*44/12</f>
        <v>1.0355650355783517</v>
      </c>
      <c r="AX47" s="23">
        <f t="shared" si="6"/>
        <v>16.512277847993715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221.60000000000005</v>
      </c>
      <c r="BE47" s="14">
        <f>BD47*VLOOKUP('Données projet'!$B$11,Paramètres!$A$1:$I$89,3,0)*VLOOKUP('Données projet'!$B$11,Paramètres!$A$1:$I$89,5,0)</f>
        <v>172.84800000000004</v>
      </c>
      <c r="BF47" s="14">
        <f t="shared" si="37"/>
        <v>43.727262763680358</v>
      </c>
      <c r="BG47" s="22">
        <f t="shared" si="7"/>
        <v>377.20191598007665</v>
      </c>
      <c r="BH47" s="62">
        <f t="shared" si="8"/>
        <v>628.09238471821413</v>
      </c>
      <c r="BI47" s="62">
        <f ca="1">AVERAGE(OFFSET($BH$3,0,0,'Données projet'!$E$11+1,1))-AVERAGE(OFFSET($H$3,0,0,'Données projet'!$E$11+1,1))</f>
        <v>252.45744983674379</v>
      </c>
      <c r="BJ47" s="62">
        <f t="shared" si="38"/>
        <v>283.28099819802776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13.040804247208138</v>
      </c>
      <c r="BQ47" s="23">
        <f>EXP(-LN(2)/25)*BQ46+(1-EXP(-LN(2)/25))/(LN(2)/25)*Calculateur!BL47*Calculateur!BN47*VLOOKUP('Données projet'!$B$11,Paramètres!$A$1:$I$89,3,0)*0.475*44/12</f>
        <v>2.4359085652072241</v>
      </c>
      <c r="BR47" s="23">
        <f>EXP(-LN(2)/2)*BR46+(1-EXP(-LN(2)/2))/(LN(2)/2)*BL47*BO47*VLOOKUP('Données projet'!$B$11,Paramètres!$A$1:$I$89,3,0)*0.475*44/12</f>
        <v>1.0355650355783517</v>
      </c>
      <c r="BS47" s="24">
        <f t="shared" si="9"/>
        <v>16.512277847993715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221.60000000000005</v>
      </c>
      <c r="BZ47" s="14">
        <f>BY47*VLOOKUP('Données projet'!$B$12,Paramètres!$A$1:$I$89,3,0)*VLOOKUP('Données projet'!$B$12,Paramètres!$A$1:$I$89,5,0)</f>
        <v>172.84800000000004</v>
      </c>
      <c r="CA47" s="14">
        <f t="shared" si="39"/>
        <v>43.727262763680358</v>
      </c>
      <c r="CB47" s="22">
        <f t="shared" si="10"/>
        <v>377.20191598007665</v>
      </c>
      <c r="CC47" s="62">
        <f t="shared" si="11"/>
        <v>628.09238471821413</v>
      </c>
      <c r="CD47" s="62">
        <f ca="1">AVERAGE(OFFSET($CC$3,0,0,'Données projet'!$E$12+1,1))-AVERAGE(OFFSET($H$3,0,0,'Données projet'!$E$12+1,1))</f>
        <v>252.45744983674379</v>
      </c>
      <c r="CE47" s="62">
        <f t="shared" si="40"/>
        <v>283.28099819802776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13.040804247208138</v>
      </c>
      <c r="CL47" s="23">
        <f>EXP(-LN(2)/25)*CL46+(1-EXP(-LN(2)/25))/(LN(2)/25)*Calculateur!CG47*Calculateur!CI47*VLOOKUP('Données projet'!$B$12,Paramètres!$A$1:$I$89,3,0)*0.475*44/12</f>
        <v>2.4359085652072241</v>
      </c>
      <c r="CM47" s="23">
        <f>EXP(-LN(2)/2)*CM46+(1-EXP(-LN(2)/2))/(LN(2)/2)*CG47*CJ47*VLOOKUP('Données projet'!$B$12,Paramètres!$A$1:$I$89,3,0)*0.475*44/12</f>
        <v>1.0355650355783517</v>
      </c>
      <c r="CN47" s="24">
        <f t="shared" si="12"/>
        <v>16.512277847993715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201.67000000000002</v>
      </c>
      <c r="O48" s="14">
        <f>N48*VLOOKUP('Données projet'!$B$9,Paramètres!$A$1:$I$89,3,0)*VLOOKUP('Données projet'!$B$9,Paramètres!$A$1:$I$89,5,0)</f>
        <v>94.381560000000007</v>
      </c>
      <c r="P48" s="14">
        <f t="shared" si="33"/>
        <v>25.619010507648564</v>
      </c>
      <c r="Q48" s="22">
        <f t="shared" si="53"/>
        <v>209.00099363415461</v>
      </c>
      <c r="R48" s="62">
        <f t="shared" si="0"/>
        <v>460.62775118498871</v>
      </c>
      <c r="S48" s="62">
        <f ca="1">AVERAGE(OFFSET($R$3,0,0,'Données projet'!$E$9+1,1))-AVERAGE(OFFSET($H$3,0,0,'Données projet'!$E$9+1,1))</f>
        <v>180.76388336802839</v>
      </c>
      <c r="T48" s="62">
        <f t="shared" si="34"/>
        <v>225.35030757566537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6.443177005332978</v>
      </c>
      <c r="AA48" s="23">
        <f>EXP(-LN(2)/25)*AA47+(1-EXP(-LN(2)/25))/(LN(2)/25)*Calculateur!V48*Calculateur!X48*VLOOKUP('Données projet'!$B$9,Paramètres!$A$1:$I$89,3,0)*0.475*44/12</f>
        <v>5.8320001509895372</v>
      </c>
      <c r="AB48" s="23">
        <f>EXP(-LN(2)/2)*AB47+(1-EXP(-LN(2)/2))/(LN(2)/2)*V48*Y48*VLOOKUP('Données projet'!$B$9,Paramètres!$A$1:$I$89,3,0)*0.475*44/12</f>
        <v>1.2147376131603282</v>
      </c>
      <c r="AC48" s="24">
        <f t="shared" si="3"/>
        <v>13.489914769482844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233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233.00000000000006</v>
      </c>
      <c r="AJ48" s="14">
        <f>AI48*VLOOKUP('Données projet'!$B$10,Paramètres!$A$1:$I$89,3,0)*VLOOKUP('Données projet'!$B$10,Paramètres!$A$1:$I$89,5,0)</f>
        <v>181.74000000000004</v>
      </c>
      <c r="AK48" s="14">
        <f t="shared" si="35"/>
        <v>45.709087095891377</v>
      </c>
      <c r="AL48" s="22">
        <f t="shared" si="4"/>
        <v>396.14049335867753</v>
      </c>
      <c r="AM48" s="62">
        <f t="shared" si="5"/>
        <v>647.76725090951163</v>
      </c>
      <c r="AN48" s="62">
        <f ca="1">AVERAGE(OFFSET($AM$3,0,0,'Données projet'!$E$10+1,1))-AVERAGE(OFFSET($H$3,0,0,'Données projet'!$E$10+1,1))</f>
        <v>252.45744983674379</v>
      </c>
      <c r="AO48" s="62">
        <f t="shared" si="36"/>
        <v>283.28099819802776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0.215</v>
      </c>
      <c r="AS48" s="17">
        <f>IF(ISNA(VLOOKUP(A48,'Données projet'!$A$61:$I$81,6,0)),0%,VLOOKUP(A48,'Données projet'!$A$61:$I$81,6,0)*VLOOKUP('Données projet'!$B$10,Paramètres!$A$1:$I$89,7,0))</f>
        <v>4.3000000000000003E-2</v>
      </c>
      <c r="AT48" s="17">
        <f>IF(ISNA(VLOOKUP(A48,'Données projet'!$A$61:$I$81,7,0)),0%,VLOOKUP(A48,'Données projet'!$A$61:$I$81,7,0))</f>
        <v>0.15</v>
      </c>
      <c r="AU48" s="23">
        <f>EXP(-LN(2)/35)*AU47+(1-EXP(-LN(2)/35))/(LN(2)/35)*AQ48*AR48*VLOOKUP('Données projet'!$B$10,Paramètres!$A$1:$I$89,3,0)*0.475*44/12</f>
        <v>18.532090892103522</v>
      </c>
      <c r="AV48" s="23">
        <f>EXP(-LN(2)/25)*AV47+(1-EXP(-LN(2)/25))/(LN(2)/25)*Calculateur!AQ48*Calculateur!AS48*VLOOKUP('Données projet'!$B$10,Paramètres!$A$1:$I$89,3,0)*0.475*44/12</f>
        <v>3.5141746570739474</v>
      </c>
      <c r="AW48" s="23">
        <f>EXP(-LN(2)/2)*AW47+(1-EXP(-LN(2)/2))/(LN(2)/2)*AQ48*AT48*VLOOKUP('Données projet'!$B$10,Paramètres!$A$1:$I$89,3,0)*0.475*44/12</f>
        <v>4.1544271782908844</v>
      </c>
      <c r="AX48" s="23">
        <f t="shared" si="6"/>
        <v>26.200692727468354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233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233.00000000000006</v>
      </c>
      <c r="BE48" s="14">
        <f>BD48*VLOOKUP('Données projet'!$B$11,Paramètres!$A$1:$I$89,3,0)*VLOOKUP('Données projet'!$B$11,Paramètres!$A$1:$I$89,5,0)</f>
        <v>181.74000000000004</v>
      </c>
      <c r="BF48" s="14">
        <f t="shared" si="37"/>
        <v>45.709087095891377</v>
      </c>
      <c r="BG48" s="22">
        <f t="shared" si="7"/>
        <v>396.14049335867753</v>
      </c>
      <c r="BH48" s="62">
        <f t="shared" si="8"/>
        <v>647.76725090951163</v>
      </c>
      <c r="BI48" s="62">
        <f ca="1">AVERAGE(OFFSET($BH$3,0,0,'Données projet'!$E$11+1,1))-AVERAGE(OFFSET($H$3,0,0,'Données projet'!$E$11+1,1))</f>
        <v>252.45744983674379</v>
      </c>
      <c r="BJ48" s="62">
        <f t="shared" si="38"/>
        <v>283.28099819802776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31</v>
      </c>
      <c r="BM48" s="17">
        <f>IF(ISNA(VLOOKUP(A48,'Données projet'!$A$87:$I$107,5,0)),0%,VLOOKUP(A48,'Données projet'!$A$87:$I$107,5,0)*VLOOKUP('Données projet'!$B$11,Paramètres!$A$1:$I$89,7,0))</f>
        <v>0.215</v>
      </c>
      <c r="BN48" s="17">
        <f>IF(ISNA(VLOOKUP(A48,'Données projet'!$A$87:$I$107,6,0)),0%,VLOOKUP(A48,'Données projet'!$A$87:$I$107,6,0)*VLOOKUP('Données projet'!$B$11,Paramètres!$A$1:$I$89,7,0))</f>
        <v>4.3000000000000003E-2</v>
      </c>
      <c r="BO48" s="17">
        <f>IF(ISNA(VLOOKUP(A48,'Données projet'!$A$87:$I$107,7,0)),0%,VLOOKUP(A48,'Données projet'!$A$87:$I$107,7,0))</f>
        <v>0.15</v>
      </c>
      <c r="BP48" s="23">
        <f>EXP(-LN(2)/35)*BP47+(1-EXP(-LN(2)/35))/(LN(2)/35)*BL48*BM48*VLOOKUP('Données projet'!$B$11,Paramètres!$A$1:$I$89,3,0)*0.475*44/12</f>
        <v>18.532090892103522</v>
      </c>
      <c r="BQ48" s="23">
        <f>EXP(-LN(2)/25)*BQ47+(1-EXP(-LN(2)/25))/(LN(2)/25)*Calculateur!BL48*Calculateur!BN48*VLOOKUP('Données projet'!$B$11,Paramètres!$A$1:$I$89,3,0)*0.475*44/12</f>
        <v>3.5141746570739474</v>
      </c>
      <c r="BR48" s="23">
        <f>EXP(-LN(2)/2)*BR47+(1-EXP(-LN(2)/2))/(LN(2)/2)*BL48*BO48*VLOOKUP('Données projet'!$B$11,Paramètres!$A$1:$I$89,3,0)*0.475*44/12</f>
        <v>4.1544271782908844</v>
      </c>
      <c r="BS48" s="24">
        <f t="shared" si="9"/>
        <v>26.200692727468354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233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233.00000000000006</v>
      </c>
      <c r="BZ48" s="14">
        <f>BY48*VLOOKUP('Données projet'!$B$12,Paramètres!$A$1:$I$89,3,0)*VLOOKUP('Données projet'!$B$12,Paramètres!$A$1:$I$89,5,0)</f>
        <v>181.74000000000004</v>
      </c>
      <c r="CA48" s="14">
        <f t="shared" si="39"/>
        <v>45.709087095891377</v>
      </c>
      <c r="CB48" s="22">
        <f t="shared" si="10"/>
        <v>396.14049335867753</v>
      </c>
      <c r="CC48" s="62">
        <f t="shared" si="11"/>
        <v>647.76725090951163</v>
      </c>
      <c r="CD48" s="62">
        <f ca="1">AVERAGE(OFFSET($CC$3,0,0,'Données projet'!$E$12+1,1))-AVERAGE(OFFSET($H$3,0,0,'Données projet'!$E$12+1,1))</f>
        <v>252.45744983674379</v>
      </c>
      <c r="CE48" s="62">
        <f t="shared" si="40"/>
        <v>283.28099819802776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31</v>
      </c>
      <c r="CH48" s="17">
        <f>IF(ISNA(VLOOKUP(A48,'Données projet'!$A$113:$I$133,5,0)),0%,VLOOKUP(A48,'Données projet'!$A$113:$I$133,5,0)*VLOOKUP('Données projet'!$B$12,Paramètres!$A$1:$I$89,7,0))</f>
        <v>0.215</v>
      </c>
      <c r="CI48" s="17">
        <f>IF(ISNA(VLOOKUP(A48,'Données projet'!$A$113:$I$133,6,0)),0%,VLOOKUP(A48,'Données projet'!$A$113:$I$133,6,0)*VLOOKUP('Données projet'!$B$12,Paramètres!$A$1:$I$89,7,0))</f>
        <v>4.3000000000000003E-2</v>
      </c>
      <c r="CJ48" s="17">
        <f>IF(ISNA(VLOOKUP(A48,'Données projet'!$A$113:$I$133,7,0)),0%,VLOOKUP(A48,'Données projet'!$A$113:$I$133,7,0))</f>
        <v>0.15</v>
      </c>
      <c r="CK48" s="23">
        <f>EXP(-LN(2)/35)*CK47+(1-EXP(-LN(2)/35))/(LN(2)/35)*CG48*CH48*VLOOKUP('Données projet'!$B$12,Paramètres!$A$1:$I$89,3,0)*0.475*44/12</f>
        <v>18.532090892103522</v>
      </c>
      <c r="CL48" s="23">
        <f>EXP(-LN(2)/25)*CL47+(1-EXP(-LN(2)/25))/(LN(2)/25)*Calculateur!CG48*Calculateur!CI48*VLOOKUP('Données projet'!$B$12,Paramètres!$A$1:$I$89,3,0)*0.475*44/12</f>
        <v>3.5141746570739474</v>
      </c>
      <c r="CM48" s="23">
        <f>EXP(-LN(2)/2)*CM47+(1-EXP(-LN(2)/2))/(LN(2)/2)*CG48*CJ48*VLOOKUP('Données projet'!$B$12,Paramètres!$A$1:$I$89,3,0)*0.475*44/12</f>
        <v>4.1544271782908844</v>
      </c>
      <c r="CN48" s="24">
        <f t="shared" si="12"/>
        <v>26.200692727468354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208.67000000000002</v>
      </c>
      <c r="O49" s="14">
        <f>N49*VLOOKUP('Données projet'!$B$9,Paramètres!$A$1:$I$89,3,0)*VLOOKUP('Données projet'!$B$9,Paramètres!$A$1:$I$89,5,0)</f>
        <v>97.657560000000004</v>
      </c>
      <c r="P49" s="14">
        <f t="shared" si="33"/>
        <v>26.403176009442131</v>
      </c>
      <c r="Q49" s="22">
        <f t="shared" si="53"/>
        <v>216.07244854977839</v>
      </c>
      <c r="R49" s="62">
        <f t="shared" si="0"/>
        <v>468.42272194850403</v>
      </c>
      <c r="S49" s="62">
        <f ca="1">AVERAGE(OFFSET($R$3,0,0,'Données projet'!$E$9+1,1))-AVERAGE(OFFSET($H$3,0,0,'Données projet'!$E$9+1,1))</f>
        <v>180.76388336802839</v>
      </c>
      <c r="T49" s="62">
        <f t="shared" si="34"/>
        <v>225.35030757566537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6.3168302342083216</v>
      </c>
      <c r="AA49" s="23">
        <f>EXP(-LN(2)/25)*AA48+(1-EXP(-LN(2)/25))/(LN(2)/25)*Calculateur!V49*Calculateur!X49*VLOOKUP('Données projet'!$B$9,Paramètres!$A$1:$I$89,3,0)*0.475*44/12</f>
        <v>5.6725238001691691</v>
      </c>
      <c r="AB49" s="23">
        <f>EXP(-LN(2)/2)*AB48+(1-EXP(-LN(2)/2))/(LN(2)/2)*V49*Y49*VLOOKUP('Données projet'!$B$9,Paramètres!$A$1:$I$89,3,0)*0.475*44/12</f>
        <v>0.85894920362802929</v>
      </c>
      <c r="AC49" s="24">
        <f t="shared" si="3"/>
        <v>12.848303238005521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10.199999999999999</v>
      </c>
      <c r="AI49" s="14">
        <f>IF('Données projet'!$A$62&gt;35,AI48+AH49-AQ48,IF(A49&lt;'Données projet'!$A$62,$AF$205^A49,IF(A49='Données projet'!$A$62,'Données projet'!$B$62,AI48+AH49-AQ48)))</f>
        <v>212.20000000000005</v>
      </c>
      <c r="AJ49" s="14">
        <f>AI49*VLOOKUP('Données projet'!$B$10,Paramètres!$A$1:$I$89,3,0)*VLOOKUP('Données projet'!$B$10,Paramètres!$A$1:$I$89,5,0)</f>
        <v>165.51600000000005</v>
      </c>
      <c r="AK49" s="14">
        <f t="shared" si="35"/>
        <v>42.084199740832013</v>
      </c>
      <c r="AL49" s="22">
        <f t="shared" si="4"/>
        <v>361.57034788194915</v>
      </c>
      <c r="AM49" s="62">
        <f t="shared" si="5"/>
        <v>613.92062128067482</v>
      </c>
      <c r="AN49" s="62">
        <f ca="1">AVERAGE(OFFSET($AM$3,0,0,'Données projet'!$E$10+1,1))-AVERAGE(OFFSET($H$3,0,0,'Données projet'!$E$10+1,1))</f>
        <v>252.45744983674379</v>
      </c>
      <c r="AO49" s="62">
        <f t="shared" si="36"/>
        <v>283.28099819802776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18.168687893168691</v>
      </c>
      <c r="AV49" s="23">
        <f>EXP(-LN(2)/25)*AV48+(1-EXP(-LN(2)/25))/(LN(2)/25)*Calculateur!AQ49*Calculateur!AS49*VLOOKUP('Données projet'!$B$10,Paramètres!$A$1:$I$89,3,0)*0.475*44/12</f>
        <v>3.4180793662738469</v>
      </c>
      <c r="AW49" s="23">
        <f>EXP(-LN(2)/2)*AW48+(1-EXP(-LN(2)/2))/(LN(2)/2)*AQ49*AT49*VLOOKUP('Données projet'!$B$10,Paramètres!$A$1:$I$89,3,0)*0.475*44/12</f>
        <v>2.9376236297151785</v>
      </c>
      <c r="AX49" s="23">
        <f t="shared" si="6"/>
        <v>24.524390889157718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10.199999999999999</v>
      </c>
      <c r="BD49" s="13">
        <f>IF('Données projet'!$A$88&gt;35,BD48+BC49-BL48,IF(A49&lt;'Données projet'!$A$88,$BA$205^A49,IF(A49='Données projet'!$A$88,'Données projet'!$B$88,BD48+BC49-BL48)))</f>
        <v>212.20000000000005</v>
      </c>
      <c r="BE49" s="14">
        <f>BD49*VLOOKUP('Données projet'!$B$11,Paramètres!$A$1:$I$89,3,0)*VLOOKUP('Données projet'!$B$11,Paramètres!$A$1:$I$89,5,0)</f>
        <v>165.51600000000005</v>
      </c>
      <c r="BF49" s="14">
        <f t="shared" si="37"/>
        <v>42.084199740832013</v>
      </c>
      <c r="BG49" s="22">
        <f t="shared" si="7"/>
        <v>361.57034788194915</v>
      </c>
      <c r="BH49" s="62">
        <f t="shared" si="8"/>
        <v>613.92062128067482</v>
      </c>
      <c r="BI49" s="62">
        <f ca="1">AVERAGE(OFFSET($BH$3,0,0,'Données projet'!$E$11+1,1))-AVERAGE(OFFSET($H$3,0,0,'Données projet'!$E$11+1,1))</f>
        <v>252.45744983674379</v>
      </c>
      <c r="BJ49" s="62">
        <f t="shared" si="38"/>
        <v>283.28099819802776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18.168687893168691</v>
      </c>
      <c r="BQ49" s="23">
        <f>EXP(-LN(2)/25)*BQ48+(1-EXP(-LN(2)/25))/(LN(2)/25)*Calculateur!BL49*Calculateur!BN49*VLOOKUP('Données projet'!$B$11,Paramètres!$A$1:$I$89,3,0)*0.475*44/12</f>
        <v>3.4180793662738469</v>
      </c>
      <c r="BR49" s="23">
        <f>EXP(-LN(2)/2)*BR48+(1-EXP(-LN(2)/2))/(LN(2)/2)*BL49*BO49*VLOOKUP('Données projet'!$B$11,Paramètres!$A$1:$I$89,3,0)*0.475*44/12</f>
        <v>2.9376236297151785</v>
      </c>
      <c r="BS49" s="24">
        <f t="shared" si="9"/>
        <v>24.524390889157718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10.199999999999999</v>
      </c>
      <c r="BY49" s="13">
        <f>IF('Données projet'!$A$114&gt;35,BY48+BX49-CG48,IF(A49&lt;'Données projet'!$A$114,$BV$205^A49,IF(A49='Données projet'!$A$114,'Données projet'!$B$114,BY48+BX49-CG48)))</f>
        <v>212.20000000000005</v>
      </c>
      <c r="BZ49" s="14">
        <f>BY49*VLOOKUP('Données projet'!$B$12,Paramètres!$A$1:$I$89,3,0)*VLOOKUP('Données projet'!$B$12,Paramètres!$A$1:$I$89,5,0)</f>
        <v>165.51600000000005</v>
      </c>
      <c r="CA49" s="14">
        <f t="shared" si="39"/>
        <v>42.084199740832013</v>
      </c>
      <c r="CB49" s="22">
        <f t="shared" si="10"/>
        <v>361.57034788194915</v>
      </c>
      <c r="CC49" s="62">
        <f t="shared" si="11"/>
        <v>613.92062128067482</v>
      </c>
      <c r="CD49" s="62">
        <f ca="1">AVERAGE(OFFSET($CC$3,0,0,'Données projet'!$E$12+1,1))-AVERAGE(OFFSET($H$3,0,0,'Données projet'!$E$12+1,1))</f>
        <v>252.45744983674379</v>
      </c>
      <c r="CE49" s="62">
        <f t="shared" si="40"/>
        <v>283.28099819802776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18.168687893168691</v>
      </c>
      <c r="CL49" s="23">
        <f>EXP(-LN(2)/25)*CL48+(1-EXP(-LN(2)/25))/(LN(2)/25)*Calculateur!CG49*Calculateur!CI49*VLOOKUP('Données projet'!$B$12,Paramètres!$A$1:$I$89,3,0)*0.475*44/12</f>
        <v>3.4180793662738469</v>
      </c>
      <c r="CM49" s="23">
        <f>EXP(-LN(2)/2)*CM48+(1-EXP(-LN(2)/2))/(LN(2)/2)*CG49*CJ49*VLOOKUP('Données projet'!$B$12,Paramètres!$A$1:$I$89,3,0)*0.475*44/12</f>
        <v>2.9376236297151785</v>
      </c>
      <c r="CN49" s="24">
        <f t="shared" si="12"/>
        <v>24.524390889157718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215.67000000000002</v>
      </c>
      <c r="O50" s="14">
        <f>N50*VLOOKUP('Données projet'!$B$9,Paramètres!$A$1:$I$89,3,0)*VLOOKUP('Données projet'!$B$9,Paramètres!$A$1:$I$89,5,0)</f>
        <v>100.93356</v>
      </c>
      <c r="P50" s="14">
        <f t="shared" si="33"/>
        <v>27.184284921369784</v>
      </c>
      <c r="Q50" s="22">
        <f t="shared" si="53"/>
        <v>223.13857990471908</v>
      </c>
      <c r="R50" s="62">
        <f t="shared" si="0"/>
        <v>476.1998177689145</v>
      </c>
      <c r="S50" s="62">
        <f ca="1">AVERAGE(OFFSET($R$3,0,0,'Données projet'!$E$9+1,1))-AVERAGE(OFFSET($H$3,0,0,'Données projet'!$E$9+1,1))</f>
        <v>180.76388336802839</v>
      </c>
      <c r="T50" s="62">
        <f t="shared" si="34"/>
        <v>225.35030757566537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6.1929610462014981</v>
      </c>
      <c r="AA50" s="23">
        <f>EXP(-LN(2)/25)*AA49+(1-EXP(-LN(2)/25))/(LN(2)/25)*Calculateur!V50*Calculateur!X50*VLOOKUP('Données projet'!$B$9,Paramètres!$A$1:$I$89,3,0)*0.475*44/12</f>
        <v>5.5174083385484813</v>
      </c>
      <c r="AB50" s="23">
        <f>EXP(-LN(2)/2)*AB49+(1-EXP(-LN(2)/2))/(LN(2)/2)*V50*Y50*VLOOKUP('Données projet'!$B$9,Paramètres!$A$1:$I$89,3,0)*0.475*44/12</f>
        <v>0.60736880658016423</v>
      </c>
      <c r="AC50" s="24">
        <f t="shared" si="3"/>
        <v>12.317738191330143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10.199999999999999</v>
      </c>
      <c r="AI50" s="14">
        <f>IF('Données projet'!$A$62&gt;35,AI49+AH50-AQ49,IF(A50&lt;'Données projet'!$A$62,$AF$205^A50,IF(A50='Données projet'!$A$62,'Données projet'!$B$62,AI49+AH50-AQ49)))</f>
        <v>222.40000000000003</v>
      </c>
      <c r="AJ50" s="14">
        <f>AI50*VLOOKUP('Données projet'!$B$10,Paramètres!$A$1:$I$89,3,0)*VLOOKUP('Données projet'!$B$10,Paramètres!$A$1:$I$89,5,0)</f>
        <v>173.47200000000004</v>
      </c>
      <c r="AK50" s="14">
        <f t="shared" si="35"/>
        <v>43.866718728383574</v>
      </c>
      <c r="AL50" s="22">
        <f t="shared" si="4"/>
        <v>378.53160178526809</v>
      </c>
      <c r="AM50" s="62">
        <f t="shared" si="5"/>
        <v>631.59283964946349</v>
      </c>
      <c r="AN50" s="62">
        <f ca="1">AVERAGE(OFFSET($AM$3,0,0,'Données projet'!$E$10+1,1))-AVERAGE(OFFSET($H$3,0,0,'Données projet'!$E$10+1,1))</f>
        <v>252.45744983674379</v>
      </c>
      <c r="AO50" s="62">
        <f t="shared" si="36"/>
        <v>283.28099819802776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17.812411005389031</v>
      </c>
      <c r="AV50" s="23">
        <f>EXP(-LN(2)/25)*AV49+(1-EXP(-LN(2)/25))/(LN(2)/25)*Calculateur!AQ50*Calculateur!AS50*VLOOKUP('Données projet'!$B$10,Paramètres!$A$1:$I$89,3,0)*0.475*44/12</f>
        <v>3.324611806254107</v>
      </c>
      <c r="AW50" s="23">
        <f>EXP(-LN(2)/2)*AW49+(1-EXP(-LN(2)/2))/(LN(2)/2)*AQ50*AT50*VLOOKUP('Données projet'!$B$10,Paramètres!$A$1:$I$89,3,0)*0.475*44/12</f>
        <v>2.0772135891454422</v>
      </c>
      <c r="AX50" s="23">
        <f t="shared" si="6"/>
        <v>23.214236400788579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10.199999999999999</v>
      </c>
      <c r="BD50" s="13">
        <f>IF('Données projet'!$A$88&gt;35,BD49+BC50-BL49,IF(A50&lt;'Données projet'!$A$88,$BA$205^A50,IF(A50='Données projet'!$A$88,'Données projet'!$B$88,BD49+BC50-BL49)))</f>
        <v>222.40000000000003</v>
      </c>
      <c r="BE50" s="14">
        <f>BD50*VLOOKUP('Données projet'!$B$11,Paramètres!$A$1:$I$89,3,0)*VLOOKUP('Données projet'!$B$11,Paramètres!$A$1:$I$89,5,0)</f>
        <v>173.47200000000004</v>
      </c>
      <c r="BF50" s="14">
        <f t="shared" si="37"/>
        <v>43.866718728383574</v>
      </c>
      <c r="BG50" s="22">
        <f t="shared" si="7"/>
        <v>378.53160178526809</v>
      </c>
      <c r="BH50" s="62">
        <f t="shared" si="8"/>
        <v>631.59283964946349</v>
      </c>
      <c r="BI50" s="62">
        <f ca="1">AVERAGE(OFFSET($BH$3,0,0,'Données projet'!$E$11+1,1))-AVERAGE(OFFSET($H$3,0,0,'Données projet'!$E$11+1,1))</f>
        <v>252.45744983674379</v>
      </c>
      <c r="BJ50" s="62">
        <f t="shared" si="38"/>
        <v>283.28099819802776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17.812411005389031</v>
      </c>
      <c r="BQ50" s="23">
        <f>EXP(-LN(2)/25)*BQ49+(1-EXP(-LN(2)/25))/(LN(2)/25)*Calculateur!BL50*Calculateur!BN50*VLOOKUP('Données projet'!$B$11,Paramètres!$A$1:$I$89,3,0)*0.475*44/12</f>
        <v>3.324611806254107</v>
      </c>
      <c r="BR50" s="23">
        <f>EXP(-LN(2)/2)*BR49+(1-EXP(-LN(2)/2))/(LN(2)/2)*BL50*BO50*VLOOKUP('Données projet'!$B$11,Paramètres!$A$1:$I$89,3,0)*0.475*44/12</f>
        <v>2.0772135891454422</v>
      </c>
      <c r="BS50" s="24">
        <f t="shared" si="9"/>
        <v>23.214236400788579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10.199999999999999</v>
      </c>
      <c r="BY50" s="13">
        <f>IF('Données projet'!$A$114&gt;35,BY49+BX50-CG49,IF(A50&lt;'Données projet'!$A$114,$BV$205^A50,IF(A50='Données projet'!$A$114,'Données projet'!$B$114,BY49+BX50-CG49)))</f>
        <v>222.40000000000003</v>
      </c>
      <c r="BZ50" s="14">
        <f>BY50*VLOOKUP('Données projet'!$B$12,Paramètres!$A$1:$I$89,3,0)*VLOOKUP('Données projet'!$B$12,Paramètres!$A$1:$I$89,5,0)</f>
        <v>173.47200000000004</v>
      </c>
      <c r="CA50" s="14">
        <f t="shared" si="39"/>
        <v>43.866718728383574</v>
      </c>
      <c r="CB50" s="22">
        <f t="shared" si="10"/>
        <v>378.53160178526809</v>
      </c>
      <c r="CC50" s="62">
        <f t="shared" si="11"/>
        <v>631.59283964946349</v>
      </c>
      <c r="CD50" s="62">
        <f ca="1">AVERAGE(OFFSET($CC$3,0,0,'Données projet'!$E$12+1,1))-AVERAGE(OFFSET($H$3,0,0,'Données projet'!$E$12+1,1))</f>
        <v>252.45744983674379</v>
      </c>
      <c r="CE50" s="62">
        <f t="shared" si="40"/>
        <v>283.28099819802776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17.812411005389031</v>
      </c>
      <c r="CL50" s="23">
        <f>EXP(-LN(2)/25)*CL49+(1-EXP(-LN(2)/25))/(LN(2)/25)*Calculateur!CG50*Calculateur!CI50*VLOOKUP('Données projet'!$B$12,Paramètres!$A$1:$I$89,3,0)*0.475*44/12</f>
        <v>3.324611806254107</v>
      </c>
      <c r="CM50" s="23">
        <f>EXP(-LN(2)/2)*CM49+(1-EXP(-LN(2)/2))/(LN(2)/2)*CG50*CJ50*VLOOKUP('Données projet'!$B$12,Paramètres!$A$1:$I$89,3,0)*0.475*44/12</f>
        <v>2.0772135891454422</v>
      </c>
      <c r="CN50" s="24">
        <f t="shared" si="12"/>
        <v>23.214236400788579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222.67000000000002</v>
      </c>
      <c r="O51" s="14">
        <f>N51*VLOOKUP('Données projet'!$B$9,Paramètres!$A$1:$I$89,3,0)*VLOOKUP('Données projet'!$B$9,Paramètres!$A$1:$I$89,5,0)</f>
        <v>104.20956000000001</v>
      </c>
      <c r="P51" s="14">
        <f t="shared" si="33"/>
        <v>27.962447829397632</v>
      </c>
      <c r="Q51" s="22">
        <f t="shared" si="53"/>
        <v>230.19958030286753</v>
      </c>
      <c r="R51" s="62">
        <f t="shared" si="0"/>
        <v>483.9594489885352</v>
      </c>
      <c r="S51" s="62">
        <f ca="1">AVERAGE(OFFSET($R$3,0,0,'Données projet'!$E$9+1,1))-AVERAGE(OFFSET($H$3,0,0,'Données projet'!$E$9+1,1))</f>
        <v>180.76388336802839</v>
      </c>
      <c r="T51" s="62">
        <f t="shared" si="34"/>
        <v>225.35030757566537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6.0715208574187445</v>
      </c>
      <c r="AA51" s="23">
        <f>EXP(-LN(2)/25)*AA50+(1-EXP(-LN(2)/25))/(LN(2)/25)*Calculateur!V51*Calculateur!X51*VLOOKUP('Données projet'!$B$9,Paramètres!$A$1:$I$89,3,0)*0.475*44/12</f>
        <v>5.3665345173829788</v>
      </c>
      <c r="AB51" s="23">
        <f>EXP(-LN(2)/2)*AB50+(1-EXP(-LN(2)/2))/(LN(2)/2)*V51*Y51*VLOOKUP('Données projet'!$B$9,Paramètres!$A$1:$I$89,3,0)*0.475*44/12</f>
        <v>0.4294746018140147</v>
      </c>
      <c r="AC51" s="24">
        <f t="shared" si="3"/>
        <v>11.867529976615739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10.199999999999999</v>
      </c>
      <c r="AI51" s="14">
        <f>IF('Données projet'!$A$62&gt;35,AI50+AH51-AQ50,IF(A51&lt;'Données projet'!$A$62,$AF$205^A51,IF(A51='Données projet'!$A$62,'Données projet'!$B$62,AI50+AH51-AQ50)))</f>
        <v>232.60000000000002</v>
      </c>
      <c r="AJ51" s="14">
        <f>AI51*VLOOKUP('Données projet'!$B$10,Paramètres!$A$1:$I$89,3,0)*VLOOKUP('Données projet'!$B$10,Paramètres!$A$1:$I$89,5,0)</f>
        <v>181.42800000000003</v>
      </c>
      <c r="AK51" s="14">
        <f t="shared" si="35"/>
        <v>45.639743598335336</v>
      </c>
      <c r="AL51" s="22">
        <f t="shared" si="4"/>
        <v>395.47632010043407</v>
      </c>
      <c r="AM51" s="62">
        <f t="shared" si="5"/>
        <v>649.23618878610182</v>
      </c>
      <c r="AN51" s="62">
        <f ca="1">AVERAGE(OFFSET($AM$3,0,0,'Données projet'!$E$10+1,1))-AVERAGE(OFFSET($H$3,0,0,'Données projet'!$E$10+1,1))</f>
        <v>252.45744983674379</v>
      </c>
      <c r="AO51" s="62">
        <f t="shared" si="36"/>
        <v>283.28099819802776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17.463120490071287</v>
      </c>
      <c r="AV51" s="23">
        <f>EXP(-LN(2)/25)*AV50+(1-EXP(-LN(2)/25))/(LN(2)/25)*Calculateur!AQ51*Calculateur!AS51*VLOOKUP('Données projet'!$B$10,Paramètres!$A$1:$I$89,3,0)*0.475*44/12</f>
        <v>3.2337001215783521</v>
      </c>
      <c r="AW51" s="23">
        <f>EXP(-LN(2)/2)*AW50+(1-EXP(-LN(2)/2))/(LN(2)/2)*AQ51*AT51*VLOOKUP('Données projet'!$B$10,Paramètres!$A$1:$I$89,3,0)*0.475*44/12</f>
        <v>1.4688118148575893</v>
      </c>
      <c r="AX51" s="23">
        <f t="shared" si="6"/>
        <v>22.165632426507226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10.199999999999999</v>
      </c>
      <c r="BD51" s="13">
        <f>IF('Données projet'!$A$88&gt;35,BD50+BC51-BL50,IF(A51&lt;'Données projet'!$A$88,$BA$205^A51,IF(A51='Données projet'!$A$88,'Données projet'!$B$88,BD50+BC51-BL50)))</f>
        <v>232.60000000000002</v>
      </c>
      <c r="BE51" s="14">
        <f>BD51*VLOOKUP('Données projet'!$B$11,Paramètres!$A$1:$I$89,3,0)*VLOOKUP('Données projet'!$B$11,Paramètres!$A$1:$I$89,5,0)</f>
        <v>181.42800000000003</v>
      </c>
      <c r="BF51" s="14">
        <f t="shared" si="37"/>
        <v>45.639743598335336</v>
      </c>
      <c r="BG51" s="22">
        <f t="shared" si="7"/>
        <v>395.47632010043407</v>
      </c>
      <c r="BH51" s="62">
        <f t="shared" si="8"/>
        <v>649.23618878610182</v>
      </c>
      <c r="BI51" s="62">
        <f ca="1">AVERAGE(OFFSET($BH$3,0,0,'Données projet'!$E$11+1,1))-AVERAGE(OFFSET($H$3,0,0,'Données projet'!$E$11+1,1))</f>
        <v>252.45744983674379</v>
      </c>
      <c r="BJ51" s="62">
        <f t="shared" si="38"/>
        <v>283.28099819802776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17.463120490071287</v>
      </c>
      <c r="BQ51" s="23">
        <f>EXP(-LN(2)/25)*BQ50+(1-EXP(-LN(2)/25))/(LN(2)/25)*Calculateur!BL51*Calculateur!BN51*VLOOKUP('Données projet'!$B$11,Paramètres!$A$1:$I$89,3,0)*0.475*44/12</f>
        <v>3.2337001215783521</v>
      </c>
      <c r="BR51" s="23">
        <f>EXP(-LN(2)/2)*BR50+(1-EXP(-LN(2)/2))/(LN(2)/2)*BL51*BO51*VLOOKUP('Données projet'!$B$11,Paramètres!$A$1:$I$89,3,0)*0.475*44/12</f>
        <v>1.4688118148575893</v>
      </c>
      <c r="BS51" s="24">
        <f t="shared" si="9"/>
        <v>22.165632426507226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10.199999999999999</v>
      </c>
      <c r="BY51" s="13">
        <f>IF('Données projet'!$A$114&gt;35,BY50+BX51-CG50,IF(A51&lt;'Données projet'!$A$114,$BV$205^A51,IF(A51='Données projet'!$A$114,'Données projet'!$B$114,BY50+BX51-CG50)))</f>
        <v>232.60000000000002</v>
      </c>
      <c r="BZ51" s="14">
        <f>BY51*VLOOKUP('Données projet'!$B$12,Paramètres!$A$1:$I$89,3,0)*VLOOKUP('Données projet'!$B$12,Paramètres!$A$1:$I$89,5,0)</f>
        <v>181.42800000000003</v>
      </c>
      <c r="CA51" s="14">
        <f t="shared" si="39"/>
        <v>45.639743598335336</v>
      </c>
      <c r="CB51" s="22">
        <f t="shared" si="10"/>
        <v>395.47632010043407</v>
      </c>
      <c r="CC51" s="62">
        <f t="shared" si="11"/>
        <v>649.23618878610182</v>
      </c>
      <c r="CD51" s="62">
        <f ca="1">AVERAGE(OFFSET($CC$3,0,0,'Données projet'!$E$12+1,1))-AVERAGE(OFFSET($H$3,0,0,'Données projet'!$E$12+1,1))</f>
        <v>252.45744983674379</v>
      </c>
      <c r="CE51" s="62">
        <f t="shared" si="40"/>
        <v>283.28099819802776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17.463120490071287</v>
      </c>
      <c r="CL51" s="23">
        <f>EXP(-LN(2)/25)*CL50+(1-EXP(-LN(2)/25))/(LN(2)/25)*Calculateur!CG51*Calculateur!CI51*VLOOKUP('Données projet'!$B$12,Paramètres!$A$1:$I$89,3,0)*0.475*44/12</f>
        <v>3.2337001215783521</v>
      </c>
      <c r="CM51" s="23">
        <f>EXP(-LN(2)/2)*CM50+(1-EXP(-LN(2)/2))/(LN(2)/2)*CG51*CJ51*VLOOKUP('Données projet'!$B$12,Paramètres!$A$1:$I$89,3,0)*0.475*44/12</f>
        <v>1.4688118148575893</v>
      </c>
      <c r="CN51" s="24">
        <f t="shared" si="12"/>
        <v>22.165632426507226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229.67000000000002</v>
      </c>
      <c r="O52" s="14">
        <f>N52*VLOOKUP('Données projet'!$B$9,Paramètres!$A$1:$I$89,3,0)*VLOOKUP('Données projet'!$B$9,Paramètres!$A$1:$I$89,5,0)</f>
        <v>107.48556000000001</v>
      </c>
      <c r="P52" s="14">
        <f t="shared" si="33"/>
        <v>28.737767971699185</v>
      </c>
      <c r="Q52" s="22">
        <f t="shared" si="53"/>
        <v>237.25562955070939</v>
      </c>
      <c r="R52" s="62">
        <f t="shared" si="0"/>
        <v>491.70200937500135</v>
      </c>
      <c r="S52" s="62">
        <f ca="1">AVERAGE(OFFSET($R$3,0,0,'Données projet'!$E$9+1,1))-AVERAGE(OFFSET($H$3,0,0,'Données projet'!$E$9+1,1))</f>
        <v>180.76388336802839</v>
      </c>
      <c r="T52" s="62">
        <f t="shared" si="34"/>
        <v>225.35030757566537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5.9524620366668195</v>
      </c>
      <c r="AA52" s="23">
        <f>EXP(-LN(2)/25)*AA51+(1-EXP(-LN(2)/25))/(LN(2)/25)*Calculateur!V52*Calculateur!X52*VLOOKUP('Données projet'!$B$9,Paramètres!$A$1:$I$89,3,0)*0.475*44/12</f>
        <v>5.2197863487913567</v>
      </c>
      <c r="AB52" s="23">
        <f>EXP(-LN(2)/2)*AB51+(1-EXP(-LN(2)/2))/(LN(2)/2)*V52*Y52*VLOOKUP('Données projet'!$B$9,Paramètres!$A$1:$I$89,3,0)*0.475*44/12</f>
        <v>0.30368440329008212</v>
      </c>
      <c r="AC52" s="24">
        <f t="shared" si="3"/>
        <v>11.475932788748258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10.199999999999999</v>
      </c>
      <c r="AI52" s="14">
        <f>IF('Données projet'!$A$62&gt;35,AI51+AH52-AQ51,IF(A52&lt;'Données projet'!$A$62,$AF$205^A52,IF(A52='Données projet'!$A$62,'Données projet'!$B$62,AI51+AH52-AQ51)))</f>
        <v>242.8</v>
      </c>
      <c r="AJ52" s="14">
        <f>AI52*VLOOKUP('Données projet'!$B$10,Paramètres!$A$1:$I$89,3,0)*VLOOKUP('Données projet'!$B$10,Paramètres!$A$1:$I$89,5,0)</f>
        <v>189.38400000000001</v>
      </c>
      <c r="AK52" s="14">
        <f t="shared" si="35"/>
        <v>47.403738268724076</v>
      </c>
      <c r="AL52" s="22">
        <f t="shared" si="4"/>
        <v>412.40531081802777</v>
      </c>
      <c r="AM52" s="62">
        <f t="shared" si="5"/>
        <v>666.85169064231968</v>
      </c>
      <c r="AN52" s="62">
        <f ca="1">AVERAGE(OFFSET($AM$3,0,0,'Données projet'!$E$10+1,1))-AVERAGE(OFFSET($H$3,0,0,'Données projet'!$E$10+1,1))</f>
        <v>252.45744983674379</v>
      </c>
      <c r="AO52" s="62">
        <f t="shared" si="36"/>
        <v>283.28099819802776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17.120679348712745</v>
      </c>
      <c r="AV52" s="23">
        <f>EXP(-LN(2)/25)*AV51+(1-EXP(-LN(2)/25))/(LN(2)/25)*Calculateur!AQ52*Calculateur!AS52*VLOOKUP('Données projet'!$B$10,Paramètres!$A$1:$I$89,3,0)*0.475*44/12</f>
        <v>3.1452744217008934</v>
      </c>
      <c r="AW52" s="23">
        <f>EXP(-LN(2)/2)*AW51+(1-EXP(-LN(2)/2))/(LN(2)/2)*AQ52*AT52*VLOOKUP('Données projet'!$B$10,Paramètres!$A$1:$I$89,3,0)*0.475*44/12</f>
        <v>1.0386067945727211</v>
      </c>
      <c r="AX52" s="23">
        <f t="shared" si="6"/>
        <v>21.30456056498636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10.199999999999999</v>
      </c>
      <c r="BD52" s="13">
        <f>IF('Données projet'!$A$88&gt;35,BD51+BC52-BL51,IF(A52&lt;'Données projet'!$A$88,$BA$205^A52,IF(A52='Données projet'!$A$88,'Données projet'!$B$88,BD51+BC52-BL51)))</f>
        <v>242.8</v>
      </c>
      <c r="BE52" s="14">
        <f>BD52*VLOOKUP('Données projet'!$B$11,Paramètres!$A$1:$I$89,3,0)*VLOOKUP('Données projet'!$B$11,Paramètres!$A$1:$I$89,5,0)</f>
        <v>189.38400000000001</v>
      </c>
      <c r="BF52" s="14">
        <f t="shared" si="37"/>
        <v>47.403738268724076</v>
      </c>
      <c r="BG52" s="22">
        <f t="shared" si="7"/>
        <v>412.40531081802777</v>
      </c>
      <c r="BH52" s="62">
        <f t="shared" si="8"/>
        <v>666.85169064231968</v>
      </c>
      <c r="BI52" s="62">
        <f ca="1">AVERAGE(OFFSET($BH$3,0,0,'Données projet'!$E$11+1,1))-AVERAGE(OFFSET($H$3,0,0,'Données projet'!$E$11+1,1))</f>
        <v>252.45744983674379</v>
      </c>
      <c r="BJ52" s="62">
        <f t="shared" si="38"/>
        <v>283.28099819802776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17.120679348712745</v>
      </c>
      <c r="BQ52" s="23">
        <f>EXP(-LN(2)/25)*BQ51+(1-EXP(-LN(2)/25))/(LN(2)/25)*Calculateur!BL52*Calculateur!BN52*VLOOKUP('Données projet'!$B$11,Paramètres!$A$1:$I$89,3,0)*0.475*44/12</f>
        <v>3.1452744217008934</v>
      </c>
      <c r="BR52" s="23">
        <f>EXP(-LN(2)/2)*BR51+(1-EXP(-LN(2)/2))/(LN(2)/2)*BL52*BO52*VLOOKUP('Données projet'!$B$11,Paramètres!$A$1:$I$89,3,0)*0.475*44/12</f>
        <v>1.0386067945727211</v>
      </c>
      <c r="BS52" s="24">
        <f t="shared" si="9"/>
        <v>21.30456056498636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10.199999999999999</v>
      </c>
      <c r="BY52" s="13">
        <f>IF('Données projet'!$A$114&gt;35,BY51+BX52-CG51,IF(A52&lt;'Données projet'!$A$114,$BV$205^A52,IF(A52='Données projet'!$A$114,'Données projet'!$B$114,BY51+BX52-CG51)))</f>
        <v>242.8</v>
      </c>
      <c r="BZ52" s="14">
        <f>BY52*VLOOKUP('Données projet'!$B$12,Paramètres!$A$1:$I$89,3,0)*VLOOKUP('Données projet'!$B$12,Paramètres!$A$1:$I$89,5,0)</f>
        <v>189.38400000000001</v>
      </c>
      <c r="CA52" s="14">
        <f t="shared" si="39"/>
        <v>47.403738268724076</v>
      </c>
      <c r="CB52" s="22">
        <f t="shared" si="10"/>
        <v>412.40531081802777</v>
      </c>
      <c r="CC52" s="62">
        <f t="shared" si="11"/>
        <v>666.85169064231968</v>
      </c>
      <c r="CD52" s="62">
        <f ca="1">AVERAGE(OFFSET($CC$3,0,0,'Données projet'!$E$12+1,1))-AVERAGE(OFFSET($H$3,0,0,'Données projet'!$E$12+1,1))</f>
        <v>252.45744983674379</v>
      </c>
      <c r="CE52" s="62">
        <f t="shared" si="40"/>
        <v>283.28099819802776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17.120679348712745</v>
      </c>
      <c r="CL52" s="23">
        <f>EXP(-LN(2)/25)*CL51+(1-EXP(-LN(2)/25))/(LN(2)/25)*Calculateur!CG52*Calculateur!CI52*VLOOKUP('Données projet'!$B$12,Paramètres!$A$1:$I$89,3,0)*0.475*44/12</f>
        <v>3.1452744217008934</v>
      </c>
      <c r="CM52" s="23">
        <f>EXP(-LN(2)/2)*CM51+(1-EXP(-LN(2)/2))/(LN(2)/2)*CG52*CJ52*VLOOKUP('Données projet'!$B$12,Paramètres!$A$1:$I$89,3,0)*0.475*44/12</f>
        <v>1.0386067945727211</v>
      </c>
      <c r="CN52" s="24">
        <f t="shared" si="12"/>
        <v>21.30456056498636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236.67000000000002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236.67000000000002</v>
      </c>
      <c r="O53" s="14">
        <f>N53*VLOOKUP('Données projet'!$B$9,Paramètres!$A$1:$I$89,3,0)*VLOOKUP('Données projet'!$B$9,Paramètres!$A$1:$I$89,5,0)</f>
        <v>110.76156</v>
      </c>
      <c r="P53" s="14">
        <f t="shared" si="33"/>
        <v>29.510341935774974</v>
      </c>
      <c r="Q53" s="22">
        <f t="shared" si="53"/>
        <v>244.30689587147472</v>
      </c>
      <c r="R53" s="62">
        <f t="shared" si="0"/>
        <v>499.42787740094479</v>
      </c>
      <c r="S53" s="62">
        <f ca="1">AVERAGE(OFFSET($R$3,0,0,'Données projet'!$E$9+1,1))-AVERAGE(OFFSET($H$3,0,0,'Données projet'!$E$9+1,1))</f>
        <v>180.76388336802839</v>
      </c>
      <c r="T53" s="62">
        <f t="shared" si="34"/>
        <v>225.35030757566537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47.334000000000003</v>
      </c>
      <c r="W53" s="17">
        <f>IF(ISNA(VLOOKUP(A53,'Données projet'!$A$35:$I$55,5,0)),0%,VLOOKUP(A53,'Données projet'!$A$35:$I$55,5,0)*VLOOKUP('Données projet'!$B$9,Paramètres!$A$1:$I$89,7,0))</f>
        <v>0.27500000000000002</v>
      </c>
      <c r="X53" s="17">
        <f>IF(ISNA(VLOOKUP(A53,'Données projet'!$A$35:$I$55,6,0)),0%,VLOOKUP(A53,'Données projet'!$A$35:$I$55,6,0)*VLOOKUP('Données projet'!$B$9,Paramètres!$A$1:$I$89,7,0))</f>
        <v>0.11000000000000001</v>
      </c>
      <c r="Y53" s="17">
        <f>IF(ISNA(VLOOKUP(A53,'Données projet'!$A$35:$I$55,7,0)),0%,VLOOKUP(A53,'Données projet'!$A$35:$I$55,7,0))</f>
        <v>0.3</v>
      </c>
      <c r="Z53" s="23">
        <f>EXP(-LN(2)/35)*Z52+(1-EXP(-LN(2)/35))/(LN(2)/35)*V53*W53*VLOOKUP('Données projet'!$B$9,Paramètres!$A$1:$I$89,3,0)*0.475*44/12</f>
        <v>13.917017055648</v>
      </c>
      <c r="AA53" s="23">
        <f>EXP(-LN(2)/25)*AA52+(1-EXP(-LN(2)/25))/(LN(2)/25)*Calculateur!V53*Calculateur!X53*VLOOKUP('Données projet'!$B$9,Paramètres!$A$1:$I$89,3,0)*0.475*44/12</f>
        <v>8.296835054019116</v>
      </c>
      <c r="AB53" s="23">
        <f>EXP(-LN(2)/2)*AB52+(1-EXP(-LN(2)/2))/(LN(2)/2)*V53*Y53*VLOOKUP('Données projet'!$B$9,Paramètres!$A$1:$I$89,3,0)*0.475*44/12</f>
        <v>7.7392062342919354</v>
      </c>
      <c r="AC53" s="24">
        <f t="shared" si="3"/>
        <v>29.95305834395905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253</v>
      </c>
      <c r="AG53" s="13">
        <f>VLOOKUP(A53,'Données projet'!$A$61:$I$81,9,0)</f>
        <v>10.199999999999999</v>
      </c>
      <c r="AH53" s="13">
        <f t="array" ref="AH53">INDEX(AG:AG,MIN(IF(ISNUMBER(AG53:AG249),ROW(AG53:AG249),"")))</f>
        <v>10.199999999999999</v>
      </c>
      <c r="AI53" s="14">
        <f>IF('Données projet'!$A$62&gt;35,AI52+AH53-AQ52,IF(A53&lt;'Données projet'!$A$62,$AF$205^A53,IF(A53='Données projet'!$A$62,'Données projet'!$B$62,AI52+AH53-AQ52)))</f>
        <v>253</v>
      </c>
      <c r="AJ53" s="14">
        <f>AI53*VLOOKUP('Données projet'!$B$10,Paramètres!$A$1:$I$89,3,0)*VLOOKUP('Données projet'!$B$10,Paramètres!$A$1:$I$89,5,0)</f>
        <v>197.34</v>
      </c>
      <c r="AK53" s="14">
        <f t="shared" si="35"/>
        <v>49.159125474269977</v>
      </c>
      <c r="AL53" s="22">
        <f t="shared" si="4"/>
        <v>429.31931020102024</v>
      </c>
      <c r="AM53" s="62">
        <f t="shared" si="5"/>
        <v>684.44029173049034</v>
      </c>
      <c r="AN53" s="62">
        <f ca="1">AVERAGE(OFFSET($AM$3,0,0,'Données projet'!$E$10+1,1))-AVERAGE(OFFSET($H$3,0,0,'Données projet'!$E$10+1,1))</f>
        <v>252.45744983674379</v>
      </c>
      <c r="AO53" s="62">
        <f t="shared" si="36"/>
        <v>283.28099819802776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30</v>
      </c>
      <c r="AR53" s="17">
        <f>IF(ISNA(VLOOKUP(A53,'Données projet'!$A$61:$I$81,5,0)),0%,VLOOKUP(A53,'Données projet'!$A$61:$I$81,5,0)*VLOOKUP('Données projet'!$B$10,Paramètres!$A$1:$I$89,7,0))</f>
        <v>0.215</v>
      </c>
      <c r="AS53" s="17">
        <f>IF(ISNA(VLOOKUP(A53,'Données projet'!$A$61:$I$81,6,0)),0%,VLOOKUP(A53,'Données projet'!$A$61:$I$81,6,0)*VLOOKUP('Données projet'!$B$10,Paramètres!$A$1:$I$89,7,0))</f>
        <v>4.3000000000000003E-2</v>
      </c>
      <c r="AT53" s="17">
        <f>IF(ISNA(VLOOKUP(A53,'Données projet'!$A$61:$I$81,7,0)),0%,VLOOKUP(A53,'Données projet'!$A$61:$I$81,7,0))</f>
        <v>0.15</v>
      </c>
      <c r="AU53" s="23">
        <f>EXP(-LN(2)/35)*AU52+(1-EXP(-LN(2)/35))/(LN(2)/35)*AQ53*AR53*VLOOKUP('Données projet'!$B$10,Paramètres!$A$1:$I$89,3,0)*0.475*44/12</f>
        <v>22.346574748698043</v>
      </c>
      <c r="AV53" s="23">
        <f>EXP(-LN(2)/25)*AV52+(1-EXP(-LN(2)/25))/(LN(2)/25)*Calculateur!AQ53*Calculateur!AS53*VLOOKUP('Données projet'!$B$10,Paramètres!$A$1:$I$89,3,0)*0.475*44/12</f>
        <v>4.1672113785410563</v>
      </c>
      <c r="AW53" s="23">
        <f>EXP(-LN(2)/2)*AW52+(1-EXP(-LN(2)/2))/(LN(2)/2)*AQ53*AT53*VLOOKUP('Données projet'!$B$10,Paramètres!$A$1:$I$89,3,0)*0.475*44/12</f>
        <v>4.0461853776937069</v>
      </c>
      <c r="AX53" s="23">
        <f t="shared" si="6"/>
        <v>30.559971504932808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253</v>
      </c>
      <c r="BB53" s="13">
        <f>VLOOKUP(A53,'Données projet'!$A$87:$I$107,9,0)</f>
        <v>10.199999999999999</v>
      </c>
      <c r="BC53" s="13">
        <f t="array" ref="BC53">INDEX(BB:BB,MIN(IF(ISNUMBER(BB53:BB249),ROW(BB53:BB249),"")))</f>
        <v>10.199999999999999</v>
      </c>
      <c r="BD53" s="13">
        <f>IF('Données projet'!$A$88&gt;35,BD52+BC53-BL52,IF(A53&lt;'Données projet'!$A$88,$BA$205^A53,IF(A53='Données projet'!$A$88,'Données projet'!$B$88,BD52+BC53-BL52)))</f>
        <v>253</v>
      </c>
      <c r="BE53" s="14">
        <f>BD53*VLOOKUP('Données projet'!$B$11,Paramètres!$A$1:$I$89,3,0)*VLOOKUP('Données projet'!$B$11,Paramètres!$A$1:$I$89,5,0)</f>
        <v>197.34</v>
      </c>
      <c r="BF53" s="14">
        <f t="shared" si="37"/>
        <v>49.159125474269977</v>
      </c>
      <c r="BG53" s="22">
        <f t="shared" si="7"/>
        <v>429.31931020102024</v>
      </c>
      <c r="BH53" s="62">
        <f t="shared" si="8"/>
        <v>684.44029173049034</v>
      </c>
      <c r="BI53" s="62">
        <f ca="1">AVERAGE(OFFSET($BH$3,0,0,'Données projet'!$E$11+1,1))-AVERAGE(OFFSET($H$3,0,0,'Données projet'!$E$11+1,1))</f>
        <v>252.45744983674379</v>
      </c>
      <c r="BJ53" s="62">
        <f t="shared" si="38"/>
        <v>283.28099819802776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30</v>
      </c>
      <c r="BM53" s="17">
        <f>IF(ISNA(VLOOKUP(A53,'Données projet'!$A$87:$I$107,5,0)),0%,VLOOKUP(A53,'Données projet'!$A$87:$I$107,5,0)*VLOOKUP('Données projet'!$B$11,Paramètres!$A$1:$I$89,7,0))</f>
        <v>0.215</v>
      </c>
      <c r="BN53" s="17">
        <f>IF(ISNA(VLOOKUP(A53,'Données projet'!$A$87:$I$107,6,0)),0%,VLOOKUP(A53,'Données projet'!$A$87:$I$107,6,0)*VLOOKUP('Données projet'!$B$11,Paramètres!$A$1:$I$89,7,0))</f>
        <v>4.3000000000000003E-2</v>
      </c>
      <c r="BO53" s="17">
        <f>IF(ISNA(VLOOKUP(A53,'Données projet'!$A$87:$I$107,7,0)),0%,VLOOKUP(A53,'Données projet'!$A$87:$I$107,7,0))</f>
        <v>0.15</v>
      </c>
      <c r="BP53" s="23">
        <f>EXP(-LN(2)/35)*BP52+(1-EXP(-LN(2)/35))/(LN(2)/35)*BL53*BM53*VLOOKUP('Données projet'!$B$11,Paramètres!$A$1:$I$89,3,0)*0.475*44/12</f>
        <v>22.346574748698043</v>
      </c>
      <c r="BQ53" s="23">
        <f>EXP(-LN(2)/25)*BQ52+(1-EXP(-LN(2)/25))/(LN(2)/25)*Calculateur!BL53*Calculateur!BN53*VLOOKUP('Données projet'!$B$11,Paramètres!$A$1:$I$89,3,0)*0.475*44/12</f>
        <v>4.1672113785410563</v>
      </c>
      <c r="BR53" s="23">
        <f>EXP(-LN(2)/2)*BR52+(1-EXP(-LN(2)/2))/(LN(2)/2)*BL53*BO53*VLOOKUP('Données projet'!$B$11,Paramètres!$A$1:$I$89,3,0)*0.475*44/12</f>
        <v>4.0461853776937069</v>
      </c>
      <c r="BS53" s="24">
        <f t="shared" si="9"/>
        <v>30.559971504932808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253</v>
      </c>
      <c r="BW53" s="13">
        <f>VLOOKUP(A53,'Données projet'!$A$113:$I$133,9,0)</f>
        <v>10.199999999999999</v>
      </c>
      <c r="BX53" s="13">
        <f t="array" ref="BX53">INDEX(BW:BW,MIN(IF(ISNUMBER(BW53:BW249),ROW(BW53:BW249),"")))</f>
        <v>10.199999999999999</v>
      </c>
      <c r="BY53" s="13">
        <f>IF('Données projet'!$A$114&gt;35,BY52+BX53-CG52,IF(A53&lt;'Données projet'!$A$114,$BV$205^A53,IF(A53='Données projet'!$A$114,'Données projet'!$B$114,BY52+BX53-CG52)))</f>
        <v>253</v>
      </c>
      <c r="BZ53" s="14">
        <f>BY53*VLOOKUP('Données projet'!$B$12,Paramètres!$A$1:$I$89,3,0)*VLOOKUP('Données projet'!$B$12,Paramètres!$A$1:$I$89,5,0)</f>
        <v>197.34</v>
      </c>
      <c r="CA53" s="14">
        <f t="shared" si="39"/>
        <v>49.159125474269977</v>
      </c>
      <c r="CB53" s="22">
        <f t="shared" si="10"/>
        <v>429.31931020102024</v>
      </c>
      <c r="CC53" s="62">
        <f t="shared" si="11"/>
        <v>684.44029173049034</v>
      </c>
      <c r="CD53" s="62">
        <f ca="1">AVERAGE(OFFSET($CC$3,0,0,'Données projet'!$E$12+1,1))-AVERAGE(OFFSET($H$3,0,0,'Données projet'!$E$12+1,1))</f>
        <v>252.45744983674379</v>
      </c>
      <c r="CE53" s="62">
        <f t="shared" si="40"/>
        <v>283.28099819802776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30</v>
      </c>
      <c r="CH53" s="17">
        <f>IF(ISNA(VLOOKUP(A53,'Données projet'!$A$113:$I$133,5,0)),0%,VLOOKUP(A53,'Données projet'!$A$113:$I$133,5,0)*VLOOKUP('Données projet'!$B$12,Paramètres!$A$1:$I$89,7,0))</f>
        <v>0.215</v>
      </c>
      <c r="CI53" s="17">
        <f>IF(ISNA(VLOOKUP(A53,'Données projet'!$A$113:$I$133,6,0)),0%,VLOOKUP(A53,'Données projet'!$A$113:$I$133,6,0)*VLOOKUP('Données projet'!$B$12,Paramètres!$A$1:$I$89,7,0))</f>
        <v>4.3000000000000003E-2</v>
      </c>
      <c r="CJ53" s="17">
        <f>IF(ISNA(VLOOKUP(A53,'Données projet'!$A$113:$I$133,7,0)),0%,VLOOKUP(A53,'Données projet'!$A$113:$I$133,7,0))</f>
        <v>0.15</v>
      </c>
      <c r="CK53" s="23">
        <f>EXP(-LN(2)/35)*CK52+(1-EXP(-LN(2)/35))/(LN(2)/35)*CG53*CH53*VLOOKUP('Données projet'!$B$12,Paramètres!$A$1:$I$89,3,0)*0.475*44/12</f>
        <v>22.346574748698043</v>
      </c>
      <c r="CL53" s="23">
        <f>EXP(-LN(2)/25)*CL52+(1-EXP(-LN(2)/25))/(LN(2)/25)*Calculateur!CG53*Calculateur!CI53*VLOOKUP('Données projet'!$B$12,Paramètres!$A$1:$I$89,3,0)*0.475*44/12</f>
        <v>4.1672113785410563</v>
      </c>
      <c r="CM53" s="23">
        <f>EXP(-LN(2)/2)*CM52+(1-EXP(-LN(2)/2))/(LN(2)/2)*CG53*CJ53*VLOOKUP('Données projet'!$B$12,Paramètres!$A$1:$I$89,3,0)*0.475*44/12</f>
        <v>4.0461853776937069</v>
      </c>
      <c r="CN53" s="24">
        <f t="shared" si="12"/>
        <v>30.559971504932808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197.33600000000001</v>
      </c>
      <c r="O54" s="14">
        <f>N54*VLOOKUP('Données projet'!$B$9,Paramètres!$A$1:$I$89,3,0)*VLOOKUP('Données projet'!$B$9,Paramètres!$A$1:$I$89,5,0)</f>
        <v>92.353248000000008</v>
      </c>
      <c r="P54" s="14">
        <f t="shared" si="33"/>
        <v>25.13191636083674</v>
      </c>
      <c r="Q54" s="22">
        <f t="shared" si="53"/>
        <v>204.61999459512398</v>
      </c>
      <c r="R54" s="62">
        <f t="shared" si="0"/>
        <v>460.40387499837084</v>
      </c>
      <c r="S54" s="62">
        <f ca="1">AVERAGE(OFFSET($R$3,0,0,'Données projet'!$E$9+1,1))-AVERAGE(OFFSET($H$3,0,0,'Données projet'!$E$9+1,1))</f>
        <v>180.76388336802839</v>
      </c>
      <c r="T54" s="62">
        <f t="shared" si="34"/>
        <v>225.35030757566537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13.644112839728972</v>
      </c>
      <c r="AA54" s="23">
        <f>EXP(-LN(2)/25)*AA53+(1-EXP(-LN(2)/25))/(LN(2)/25)*Calculateur!V54*Calculateur!X54*VLOOKUP('Données projet'!$B$9,Paramètres!$A$1:$I$89,3,0)*0.475*44/12</f>
        <v>8.0699576631553711</v>
      </c>
      <c r="AB54" s="23">
        <f>EXP(-LN(2)/2)*AB53+(1-EXP(-LN(2)/2))/(LN(2)/2)*V54*Y54*VLOOKUP('Données projet'!$B$9,Paramètres!$A$1:$I$89,3,0)*0.475*44/12</f>
        <v>5.4724452092690328</v>
      </c>
      <c r="AC54" s="24">
        <f t="shared" si="3"/>
        <v>27.186515712153376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8.1999999999999993</v>
      </c>
      <c r="AI54" s="14">
        <f>IF('Données projet'!$A$62&gt;35,AI53+AH54-AQ53,IF(A54&lt;'Données projet'!$A$62,$AF$205^A54,IF(A54='Données projet'!$A$62,'Données projet'!$B$62,AI53+AH54-AQ53)))</f>
        <v>231.2</v>
      </c>
      <c r="AJ54" s="14">
        <f>AI54*VLOOKUP('Données projet'!$B$10,Paramètres!$A$1:$I$89,3,0)*VLOOKUP('Données projet'!$B$10,Paramètres!$A$1:$I$89,5,0)</f>
        <v>180.33599999999998</v>
      </c>
      <c r="AK54" s="14">
        <f t="shared" si="35"/>
        <v>45.396931860513298</v>
      </c>
      <c r="AL54" s="22">
        <f t="shared" si="4"/>
        <v>393.15152299039391</v>
      </c>
      <c r="AM54" s="62">
        <f t="shared" si="5"/>
        <v>648.93540339364074</v>
      </c>
      <c r="AN54" s="62">
        <f ca="1">AVERAGE(OFFSET($AM$3,0,0,'Données projet'!$E$10+1,1))-AVERAGE(OFFSET($H$3,0,0,'Données projet'!$E$10+1,1))</f>
        <v>252.45744983674379</v>
      </c>
      <c r="AO54" s="62">
        <f t="shared" si="36"/>
        <v>283.28099819802776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21.908372047940812</v>
      </c>
      <c r="AV54" s="23">
        <f>EXP(-LN(2)/25)*AV53+(1-EXP(-LN(2)/25))/(LN(2)/25)*Calculateur!AQ54*Calculateur!AS54*VLOOKUP('Données projet'!$B$10,Paramètres!$A$1:$I$89,3,0)*0.475*44/12</f>
        <v>4.053258764250729</v>
      </c>
      <c r="AW54" s="23">
        <f>EXP(-LN(2)/2)*AW53+(1-EXP(-LN(2)/2))/(LN(2)/2)*AQ54*AT54*VLOOKUP('Données projet'!$B$10,Paramètres!$A$1:$I$89,3,0)*0.475*44/12</f>
        <v>2.8610851185050725</v>
      </c>
      <c r="AX54" s="23">
        <f t="shared" si="6"/>
        <v>28.822715930696614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8.1999999999999993</v>
      </c>
      <c r="BD54" s="13">
        <f>IF('Données projet'!$A$88&gt;35,BD53+BC54-BL53,IF(A54&lt;'Données projet'!$A$88,$BA$205^A54,IF(A54='Données projet'!$A$88,'Données projet'!$B$88,BD53+BC54-BL53)))</f>
        <v>231.2</v>
      </c>
      <c r="BE54" s="14">
        <f>BD54*VLOOKUP('Données projet'!$B$11,Paramètres!$A$1:$I$89,3,0)*VLOOKUP('Données projet'!$B$11,Paramètres!$A$1:$I$89,5,0)</f>
        <v>180.33599999999998</v>
      </c>
      <c r="BF54" s="14">
        <f t="shared" si="37"/>
        <v>45.396931860513298</v>
      </c>
      <c r="BG54" s="22">
        <f t="shared" si="7"/>
        <v>393.15152299039391</v>
      </c>
      <c r="BH54" s="62">
        <f t="shared" si="8"/>
        <v>648.93540339364074</v>
      </c>
      <c r="BI54" s="62">
        <f ca="1">AVERAGE(OFFSET($BH$3,0,0,'Données projet'!$E$11+1,1))-AVERAGE(OFFSET($H$3,0,0,'Données projet'!$E$11+1,1))</f>
        <v>252.45744983674379</v>
      </c>
      <c r="BJ54" s="62">
        <f t="shared" si="38"/>
        <v>283.28099819802776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21.908372047940812</v>
      </c>
      <c r="BQ54" s="23">
        <f>EXP(-LN(2)/25)*BQ53+(1-EXP(-LN(2)/25))/(LN(2)/25)*Calculateur!BL54*Calculateur!BN54*VLOOKUP('Données projet'!$B$11,Paramètres!$A$1:$I$89,3,0)*0.475*44/12</f>
        <v>4.053258764250729</v>
      </c>
      <c r="BR54" s="23">
        <f>EXP(-LN(2)/2)*BR53+(1-EXP(-LN(2)/2))/(LN(2)/2)*BL54*BO54*VLOOKUP('Données projet'!$B$11,Paramètres!$A$1:$I$89,3,0)*0.475*44/12</f>
        <v>2.8610851185050725</v>
      </c>
      <c r="BS54" s="24">
        <f t="shared" si="9"/>
        <v>28.822715930696614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8.1999999999999993</v>
      </c>
      <c r="BY54" s="13">
        <f>IF('Données projet'!$A$114&gt;35,BY53+BX54-CG53,IF(A54&lt;'Données projet'!$A$114,$BV$205^A54,IF(A54='Données projet'!$A$114,'Données projet'!$B$114,BY53+BX54-CG53)))</f>
        <v>231.2</v>
      </c>
      <c r="BZ54" s="14">
        <f>BY54*VLOOKUP('Données projet'!$B$12,Paramètres!$A$1:$I$89,3,0)*VLOOKUP('Données projet'!$B$12,Paramètres!$A$1:$I$89,5,0)</f>
        <v>180.33599999999998</v>
      </c>
      <c r="CA54" s="14">
        <f t="shared" si="39"/>
        <v>45.396931860513298</v>
      </c>
      <c r="CB54" s="22">
        <f t="shared" si="10"/>
        <v>393.15152299039391</v>
      </c>
      <c r="CC54" s="62">
        <f t="shared" si="11"/>
        <v>648.93540339364074</v>
      </c>
      <c r="CD54" s="62">
        <f ca="1">AVERAGE(OFFSET($CC$3,0,0,'Données projet'!$E$12+1,1))-AVERAGE(OFFSET($H$3,0,0,'Données projet'!$E$12+1,1))</f>
        <v>252.45744983674379</v>
      </c>
      <c r="CE54" s="62">
        <f t="shared" si="40"/>
        <v>283.28099819802776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21.908372047940812</v>
      </c>
      <c r="CL54" s="23">
        <f>EXP(-LN(2)/25)*CL53+(1-EXP(-LN(2)/25))/(LN(2)/25)*Calculateur!CG54*Calculateur!CI54*VLOOKUP('Données projet'!$B$12,Paramètres!$A$1:$I$89,3,0)*0.475*44/12</f>
        <v>4.053258764250729</v>
      </c>
      <c r="CM54" s="23">
        <f>EXP(-LN(2)/2)*CM53+(1-EXP(-LN(2)/2))/(LN(2)/2)*CG54*CJ54*VLOOKUP('Données projet'!$B$12,Paramètres!$A$1:$I$89,3,0)*0.475*44/12</f>
        <v>2.8610851185050725</v>
      </c>
      <c r="CN54" s="24">
        <f t="shared" si="12"/>
        <v>28.822715930696614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205.33600000000001</v>
      </c>
      <c r="O55" s="14">
        <f>N55*VLOOKUP('Données projet'!$B$9,Paramètres!$A$1:$I$89,3,0)*VLOOKUP('Données projet'!$B$9,Paramètres!$A$1:$I$89,5,0)</f>
        <v>96.097248000000008</v>
      </c>
      <c r="P55" s="14">
        <f t="shared" si="33"/>
        <v>26.030077484110379</v>
      </c>
      <c r="Q55" s="22">
        <f t="shared" si="53"/>
        <v>212.70509188482558</v>
      </c>
      <c r="R55" s="62">
        <f t="shared" si="0"/>
        <v>469.14037134840896</v>
      </c>
      <c r="S55" s="62">
        <f ca="1">AVERAGE(OFFSET($R$3,0,0,'Données projet'!$E$9+1,1))-AVERAGE(OFFSET($H$3,0,0,'Données projet'!$E$9+1,1))</f>
        <v>180.76388336802839</v>
      </c>
      <c r="T55" s="62">
        <f t="shared" si="34"/>
        <v>225.35030757566537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13.376560109028981</v>
      </c>
      <c r="AA55" s="23">
        <f>EXP(-LN(2)/25)*AA54+(1-EXP(-LN(2)/25))/(LN(2)/25)*Calculateur!V55*Calculateur!X55*VLOOKUP('Données projet'!$B$9,Paramètres!$A$1:$I$89,3,0)*0.475*44/12</f>
        <v>7.849284246475758</v>
      </c>
      <c r="AB55" s="23">
        <f>EXP(-LN(2)/2)*AB54+(1-EXP(-LN(2)/2))/(LN(2)/2)*V55*Y55*VLOOKUP('Données projet'!$B$9,Paramètres!$A$1:$I$89,3,0)*0.475*44/12</f>
        <v>3.8696031171459686</v>
      </c>
      <c r="AC55" s="24">
        <f t="shared" si="3"/>
        <v>25.095447472650708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8.1999999999999993</v>
      </c>
      <c r="AI55" s="14">
        <f>IF('Données projet'!$A$62&gt;35,AI54+AH55-AQ54,IF(A55&lt;'Données projet'!$A$62,$AF$205^A55,IF(A55='Données projet'!$A$62,'Données projet'!$B$62,AI54+AH55-AQ54)))</f>
        <v>239.39999999999998</v>
      </c>
      <c r="AJ55" s="14">
        <f>AI55*VLOOKUP('Données projet'!$B$10,Paramètres!$A$1:$I$89,3,0)*VLOOKUP('Données projet'!$B$10,Paramètres!$A$1:$I$89,5,0)</f>
        <v>186.732</v>
      </c>
      <c r="AK55" s="14">
        <f t="shared" si="35"/>
        <v>46.81671651923142</v>
      </c>
      <c r="AL55" s="22">
        <f t="shared" si="4"/>
        <v>406.764014604328</v>
      </c>
      <c r="AM55" s="62">
        <f t="shared" si="5"/>
        <v>663.1992940679113</v>
      </c>
      <c r="AN55" s="62">
        <f ca="1">AVERAGE(OFFSET($AM$3,0,0,'Données projet'!$E$10+1,1))-AVERAGE(OFFSET($H$3,0,0,'Données projet'!$E$10+1,1))</f>
        <v>252.45744983674379</v>
      </c>
      <c r="AO55" s="62">
        <f t="shared" si="36"/>
        <v>283.28099819802776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21.478762234868178</v>
      </c>
      <c r="AV55" s="23">
        <f>EXP(-LN(2)/25)*AV54+(1-EXP(-LN(2)/25))/(LN(2)/25)*Calculateur!AQ55*Calculateur!AS55*VLOOKUP('Données projet'!$B$10,Paramètres!$A$1:$I$89,3,0)*0.475*44/12</f>
        <v>3.9424221901906784</v>
      </c>
      <c r="AW55" s="23">
        <f>EXP(-LN(2)/2)*AW54+(1-EXP(-LN(2)/2))/(LN(2)/2)*AQ55*AT55*VLOOKUP('Données projet'!$B$10,Paramètres!$A$1:$I$89,3,0)*0.475*44/12</f>
        <v>2.0230926888468539</v>
      </c>
      <c r="AX55" s="23">
        <f t="shared" si="6"/>
        <v>27.444277113905713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8.1999999999999993</v>
      </c>
      <c r="BD55" s="13">
        <f>IF('Données projet'!$A$88&gt;35,BD54+BC55-BL54,IF(A55&lt;'Données projet'!$A$88,$BA$205^A55,IF(A55='Données projet'!$A$88,'Données projet'!$B$88,BD54+BC55-BL54)))</f>
        <v>239.39999999999998</v>
      </c>
      <c r="BE55" s="14">
        <f>BD55*VLOOKUP('Données projet'!$B$11,Paramètres!$A$1:$I$89,3,0)*VLOOKUP('Données projet'!$B$11,Paramètres!$A$1:$I$89,5,0)</f>
        <v>186.732</v>
      </c>
      <c r="BF55" s="14">
        <f t="shared" si="37"/>
        <v>46.81671651923142</v>
      </c>
      <c r="BG55" s="22">
        <f t="shared" si="7"/>
        <v>406.764014604328</v>
      </c>
      <c r="BH55" s="62">
        <f t="shared" si="8"/>
        <v>663.1992940679113</v>
      </c>
      <c r="BI55" s="62">
        <f ca="1">AVERAGE(OFFSET($BH$3,0,0,'Données projet'!$E$11+1,1))-AVERAGE(OFFSET($H$3,0,0,'Données projet'!$E$11+1,1))</f>
        <v>252.45744983674379</v>
      </c>
      <c r="BJ55" s="62">
        <f t="shared" si="38"/>
        <v>283.28099819802776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21.478762234868178</v>
      </c>
      <c r="BQ55" s="23">
        <f>EXP(-LN(2)/25)*BQ54+(1-EXP(-LN(2)/25))/(LN(2)/25)*Calculateur!BL55*Calculateur!BN55*VLOOKUP('Données projet'!$B$11,Paramètres!$A$1:$I$89,3,0)*0.475*44/12</f>
        <v>3.9424221901906784</v>
      </c>
      <c r="BR55" s="23">
        <f>EXP(-LN(2)/2)*BR54+(1-EXP(-LN(2)/2))/(LN(2)/2)*BL55*BO55*VLOOKUP('Données projet'!$B$11,Paramètres!$A$1:$I$89,3,0)*0.475*44/12</f>
        <v>2.0230926888468539</v>
      </c>
      <c r="BS55" s="24">
        <f t="shared" si="9"/>
        <v>27.444277113905713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8.1999999999999993</v>
      </c>
      <c r="BY55" s="13">
        <f>IF('Données projet'!$A$114&gt;35,BY54+BX55-CG54,IF(A55&lt;'Données projet'!$A$114,$BV$205^A55,IF(A55='Données projet'!$A$114,'Données projet'!$B$114,BY54+BX55-CG54)))</f>
        <v>239.39999999999998</v>
      </c>
      <c r="BZ55" s="14">
        <f>BY55*VLOOKUP('Données projet'!$B$12,Paramètres!$A$1:$I$89,3,0)*VLOOKUP('Données projet'!$B$12,Paramètres!$A$1:$I$89,5,0)</f>
        <v>186.732</v>
      </c>
      <c r="CA55" s="14">
        <f t="shared" si="39"/>
        <v>46.81671651923142</v>
      </c>
      <c r="CB55" s="22">
        <f t="shared" si="10"/>
        <v>406.764014604328</v>
      </c>
      <c r="CC55" s="62">
        <f t="shared" si="11"/>
        <v>663.1992940679113</v>
      </c>
      <c r="CD55" s="62">
        <f ca="1">AVERAGE(OFFSET($CC$3,0,0,'Données projet'!$E$12+1,1))-AVERAGE(OFFSET($H$3,0,0,'Données projet'!$E$12+1,1))</f>
        <v>252.45744983674379</v>
      </c>
      <c r="CE55" s="62">
        <f t="shared" si="40"/>
        <v>283.28099819802776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21.478762234868178</v>
      </c>
      <c r="CL55" s="23">
        <f>EXP(-LN(2)/25)*CL54+(1-EXP(-LN(2)/25))/(LN(2)/25)*Calculateur!CG55*Calculateur!CI55*VLOOKUP('Données projet'!$B$12,Paramètres!$A$1:$I$89,3,0)*0.475*44/12</f>
        <v>3.9424221901906784</v>
      </c>
      <c r="CM55" s="23">
        <f>EXP(-LN(2)/2)*CM54+(1-EXP(-LN(2)/2))/(LN(2)/2)*CG55*CJ55*VLOOKUP('Données projet'!$B$12,Paramètres!$A$1:$I$89,3,0)*0.475*44/12</f>
        <v>2.0230926888468539</v>
      </c>
      <c r="CN55" s="24">
        <f t="shared" si="12"/>
        <v>27.444277113905713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213.33600000000001</v>
      </c>
      <c r="O56" s="14">
        <f>N56*VLOOKUP('Données projet'!$B$9,Paramètres!$A$1:$I$89,3,0)*VLOOKUP('Données projet'!$B$9,Paramètres!$A$1:$I$89,5,0)</f>
        <v>99.841248000000007</v>
      </c>
      <c r="P56" s="14">
        <f t="shared" si="33"/>
        <v>26.924173577049181</v>
      </c>
      <c r="Q56" s="22">
        <f t="shared" si="53"/>
        <v>220.78310924669401</v>
      </c>
      <c r="R56" s="62">
        <f t="shared" si="0"/>
        <v>477.85848745322721</v>
      </c>
      <c r="S56" s="62">
        <f ca="1">AVERAGE(OFFSET($R$3,0,0,'Données projet'!$E$9+1,1))-AVERAGE(OFFSET($H$3,0,0,'Données projet'!$E$9+1,1))</f>
        <v>180.76388336802839</v>
      </c>
      <c r="T56" s="62">
        <f t="shared" si="34"/>
        <v>225.35030757566537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13.114253924186965</v>
      </c>
      <c r="AA56" s="23">
        <f>EXP(-LN(2)/25)*AA55+(1-EXP(-LN(2)/25))/(LN(2)/25)*Calculateur!V56*Calculateur!X56*VLOOKUP('Données projet'!$B$9,Paramètres!$A$1:$I$89,3,0)*0.475*44/12</f>
        <v>7.6346451559799595</v>
      </c>
      <c r="AB56" s="23">
        <f>EXP(-LN(2)/2)*AB55+(1-EXP(-LN(2)/2))/(LN(2)/2)*V56*Y56*VLOOKUP('Données projet'!$B$9,Paramètres!$A$1:$I$89,3,0)*0.475*44/12</f>
        <v>2.7362226046345168</v>
      </c>
      <c r="AC56" s="24">
        <f t="shared" si="3"/>
        <v>23.485121684801442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8.1999999999999993</v>
      </c>
      <c r="AI56" s="14">
        <f>IF('Données projet'!$A$62&gt;35,AI55+AH56-AQ55,IF(A56&lt;'Données projet'!$A$62,$AF$205^A56,IF(A56='Données projet'!$A$62,'Données projet'!$B$62,AI55+AH56-AQ55)))</f>
        <v>247.59999999999997</v>
      </c>
      <c r="AJ56" s="14">
        <f>AI56*VLOOKUP('Données projet'!$B$10,Paramètres!$A$1:$I$89,3,0)*VLOOKUP('Données projet'!$B$10,Paramètres!$A$1:$I$89,5,0)</f>
        <v>193.12799999999999</v>
      </c>
      <c r="AK56" s="14">
        <f t="shared" si="35"/>
        <v>48.230850644982517</v>
      </c>
      <c r="AL56" s="22">
        <f t="shared" si="4"/>
        <v>420.36666487334452</v>
      </c>
      <c r="AM56" s="62">
        <f t="shared" si="5"/>
        <v>677.44204307987775</v>
      </c>
      <c r="AN56" s="62">
        <f ca="1">AVERAGE(OFFSET($AM$3,0,0,'Données projet'!$E$10+1,1))-AVERAGE(OFFSET($H$3,0,0,'Données projet'!$E$10+1,1))</f>
        <v>252.45744983674379</v>
      </c>
      <c r="AO56" s="62">
        <f t="shared" si="36"/>
        <v>283.28099819802776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21.057576808193783</v>
      </c>
      <c r="AV56" s="23">
        <f>EXP(-LN(2)/25)*AV55+(1-EXP(-LN(2)/25))/(LN(2)/25)*Calculateur!AQ56*Calculateur!AS56*VLOOKUP('Données projet'!$B$10,Paramètres!$A$1:$I$89,3,0)*0.475*44/12</f>
        <v>3.8346164480769418</v>
      </c>
      <c r="AW56" s="23">
        <f>EXP(-LN(2)/2)*AW55+(1-EXP(-LN(2)/2))/(LN(2)/2)*AQ56*AT56*VLOOKUP('Données projet'!$B$10,Paramètres!$A$1:$I$89,3,0)*0.475*44/12</f>
        <v>1.4305425592525365</v>
      </c>
      <c r="AX56" s="23">
        <f t="shared" si="6"/>
        <v>26.322735815523263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8.1999999999999993</v>
      </c>
      <c r="BD56" s="13">
        <f>IF('Données projet'!$A$88&gt;35,BD55+BC56-BL55,IF(A56&lt;'Données projet'!$A$88,$BA$205^A56,IF(A56='Données projet'!$A$88,'Données projet'!$B$88,BD55+BC56-BL55)))</f>
        <v>247.59999999999997</v>
      </c>
      <c r="BE56" s="14">
        <f>BD56*VLOOKUP('Données projet'!$B$11,Paramètres!$A$1:$I$89,3,0)*VLOOKUP('Données projet'!$B$11,Paramètres!$A$1:$I$89,5,0)</f>
        <v>193.12799999999999</v>
      </c>
      <c r="BF56" s="14">
        <f t="shared" si="37"/>
        <v>48.230850644982517</v>
      </c>
      <c r="BG56" s="22">
        <f t="shared" si="7"/>
        <v>420.36666487334452</v>
      </c>
      <c r="BH56" s="62">
        <f t="shared" si="8"/>
        <v>677.44204307987775</v>
      </c>
      <c r="BI56" s="62">
        <f ca="1">AVERAGE(OFFSET($BH$3,0,0,'Données projet'!$E$11+1,1))-AVERAGE(OFFSET($H$3,0,0,'Données projet'!$E$11+1,1))</f>
        <v>252.45744983674379</v>
      </c>
      <c r="BJ56" s="62">
        <f t="shared" si="38"/>
        <v>283.28099819802776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21.057576808193783</v>
      </c>
      <c r="BQ56" s="23">
        <f>EXP(-LN(2)/25)*BQ55+(1-EXP(-LN(2)/25))/(LN(2)/25)*Calculateur!BL56*Calculateur!BN56*VLOOKUP('Données projet'!$B$11,Paramètres!$A$1:$I$89,3,0)*0.475*44/12</f>
        <v>3.8346164480769418</v>
      </c>
      <c r="BR56" s="23">
        <f>EXP(-LN(2)/2)*BR55+(1-EXP(-LN(2)/2))/(LN(2)/2)*BL56*BO56*VLOOKUP('Données projet'!$B$11,Paramètres!$A$1:$I$89,3,0)*0.475*44/12</f>
        <v>1.4305425592525365</v>
      </c>
      <c r="BS56" s="24">
        <f t="shared" si="9"/>
        <v>26.322735815523263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8.1999999999999993</v>
      </c>
      <c r="BY56" s="13">
        <f>IF('Données projet'!$A$114&gt;35,BY55+BX56-CG55,IF(A56&lt;'Données projet'!$A$114,$BV$205^A56,IF(A56='Données projet'!$A$114,'Données projet'!$B$114,BY55+BX56-CG55)))</f>
        <v>247.59999999999997</v>
      </c>
      <c r="BZ56" s="14">
        <f>BY56*VLOOKUP('Données projet'!$B$12,Paramètres!$A$1:$I$89,3,0)*VLOOKUP('Données projet'!$B$12,Paramètres!$A$1:$I$89,5,0)</f>
        <v>193.12799999999999</v>
      </c>
      <c r="CA56" s="14">
        <f t="shared" si="39"/>
        <v>48.230850644982517</v>
      </c>
      <c r="CB56" s="22">
        <f t="shared" si="10"/>
        <v>420.36666487334452</v>
      </c>
      <c r="CC56" s="62">
        <f t="shared" si="11"/>
        <v>677.44204307987775</v>
      </c>
      <c r="CD56" s="62">
        <f ca="1">AVERAGE(OFFSET($CC$3,0,0,'Données projet'!$E$12+1,1))-AVERAGE(OFFSET($H$3,0,0,'Données projet'!$E$12+1,1))</f>
        <v>252.45744983674379</v>
      </c>
      <c r="CE56" s="62">
        <f t="shared" si="40"/>
        <v>283.28099819802776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21.057576808193783</v>
      </c>
      <c r="CL56" s="23">
        <f>EXP(-LN(2)/25)*CL55+(1-EXP(-LN(2)/25))/(LN(2)/25)*Calculateur!CG56*Calculateur!CI56*VLOOKUP('Données projet'!$B$12,Paramètres!$A$1:$I$89,3,0)*0.475*44/12</f>
        <v>3.8346164480769418</v>
      </c>
      <c r="CM56" s="23">
        <f>EXP(-LN(2)/2)*CM55+(1-EXP(-LN(2)/2))/(LN(2)/2)*CG56*CJ56*VLOOKUP('Données projet'!$B$12,Paramètres!$A$1:$I$89,3,0)*0.475*44/12</f>
        <v>1.4305425592525365</v>
      </c>
      <c r="CN56" s="24">
        <f t="shared" si="12"/>
        <v>26.322735815523263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221.33600000000001</v>
      </c>
      <c r="O57" s="14">
        <f>N57*VLOOKUP('Données projet'!$B$9,Paramètres!$A$1:$I$89,3,0)*VLOOKUP('Données projet'!$B$9,Paramètres!$A$1:$I$89,5,0)</f>
        <v>103.58524800000001</v>
      </c>
      <c r="P57" s="14">
        <f t="shared" si="33"/>
        <v>27.814374530187273</v>
      </c>
      <c r="Q57" s="22">
        <f t="shared" si="53"/>
        <v>228.85434257340953</v>
      </c>
      <c r="R57" s="62">
        <f t="shared" si="0"/>
        <v>486.55871524074882</v>
      </c>
      <c r="S57" s="62">
        <f ca="1">AVERAGE(OFFSET($R$3,0,0,'Données projet'!$E$9+1,1))-AVERAGE(OFFSET($H$3,0,0,'Données projet'!$E$9+1,1))</f>
        <v>180.76388336802839</v>
      </c>
      <c r="T57" s="62">
        <f t="shared" si="34"/>
        <v>225.35030757566537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12.857091403638726</v>
      </c>
      <c r="AA57" s="23">
        <f>EXP(-LN(2)/25)*AA56+(1-EXP(-LN(2)/25))/(LN(2)/25)*Calculateur!V57*Calculateur!X57*VLOOKUP('Données projet'!$B$9,Paramètres!$A$1:$I$89,3,0)*0.475*44/12</f>
        <v>7.4258753827011477</v>
      </c>
      <c r="AB57" s="23">
        <f>EXP(-LN(2)/2)*AB56+(1-EXP(-LN(2)/2))/(LN(2)/2)*V57*Y57*VLOOKUP('Données projet'!$B$9,Paramètres!$A$1:$I$89,3,0)*0.475*44/12</f>
        <v>1.9348015585729845</v>
      </c>
      <c r="AC57" s="24">
        <f t="shared" si="3"/>
        <v>22.217768344912859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8.1999999999999993</v>
      </c>
      <c r="AI57" s="14">
        <f>IF('Données projet'!$A$62&gt;35,AI56+AH57-AQ56,IF(A57&lt;'Données projet'!$A$62,$AF$205^A57,IF(A57='Données projet'!$A$62,'Données projet'!$B$62,AI56+AH57-AQ56)))</f>
        <v>255.79999999999995</v>
      </c>
      <c r="AJ57" s="14">
        <f>AI57*VLOOKUP('Données projet'!$B$10,Paramètres!$A$1:$I$89,3,0)*VLOOKUP('Données projet'!$B$10,Paramètres!$A$1:$I$89,5,0)</f>
        <v>199.52399999999997</v>
      </c>
      <c r="AK57" s="14">
        <f t="shared" si="35"/>
        <v>49.639542829407041</v>
      </c>
      <c r="AL57" s="22">
        <f t="shared" si="4"/>
        <v>433.95983709455049</v>
      </c>
      <c r="AM57" s="62">
        <f t="shared" si="5"/>
        <v>691.66420976188988</v>
      </c>
      <c r="AN57" s="62">
        <f ca="1">AVERAGE(OFFSET($AM$3,0,0,'Données projet'!$E$10+1,1))-AVERAGE(OFFSET($H$3,0,0,'Données projet'!$E$10+1,1))</f>
        <v>252.45744983674379</v>
      </c>
      <c r="AO57" s="62">
        <f t="shared" si="36"/>
        <v>283.28099819802776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20.644650570838731</v>
      </c>
      <c r="AV57" s="23">
        <f>EXP(-LN(2)/25)*AV56+(1-EXP(-LN(2)/25))/(LN(2)/25)*Calculateur!AQ57*Calculateur!AS57*VLOOKUP('Données projet'!$B$10,Paramètres!$A$1:$I$89,3,0)*0.475*44/12</f>
        <v>3.729758659650563</v>
      </c>
      <c r="AW57" s="23">
        <f>EXP(-LN(2)/2)*AW56+(1-EXP(-LN(2)/2))/(LN(2)/2)*AQ57*AT57*VLOOKUP('Données projet'!$B$10,Paramètres!$A$1:$I$89,3,0)*0.475*44/12</f>
        <v>1.0115463444234272</v>
      </c>
      <c r="AX57" s="23">
        <f t="shared" si="6"/>
        <v>25.385955574912721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8.1999999999999993</v>
      </c>
      <c r="BD57" s="13">
        <f>IF('Données projet'!$A$88&gt;35,BD56+BC57-BL56,IF(A57&lt;'Données projet'!$A$88,$BA$205^A57,IF(A57='Données projet'!$A$88,'Données projet'!$B$88,BD56+BC57-BL56)))</f>
        <v>255.79999999999995</v>
      </c>
      <c r="BE57" s="14">
        <f>BD57*VLOOKUP('Données projet'!$B$11,Paramètres!$A$1:$I$89,3,0)*VLOOKUP('Données projet'!$B$11,Paramètres!$A$1:$I$89,5,0)</f>
        <v>199.52399999999997</v>
      </c>
      <c r="BF57" s="14">
        <f t="shared" si="37"/>
        <v>49.639542829407041</v>
      </c>
      <c r="BG57" s="22">
        <f t="shared" si="7"/>
        <v>433.95983709455049</v>
      </c>
      <c r="BH57" s="62">
        <f t="shared" si="8"/>
        <v>691.66420976188988</v>
      </c>
      <c r="BI57" s="62">
        <f ca="1">AVERAGE(OFFSET($BH$3,0,0,'Données projet'!$E$11+1,1))-AVERAGE(OFFSET($H$3,0,0,'Données projet'!$E$11+1,1))</f>
        <v>252.45744983674379</v>
      </c>
      <c r="BJ57" s="62">
        <f t="shared" si="38"/>
        <v>283.28099819802776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20.644650570838731</v>
      </c>
      <c r="BQ57" s="23">
        <f>EXP(-LN(2)/25)*BQ56+(1-EXP(-LN(2)/25))/(LN(2)/25)*Calculateur!BL57*Calculateur!BN57*VLOOKUP('Données projet'!$B$11,Paramètres!$A$1:$I$89,3,0)*0.475*44/12</f>
        <v>3.729758659650563</v>
      </c>
      <c r="BR57" s="23">
        <f>EXP(-LN(2)/2)*BR56+(1-EXP(-LN(2)/2))/(LN(2)/2)*BL57*BO57*VLOOKUP('Données projet'!$B$11,Paramètres!$A$1:$I$89,3,0)*0.475*44/12</f>
        <v>1.0115463444234272</v>
      </c>
      <c r="BS57" s="24">
        <f t="shared" si="9"/>
        <v>25.385955574912721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8.1999999999999993</v>
      </c>
      <c r="BY57" s="13">
        <f>IF('Données projet'!$A$114&gt;35,BY56+BX57-CG56,IF(A57&lt;'Données projet'!$A$114,$BV$205^A57,IF(A57='Données projet'!$A$114,'Données projet'!$B$114,BY56+BX57-CG56)))</f>
        <v>255.79999999999995</v>
      </c>
      <c r="BZ57" s="14">
        <f>BY57*VLOOKUP('Données projet'!$B$12,Paramètres!$A$1:$I$89,3,0)*VLOOKUP('Données projet'!$B$12,Paramètres!$A$1:$I$89,5,0)</f>
        <v>199.52399999999997</v>
      </c>
      <c r="CA57" s="14">
        <f t="shared" si="39"/>
        <v>49.639542829407041</v>
      </c>
      <c r="CB57" s="22">
        <f t="shared" si="10"/>
        <v>433.95983709455049</v>
      </c>
      <c r="CC57" s="62">
        <f t="shared" si="11"/>
        <v>691.66420976188988</v>
      </c>
      <c r="CD57" s="62">
        <f ca="1">AVERAGE(OFFSET($CC$3,0,0,'Données projet'!$E$12+1,1))-AVERAGE(OFFSET($H$3,0,0,'Données projet'!$E$12+1,1))</f>
        <v>252.45744983674379</v>
      </c>
      <c r="CE57" s="62">
        <f t="shared" si="40"/>
        <v>283.28099819802776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20.644650570838731</v>
      </c>
      <c r="CL57" s="23">
        <f>EXP(-LN(2)/25)*CL56+(1-EXP(-LN(2)/25))/(LN(2)/25)*Calculateur!CG57*Calculateur!CI57*VLOOKUP('Données projet'!$B$12,Paramètres!$A$1:$I$89,3,0)*0.475*44/12</f>
        <v>3.729758659650563</v>
      </c>
      <c r="CM57" s="23">
        <f>EXP(-LN(2)/2)*CM56+(1-EXP(-LN(2)/2))/(LN(2)/2)*CG57*CJ57*VLOOKUP('Données projet'!$B$12,Paramètres!$A$1:$I$89,3,0)*0.475*44/12</f>
        <v>1.0115463444234272</v>
      </c>
      <c r="CN57" s="24">
        <f t="shared" si="12"/>
        <v>25.385955574912721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229.33600000000001</v>
      </c>
      <c r="O58" s="14">
        <f>N58*VLOOKUP('Données projet'!$B$9,Paramètres!$A$1:$I$89,3,0)*VLOOKUP('Données projet'!$B$9,Paramètres!$A$1:$I$89,5,0)</f>
        <v>107.32924800000002</v>
      </c>
      <c r="P58" s="14">
        <f t="shared" si="33"/>
        <v>28.700837256885702</v>
      </c>
      <c r="Q58" s="22">
        <f t="shared" si="53"/>
        <v>236.9190651557426</v>
      </c>
      <c r="R58" s="62">
        <f t="shared" si="0"/>
        <v>495.24152063621398</v>
      </c>
      <c r="S58" s="62">
        <f ca="1">AVERAGE(OFFSET($R$3,0,0,'Données projet'!$E$9+1,1))-AVERAGE(OFFSET($H$3,0,0,'Données projet'!$E$9+1,1))</f>
        <v>180.76388336802839</v>
      </c>
      <c r="T58" s="62">
        <f t="shared" si="34"/>
        <v>225.35030757566537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12.60497168326479</v>
      </c>
      <c r="AA58" s="23">
        <f>EXP(-LN(2)/25)*AA57+(1-EXP(-LN(2)/25))/(LN(2)/25)*Calculateur!V58*Calculateur!X58*VLOOKUP('Données projet'!$B$9,Paramètres!$A$1:$I$89,3,0)*0.475*44/12</f>
        <v>7.2228144298513701</v>
      </c>
      <c r="AB58" s="23">
        <f>EXP(-LN(2)/2)*AB57+(1-EXP(-LN(2)/2))/(LN(2)/2)*V58*Y58*VLOOKUP('Données projet'!$B$9,Paramètres!$A$1:$I$89,3,0)*0.475*44/12</f>
        <v>1.3681113023172586</v>
      </c>
      <c r="AC58" s="24">
        <f t="shared" si="3"/>
        <v>21.195897415433421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264</v>
      </c>
      <c r="AG58" s="13">
        <f>VLOOKUP(A58,'Données projet'!$A$61:$I$81,9,0)</f>
        <v>8.1999999999999993</v>
      </c>
      <c r="AH58" s="13">
        <f t="array" ref="AH58">INDEX(AG:AG,MIN(IF(ISNUMBER(AG58:AG254),ROW(AG58:AG254),"")))</f>
        <v>8.1999999999999993</v>
      </c>
      <c r="AI58" s="14">
        <f>IF('Données projet'!$A$62&gt;35,AI57+AH58-AQ57,IF(A58&lt;'Données projet'!$A$62,$AF$205^A58,IF(A58='Données projet'!$A$62,'Données projet'!$B$62,AI57+AH58-AQ57)))</f>
        <v>263.99999999999994</v>
      </c>
      <c r="AJ58" s="14">
        <f>AI58*VLOOKUP('Données projet'!$B$10,Paramètres!$A$1:$I$89,3,0)*VLOOKUP('Données projet'!$B$10,Paramètres!$A$1:$I$89,5,0)</f>
        <v>205.91999999999996</v>
      </c>
      <c r="AK58" s="14">
        <f t="shared" si="35"/>
        <v>51.042987531485686</v>
      </c>
      <c r="AL58" s="22">
        <f t="shared" si="4"/>
        <v>447.5438699506708</v>
      </c>
      <c r="AM58" s="62">
        <f t="shared" si="5"/>
        <v>705.86632543114217</v>
      </c>
      <c r="AN58" s="62">
        <f ca="1">AVERAGE(OFFSET($AM$3,0,0,'Données projet'!$E$10+1,1))-AVERAGE(OFFSET($H$3,0,0,'Données projet'!$E$10+1,1))</f>
        <v>252.45744983674379</v>
      </c>
      <c r="AO58" s="62">
        <f t="shared" si="36"/>
        <v>283.28099819802776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30</v>
      </c>
      <c r="AR58" s="17">
        <f>IF(ISNA(VLOOKUP(A58,'Données projet'!$A$61:$I$81,5,0)),0%,VLOOKUP(A58,'Données projet'!$A$61:$I$81,5,0)*VLOOKUP('Données projet'!$B$10,Paramètres!$A$1:$I$89,7,0))</f>
        <v>0.215</v>
      </c>
      <c r="AS58" s="17">
        <f>IF(ISNA(VLOOKUP(A58,'Données projet'!$A$61:$I$81,6,0)),0%,VLOOKUP(A58,'Données projet'!$A$61:$I$81,6,0)*VLOOKUP('Données projet'!$B$10,Paramètres!$A$1:$I$89,7,0))</f>
        <v>4.3000000000000003E-2</v>
      </c>
      <c r="AT58" s="17">
        <f>IF(ISNA(VLOOKUP(A58,'Données projet'!$A$61:$I$81,7,0)),0%,VLOOKUP(A58,'Données projet'!$A$61:$I$81,7,0))</f>
        <v>0.15</v>
      </c>
      <c r="AU58" s="23">
        <f>EXP(-LN(2)/35)*AU57+(1-EXP(-LN(2)/35))/(LN(2)/35)*AQ58*AR58*VLOOKUP('Données projet'!$B$10,Paramètres!$A$1:$I$89,3,0)*0.475*44/12</f>
        <v>25.801443044568348</v>
      </c>
      <c r="AV58" s="23">
        <f>EXP(-LN(2)/25)*AV57+(1-EXP(-LN(2)/25))/(LN(2)/25)*Calculateur!AQ58*Calculateur!AS58*VLOOKUP('Données projet'!$B$10,Paramètres!$A$1:$I$89,3,0)*0.475*44/12</f>
        <v>4.7357128642673016</v>
      </c>
      <c r="AW58" s="23">
        <f>EXP(-LN(2)/2)*AW57+(1-EXP(-LN(2)/2))/(LN(2)/2)*AQ58*AT58*VLOOKUP('Données projet'!$B$10,Paramètres!$A$1:$I$89,3,0)*0.475*44/12</f>
        <v>4.0270507498911812</v>
      </c>
      <c r="AX58" s="23">
        <f t="shared" si="6"/>
        <v>34.564206658726832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264</v>
      </c>
      <c r="BB58" s="13">
        <f>VLOOKUP(A58,'Données projet'!$A$87:$I$107,9,0)</f>
        <v>8.1999999999999993</v>
      </c>
      <c r="BC58" s="13">
        <f t="array" ref="BC58">INDEX(BB:BB,MIN(IF(ISNUMBER(BB58:BB254),ROW(BB58:BB254),"")))</f>
        <v>8.1999999999999993</v>
      </c>
      <c r="BD58" s="13">
        <f>IF('Données projet'!$A$88&gt;35,BD57+BC58-BL57,IF(A58&lt;'Données projet'!$A$88,$BA$205^A58,IF(A58='Données projet'!$A$88,'Données projet'!$B$88,BD57+BC58-BL57)))</f>
        <v>263.99999999999994</v>
      </c>
      <c r="BE58" s="14">
        <f>BD58*VLOOKUP('Données projet'!$B$11,Paramètres!$A$1:$I$89,3,0)*VLOOKUP('Données projet'!$B$11,Paramètres!$A$1:$I$89,5,0)</f>
        <v>205.91999999999996</v>
      </c>
      <c r="BF58" s="14">
        <f t="shared" si="37"/>
        <v>51.042987531485686</v>
      </c>
      <c r="BG58" s="22">
        <f t="shared" si="7"/>
        <v>447.5438699506708</v>
      </c>
      <c r="BH58" s="62">
        <f t="shared" si="8"/>
        <v>705.86632543114217</v>
      </c>
      <c r="BI58" s="62">
        <f ca="1">AVERAGE(OFFSET($BH$3,0,0,'Données projet'!$E$11+1,1))-AVERAGE(OFFSET($H$3,0,0,'Données projet'!$E$11+1,1))</f>
        <v>252.45744983674379</v>
      </c>
      <c r="BJ58" s="62">
        <f t="shared" si="38"/>
        <v>283.28099819802776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30</v>
      </c>
      <c r="BM58" s="17">
        <f>IF(ISNA(VLOOKUP(A58,'Données projet'!$A$87:$I$107,5,0)),0%,VLOOKUP(A58,'Données projet'!$A$87:$I$107,5,0)*VLOOKUP('Données projet'!$B$11,Paramètres!$A$1:$I$89,7,0))</f>
        <v>0.215</v>
      </c>
      <c r="BN58" s="17">
        <f>IF(ISNA(VLOOKUP(A58,'Données projet'!$A$87:$I$107,6,0)),0%,VLOOKUP(A58,'Données projet'!$A$87:$I$107,6,0)*VLOOKUP('Données projet'!$B$11,Paramètres!$A$1:$I$89,7,0))</f>
        <v>4.3000000000000003E-2</v>
      </c>
      <c r="BO58" s="17">
        <f>IF(ISNA(VLOOKUP(A58,'Données projet'!$A$87:$I$107,7,0)),0%,VLOOKUP(A58,'Données projet'!$A$87:$I$107,7,0))</f>
        <v>0.15</v>
      </c>
      <c r="BP58" s="23">
        <f>EXP(-LN(2)/35)*BP57+(1-EXP(-LN(2)/35))/(LN(2)/35)*BL58*BM58*VLOOKUP('Données projet'!$B$11,Paramètres!$A$1:$I$89,3,0)*0.475*44/12</f>
        <v>25.801443044568348</v>
      </c>
      <c r="BQ58" s="23">
        <f>EXP(-LN(2)/25)*BQ57+(1-EXP(-LN(2)/25))/(LN(2)/25)*Calculateur!BL58*Calculateur!BN58*VLOOKUP('Données projet'!$B$11,Paramètres!$A$1:$I$89,3,0)*0.475*44/12</f>
        <v>4.7357128642673016</v>
      </c>
      <c r="BR58" s="23">
        <f>EXP(-LN(2)/2)*BR57+(1-EXP(-LN(2)/2))/(LN(2)/2)*BL58*BO58*VLOOKUP('Données projet'!$B$11,Paramètres!$A$1:$I$89,3,0)*0.475*44/12</f>
        <v>4.0270507498911812</v>
      </c>
      <c r="BS58" s="24">
        <f t="shared" si="9"/>
        <v>34.564206658726832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264</v>
      </c>
      <c r="BW58" s="13">
        <f>VLOOKUP(A58,'Données projet'!$A$113:$I$133,9,0)</f>
        <v>8.1999999999999993</v>
      </c>
      <c r="BX58" s="13">
        <f t="array" ref="BX58">INDEX(BW:BW,MIN(IF(ISNUMBER(BW58:BW254),ROW(BW58:BW254),"")))</f>
        <v>8.1999999999999993</v>
      </c>
      <c r="BY58" s="13">
        <f>IF('Données projet'!$A$114&gt;35,BY57+BX58-CG57,IF(A58&lt;'Données projet'!$A$114,$BV$205^A58,IF(A58='Données projet'!$A$114,'Données projet'!$B$114,BY57+BX58-CG57)))</f>
        <v>263.99999999999994</v>
      </c>
      <c r="BZ58" s="14">
        <f>BY58*VLOOKUP('Données projet'!$B$12,Paramètres!$A$1:$I$89,3,0)*VLOOKUP('Données projet'!$B$12,Paramètres!$A$1:$I$89,5,0)</f>
        <v>205.91999999999996</v>
      </c>
      <c r="CA58" s="14">
        <f t="shared" si="39"/>
        <v>51.042987531485686</v>
      </c>
      <c r="CB58" s="22">
        <f t="shared" si="10"/>
        <v>447.5438699506708</v>
      </c>
      <c r="CC58" s="62">
        <f t="shared" si="11"/>
        <v>705.86632543114217</v>
      </c>
      <c r="CD58" s="62">
        <f ca="1">AVERAGE(OFFSET($CC$3,0,0,'Données projet'!$E$12+1,1))-AVERAGE(OFFSET($H$3,0,0,'Données projet'!$E$12+1,1))</f>
        <v>252.45744983674379</v>
      </c>
      <c r="CE58" s="62">
        <f t="shared" si="40"/>
        <v>283.28099819802776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30</v>
      </c>
      <c r="CH58" s="17">
        <f>IF(ISNA(VLOOKUP(A58,'Données projet'!$A$113:$I$133,5,0)),0%,VLOOKUP(A58,'Données projet'!$A$113:$I$133,5,0)*VLOOKUP('Données projet'!$B$12,Paramètres!$A$1:$I$89,7,0))</f>
        <v>0.215</v>
      </c>
      <c r="CI58" s="17">
        <f>IF(ISNA(VLOOKUP(A58,'Données projet'!$A$113:$I$133,6,0)),0%,VLOOKUP(A58,'Données projet'!$A$113:$I$133,6,0)*VLOOKUP('Données projet'!$B$12,Paramètres!$A$1:$I$89,7,0))</f>
        <v>4.3000000000000003E-2</v>
      </c>
      <c r="CJ58" s="17">
        <f>IF(ISNA(VLOOKUP(A58,'Données projet'!$A$113:$I$133,7,0)),0%,VLOOKUP(A58,'Données projet'!$A$113:$I$133,7,0))</f>
        <v>0.15</v>
      </c>
      <c r="CK58" s="23">
        <f>EXP(-LN(2)/35)*CK57+(1-EXP(-LN(2)/35))/(LN(2)/35)*CG58*CH58*VLOOKUP('Données projet'!$B$12,Paramètres!$A$1:$I$89,3,0)*0.475*44/12</f>
        <v>25.801443044568348</v>
      </c>
      <c r="CL58" s="23">
        <f>EXP(-LN(2)/25)*CL57+(1-EXP(-LN(2)/25))/(LN(2)/25)*Calculateur!CG58*Calculateur!CI58*VLOOKUP('Données projet'!$B$12,Paramètres!$A$1:$I$89,3,0)*0.475*44/12</f>
        <v>4.7357128642673016</v>
      </c>
      <c r="CM58" s="23">
        <f>EXP(-LN(2)/2)*CM57+(1-EXP(-LN(2)/2))/(LN(2)/2)*CG58*CJ58*VLOOKUP('Données projet'!$B$12,Paramètres!$A$1:$I$89,3,0)*0.475*44/12</f>
        <v>4.0270507498911812</v>
      </c>
      <c r="CN58" s="24">
        <f t="shared" si="12"/>
        <v>34.564206658726832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237.33600000000001</v>
      </c>
      <c r="O59" s="14">
        <f>N59*VLOOKUP('Données projet'!$B$9,Paramètres!$A$1:$I$89,3,0)*VLOOKUP('Données projet'!$B$9,Paramètres!$A$1:$I$89,5,0)</f>
        <v>111.07324800000001</v>
      </c>
      <c r="P59" s="14">
        <f t="shared" si="33"/>
        <v>29.583707102396563</v>
      </c>
      <c r="Q59" s="22">
        <f t="shared" si="53"/>
        <v>244.97753013667406</v>
      </c>
      <c r="R59" s="62">
        <f t="shared" si="0"/>
        <v>503.90734607529578</v>
      </c>
      <c r="S59" s="62">
        <f ca="1">AVERAGE(OFFSET($R$3,0,0,'Données projet'!$E$9+1,1))-AVERAGE(OFFSET($H$3,0,0,'Données projet'!$E$9+1,1))</f>
        <v>180.76388336802839</v>
      </c>
      <c r="T59" s="62">
        <f t="shared" si="34"/>
        <v>225.35030757566537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12.35779587682954</v>
      </c>
      <c r="AA59" s="23">
        <f>EXP(-LN(2)/25)*AA58+(1-EXP(-LN(2)/25))/(LN(2)/25)*Calculateur!V59*Calculateur!X59*VLOOKUP('Données projet'!$B$9,Paramètres!$A$1:$I$89,3,0)*0.475*44/12</f>
        <v>7.0253061894357813</v>
      </c>
      <c r="AB59" s="23">
        <f>EXP(-LN(2)/2)*AB58+(1-EXP(-LN(2)/2))/(LN(2)/2)*V59*Y59*VLOOKUP('Données projet'!$B$9,Paramètres!$A$1:$I$89,3,0)*0.475*44/12</f>
        <v>0.96740077928649248</v>
      </c>
      <c r="AC59" s="24">
        <f t="shared" si="3"/>
        <v>20.350502845551816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241.39999999999992</v>
      </c>
      <c r="AJ59" s="14">
        <f>AI59*VLOOKUP('Données projet'!$B$10,Paramètres!$A$1:$I$89,3,0)*VLOOKUP('Données projet'!$B$10,Paramètres!$A$1:$I$89,5,0)</f>
        <v>188.29199999999994</v>
      </c>
      <c r="AK59" s="14">
        <f t="shared" si="35"/>
        <v>47.162140074549235</v>
      </c>
      <c r="AL59" s="22">
        <f t="shared" si="4"/>
        <v>410.08262729650642</v>
      </c>
      <c r="AM59" s="62">
        <f t="shared" si="5"/>
        <v>669.0124432351281</v>
      </c>
      <c r="AN59" s="62">
        <f ca="1">AVERAGE(OFFSET($AM$3,0,0,'Données projet'!$E$10+1,1))-AVERAGE(OFFSET($H$3,0,0,'Données projet'!$E$10+1,1))</f>
        <v>252.45744983674379</v>
      </c>
      <c r="AO59" s="62">
        <f t="shared" si="36"/>
        <v>283.28099819802776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25.295492483790689</v>
      </c>
      <c r="AV59" s="23">
        <f>EXP(-LN(2)/25)*AV58+(1-EXP(-LN(2)/25))/(LN(2)/25)*Calculateur!AQ59*Calculateur!AS59*VLOOKUP('Données projet'!$B$10,Paramètres!$A$1:$I$89,3,0)*0.475*44/12</f>
        <v>4.6062145469535967</v>
      </c>
      <c r="AW59" s="23">
        <f>EXP(-LN(2)/2)*AW58+(1-EXP(-LN(2)/2))/(LN(2)/2)*AQ59*AT59*VLOOKUP('Données projet'!$B$10,Paramètres!$A$1:$I$89,3,0)*0.475*44/12</f>
        <v>2.8475548934304258</v>
      </c>
      <c r="AX59" s="23">
        <f t="shared" si="6"/>
        <v>32.749261924174711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241.39999999999992</v>
      </c>
      <c r="BE59" s="14">
        <f>BD59*VLOOKUP('Données projet'!$B$11,Paramètres!$A$1:$I$89,3,0)*VLOOKUP('Données projet'!$B$11,Paramètres!$A$1:$I$89,5,0)</f>
        <v>188.29199999999994</v>
      </c>
      <c r="BF59" s="14">
        <f t="shared" si="37"/>
        <v>47.162140074549235</v>
      </c>
      <c r="BG59" s="22">
        <f t="shared" si="7"/>
        <v>410.08262729650642</v>
      </c>
      <c r="BH59" s="62">
        <f t="shared" si="8"/>
        <v>669.0124432351281</v>
      </c>
      <c r="BI59" s="62">
        <f ca="1">AVERAGE(OFFSET($BH$3,0,0,'Données projet'!$E$11+1,1))-AVERAGE(OFFSET($H$3,0,0,'Données projet'!$E$11+1,1))</f>
        <v>252.45744983674379</v>
      </c>
      <c r="BJ59" s="62">
        <f t="shared" si="38"/>
        <v>283.28099819802776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25.295492483790689</v>
      </c>
      <c r="BQ59" s="23">
        <f>EXP(-LN(2)/25)*BQ58+(1-EXP(-LN(2)/25))/(LN(2)/25)*Calculateur!BL59*Calculateur!BN59*VLOOKUP('Données projet'!$B$11,Paramètres!$A$1:$I$89,3,0)*0.475*44/12</f>
        <v>4.6062145469535967</v>
      </c>
      <c r="BR59" s="23">
        <f>EXP(-LN(2)/2)*BR58+(1-EXP(-LN(2)/2))/(LN(2)/2)*BL59*BO59*VLOOKUP('Données projet'!$B$11,Paramètres!$A$1:$I$89,3,0)*0.475*44/12</f>
        <v>2.8475548934304258</v>
      </c>
      <c r="BS59" s="24">
        <f t="shared" si="9"/>
        <v>32.749261924174711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241.39999999999992</v>
      </c>
      <c r="BZ59" s="14">
        <f>BY59*VLOOKUP('Données projet'!$B$12,Paramètres!$A$1:$I$89,3,0)*VLOOKUP('Données projet'!$B$12,Paramètres!$A$1:$I$89,5,0)</f>
        <v>188.29199999999994</v>
      </c>
      <c r="CA59" s="14">
        <f t="shared" si="39"/>
        <v>47.162140074549235</v>
      </c>
      <c r="CB59" s="22">
        <f t="shared" si="10"/>
        <v>410.08262729650642</v>
      </c>
      <c r="CC59" s="62">
        <f t="shared" si="11"/>
        <v>669.0124432351281</v>
      </c>
      <c r="CD59" s="62">
        <f ca="1">AVERAGE(OFFSET($CC$3,0,0,'Données projet'!$E$12+1,1))-AVERAGE(OFFSET($H$3,0,0,'Données projet'!$E$12+1,1))</f>
        <v>252.45744983674379</v>
      </c>
      <c r="CE59" s="62">
        <f t="shared" si="40"/>
        <v>283.28099819802776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25.295492483790689</v>
      </c>
      <c r="CL59" s="23">
        <f>EXP(-LN(2)/25)*CL58+(1-EXP(-LN(2)/25))/(LN(2)/25)*Calculateur!CG59*Calculateur!CI59*VLOOKUP('Données projet'!$B$12,Paramètres!$A$1:$I$89,3,0)*0.475*44/12</f>
        <v>4.6062145469535967</v>
      </c>
      <c r="CM59" s="23">
        <f>EXP(-LN(2)/2)*CM58+(1-EXP(-LN(2)/2))/(LN(2)/2)*CG59*CJ59*VLOOKUP('Données projet'!$B$12,Paramètres!$A$1:$I$89,3,0)*0.475*44/12</f>
        <v>2.8475548934304258</v>
      </c>
      <c r="CN59" s="24">
        <f t="shared" si="12"/>
        <v>32.749261924174711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245.33600000000001</v>
      </c>
      <c r="O60" s="14">
        <f>N60*VLOOKUP('Données projet'!$B$9,Paramètres!$A$1:$I$89,3,0)*VLOOKUP('Données projet'!$B$9,Paramètres!$A$1:$I$89,5,0)</f>
        <v>114.81724800000001</v>
      </c>
      <c r="P60" s="14">
        <f t="shared" si="33"/>
        <v>30.463119057606047</v>
      </c>
      <c r="Q60" s="22">
        <f t="shared" si="53"/>
        <v>253.02997262533052</v>
      </c>
      <c r="R60" s="62">
        <f t="shared" si="0"/>
        <v>512.55661267600817</v>
      </c>
      <c r="S60" s="62">
        <f ca="1">AVERAGE(OFFSET($R$3,0,0,'Données projet'!$E$9+1,1))-AVERAGE(OFFSET($H$3,0,0,'Données projet'!$E$9+1,1))</f>
        <v>180.76388336802839</v>
      </c>
      <c r="T60" s="62">
        <f t="shared" si="34"/>
        <v>225.35030757566537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12.115467037196129</v>
      </c>
      <c r="AA60" s="23">
        <f>EXP(-LN(2)/25)*AA59+(1-EXP(-LN(2)/25))/(LN(2)/25)*Calculateur!V60*Calculateur!X60*VLOOKUP('Données projet'!$B$9,Paramètres!$A$1:$I$89,3,0)*0.475*44/12</f>
        <v>6.8331988222408642</v>
      </c>
      <c r="AB60" s="23">
        <f>EXP(-LN(2)/2)*AB59+(1-EXP(-LN(2)/2))/(LN(2)/2)*V60*Y60*VLOOKUP('Données projet'!$B$9,Paramètres!$A$1:$I$89,3,0)*0.475*44/12</f>
        <v>0.68405565115862943</v>
      </c>
      <c r="AC60" s="24">
        <f t="shared" si="3"/>
        <v>19.632721510595623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248.79999999999993</v>
      </c>
      <c r="AJ60" s="14">
        <f>AI60*VLOOKUP('Données projet'!$B$10,Paramètres!$A$1:$I$89,3,0)*VLOOKUP('Données projet'!$B$10,Paramètres!$A$1:$I$89,5,0)</f>
        <v>194.06399999999994</v>
      </c>
      <c r="AK60" s="14">
        <f t="shared" si="35"/>
        <v>48.437335849011056</v>
      </c>
      <c r="AL60" s="22">
        <f t="shared" si="4"/>
        <v>422.35649327036077</v>
      </c>
      <c r="AM60" s="62">
        <f t="shared" si="5"/>
        <v>681.88313332103849</v>
      </c>
      <c r="AN60" s="62">
        <f ca="1">AVERAGE(OFFSET($AM$3,0,0,'Données projet'!$E$10+1,1))-AVERAGE(OFFSET($H$3,0,0,'Données projet'!$E$10+1,1))</f>
        <v>252.45744983674379</v>
      </c>
      <c r="AO60" s="62">
        <f t="shared" si="36"/>
        <v>283.28099819802776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24.799463304910507</v>
      </c>
      <c r="AV60" s="23">
        <f>EXP(-LN(2)/25)*AV59+(1-EXP(-LN(2)/25))/(LN(2)/25)*Calculateur!AQ60*Calculateur!AS60*VLOOKUP('Données projet'!$B$10,Paramètres!$A$1:$I$89,3,0)*0.475*44/12</f>
        <v>4.4802573679368551</v>
      </c>
      <c r="AW60" s="23">
        <f>EXP(-LN(2)/2)*AW59+(1-EXP(-LN(2)/2))/(LN(2)/2)*AQ60*AT60*VLOOKUP('Données projet'!$B$10,Paramètres!$A$1:$I$89,3,0)*0.475*44/12</f>
        <v>2.013525374945591</v>
      </c>
      <c r="AX60" s="23">
        <f t="shared" si="6"/>
        <v>31.293246047792952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248.79999999999993</v>
      </c>
      <c r="BE60" s="14">
        <f>BD60*VLOOKUP('Données projet'!$B$11,Paramètres!$A$1:$I$89,3,0)*VLOOKUP('Données projet'!$B$11,Paramètres!$A$1:$I$89,5,0)</f>
        <v>194.06399999999994</v>
      </c>
      <c r="BF60" s="14">
        <f t="shared" si="37"/>
        <v>48.437335849011056</v>
      </c>
      <c r="BG60" s="22">
        <f t="shared" si="7"/>
        <v>422.35649327036077</v>
      </c>
      <c r="BH60" s="62">
        <f t="shared" si="8"/>
        <v>681.88313332103849</v>
      </c>
      <c r="BI60" s="62">
        <f ca="1">AVERAGE(OFFSET($BH$3,0,0,'Données projet'!$E$11+1,1))-AVERAGE(OFFSET($H$3,0,0,'Données projet'!$E$11+1,1))</f>
        <v>252.45744983674379</v>
      </c>
      <c r="BJ60" s="62">
        <f t="shared" si="38"/>
        <v>283.28099819802776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24.799463304910507</v>
      </c>
      <c r="BQ60" s="23">
        <f>EXP(-LN(2)/25)*BQ59+(1-EXP(-LN(2)/25))/(LN(2)/25)*Calculateur!BL60*Calculateur!BN60*VLOOKUP('Données projet'!$B$11,Paramètres!$A$1:$I$89,3,0)*0.475*44/12</f>
        <v>4.4802573679368551</v>
      </c>
      <c r="BR60" s="23">
        <f>EXP(-LN(2)/2)*BR59+(1-EXP(-LN(2)/2))/(LN(2)/2)*BL60*BO60*VLOOKUP('Données projet'!$B$11,Paramètres!$A$1:$I$89,3,0)*0.475*44/12</f>
        <v>2.013525374945591</v>
      </c>
      <c r="BS60" s="24">
        <f t="shared" si="9"/>
        <v>31.293246047792952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248.79999999999993</v>
      </c>
      <c r="BZ60" s="14">
        <f>BY60*VLOOKUP('Données projet'!$B$12,Paramètres!$A$1:$I$89,3,0)*VLOOKUP('Données projet'!$B$12,Paramètres!$A$1:$I$89,5,0)</f>
        <v>194.06399999999994</v>
      </c>
      <c r="CA60" s="14">
        <f t="shared" si="39"/>
        <v>48.437335849011056</v>
      </c>
      <c r="CB60" s="22">
        <f t="shared" si="10"/>
        <v>422.35649327036077</v>
      </c>
      <c r="CC60" s="62">
        <f t="shared" si="11"/>
        <v>681.88313332103849</v>
      </c>
      <c r="CD60" s="62">
        <f ca="1">AVERAGE(OFFSET($CC$3,0,0,'Données projet'!$E$12+1,1))-AVERAGE(OFFSET($H$3,0,0,'Données projet'!$E$12+1,1))</f>
        <v>252.45744983674379</v>
      </c>
      <c r="CE60" s="62">
        <f t="shared" si="40"/>
        <v>283.28099819802776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24.799463304910507</v>
      </c>
      <c r="CL60" s="23">
        <f>EXP(-LN(2)/25)*CL59+(1-EXP(-LN(2)/25))/(LN(2)/25)*Calculateur!CG60*Calculateur!CI60*VLOOKUP('Données projet'!$B$12,Paramètres!$A$1:$I$89,3,0)*0.475*44/12</f>
        <v>4.4802573679368551</v>
      </c>
      <c r="CM60" s="23">
        <f>EXP(-LN(2)/2)*CM59+(1-EXP(-LN(2)/2))/(LN(2)/2)*CG60*CJ60*VLOOKUP('Données projet'!$B$12,Paramètres!$A$1:$I$89,3,0)*0.475*44/12</f>
        <v>2.013525374945591</v>
      </c>
      <c r="CN60" s="24">
        <f t="shared" si="12"/>
        <v>31.293246047792952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253.33600000000001</v>
      </c>
      <c r="O61" s="14">
        <f>N61*VLOOKUP('Données projet'!$B$9,Paramètres!$A$1:$I$89,3,0)*VLOOKUP('Données projet'!$B$9,Paramètres!$A$1:$I$89,5,0)</f>
        <v>118.56124799999999</v>
      </c>
      <c r="P61" s="14">
        <f t="shared" si="33"/>
        <v>31.339198810017795</v>
      </c>
      <c r="Q61" s="22">
        <f t="shared" si="53"/>
        <v>261.07661152744765</v>
      </c>
      <c r="R61" s="62">
        <f t="shared" si="0"/>
        <v>521.18972212613608</v>
      </c>
      <c r="S61" s="62">
        <f ca="1">AVERAGE(OFFSET($R$3,0,0,'Données projet'!$E$9+1,1))-AVERAGE(OFFSET($H$3,0,0,'Données projet'!$E$9+1,1))</f>
        <v>180.76388336802839</v>
      </c>
      <c r="T61" s="62">
        <f t="shared" si="34"/>
        <v>225.35030757566537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11.877890118301933</v>
      </c>
      <c r="AA61" s="23">
        <f>EXP(-LN(2)/25)*AA60+(1-EXP(-LN(2)/25))/(LN(2)/25)*Calculateur!V61*Calculateur!X61*VLOOKUP('Données projet'!$B$9,Paramètres!$A$1:$I$89,3,0)*0.475*44/12</f>
        <v>6.6463446411043794</v>
      </c>
      <c r="AB61" s="23">
        <f>EXP(-LN(2)/2)*AB60+(1-EXP(-LN(2)/2))/(LN(2)/2)*V61*Y61*VLOOKUP('Données projet'!$B$9,Paramètres!$A$1:$I$89,3,0)*0.475*44/12</f>
        <v>0.4837003896432463</v>
      </c>
      <c r="AC61" s="24">
        <f t="shared" si="3"/>
        <v>19.007935149049558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256.19999999999993</v>
      </c>
      <c r="AJ61" s="14">
        <f>AI61*VLOOKUP('Données projet'!$B$10,Paramètres!$A$1:$I$89,3,0)*VLOOKUP('Données projet'!$B$10,Paramètres!$A$1:$I$89,5,0)</f>
        <v>199.83599999999996</v>
      </c>
      <c r="AK61" s="14">
        <f t="shared" si="35"/>
        <v>49.708123768564604</v>
      </c>
      <c r="AL61" s="22">
        <f t="shared" si="4"/>
        <v>434.62268223024995</v>
      </c>
      <c r="AM61" s="62">
        <f t="shared" si="5"/>
        <v>694.73579282893843</v>
      </c>
      <c r="AN61" s="62">
        <f ca="1">AVERAGE(OFFSET($AM$3,0,0,'Données projet'!$E$10+1,1))-AVERAGE(OFFSET($H$3,0,0,'Données projet'!$E$10+1,1))</f>
        <v>252.45744983674379</v>
      </c>
      <c r="AO61" s="62">
        <f t="shared" si="36"/>
        <v>283.28099819802776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24.313160955680242</v>
      </c>
      <c r="AV61" s="23">
        <f>EXP(-LN(2)/25)*AV60+(1-EXP(-LN(2)/25))/(LN(2)/25)*Calculateur!AQ61*Calculateur!AS61*VLOOKUP('Données projet'!$B$10,Paramètres!$A$1:$I$89,3,0)*0.475*44/12</f>
        <v>4.3577444946041268</v>
      </c>
      <c r="AW61" s="23">
        <f>EXP(-LN(2)/2)*AW60+(1-EXP(-LN(2)/2))/(LN(2)/2)*AQ61*AT61*VLOOKUP('Données projet'!$B$10,Paramètres!$A$1:$I$89,3,0)*0.475*44/12</f>
        <v>1.4237774467152131</v>
      </c>
      <c r="AX61" s="23">
        <f t="shared" si="6"/>
        <v>30.094682896999583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256.19999999999993</v>
      </c>
      <c r="BE61" s="14">
        <f>BD61*VLOOKUP('Données projet'!$B$11,Paramètres!$A$1:$I$89,3,0)*VLOOKUP('Données projet'!$B$11,Paramètres!$A$1:$I$89,5,0)</f>
        <v>199.83599999999996</v>
      </c>
      <c r="BF61" s="14">
        <f t="shared" si="37"/>
        <v>49.708123768564604</v>
      </c>
      <c r="BG61" s="22">
        <f t="shared" si="7"/>
        <v>434.62268223024995</v>
      </c>
      <c r="BH61" s="62">
        <f t="shared" si="8"/>
        <v>694.73579282893843</v>
      </c>
      <c r="BI61" s="62">
        <f ca="1">AVERAGE(OFFSET($BH$3,0,0,'Données projet'!$E$11+1,1))-AVERAGE(OFFSET($H$3,0,0,'Données projet'!$E$11+1,1))</f>
        <v>252.45744983674379</v>
      </c>
      <c r="BJ61" s="62">
        <f t="shared" si="38"/>
        <v>283.28099819802776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24.313160955680242</v>
      </c>
      <c r="BQ61" s="23">
        <f>EXP(-LN(2)/25)*BQ60+(1-EXP(-LN(2)/25))/(LN(2)/25)*Calculateur!BL61*Calculateur!BN61*VLOOKUP('Données projet'!$B$11,Paramètres!$A$1:$I$89,3,0)*0.475*44/12</f>
        <v>4.3577444946041268</v>
      </c>
      <c r="BR61" s="23">
        <f>EXP(-LN(2)/2)*BR60+(1-EXP(-LN(2)/2))/(LN(2)/2)*BL61*BO61*VLOOKUP('Données projet'!$B$11,Paramètres!$A$1:$I$89,3,0)*0.475*44/12</f>
        <v>1.4237774467152131</v>
      </c>
      <c r="BS61" s="24">
        <f t="shared" si="9"/>
        <v>30.094682896999583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256.19999999999993</v>
      </c>
      <c r="BZ61" s="14">
        <f>BY61*VLOOKUP('Données projet'!$B$12,Paramètres!$A$1:$I$89,3,0)*VLOOKUP('Données projet'!$B$12,Paramètres!$A$1:$I$89,5,0)</f>
        <v>199.83599999999996</v>
      </c>
      <c r="CA61" s="14">
        <f t="shared" si="39"/>
        <v>49.708123768564604</v>
      </c>
      <c r="CB61" s="22">
        <f t="shared" si="10"/>
        <v>434.62268223024995</v>
      </c>
      <c r="CC61" s="62">
        <f t="shared" si="11"/>
        <v>694.73579282893843</v>
      </c>
      <c r="CD61" s="62">
        <f ca="1">AVERAGE(OFFSET($CC$3,0,0,'Données projet'!$E$12+1,1))-AVERAGE(OFFSET($H$3,0,0,'Données projet'!$E$12+1,1))</f>
        <v>252.45744983674379</v>
      </c>
      <c r="CE61" s="62">
        <f t="shared" si="40"/>
        <v>283.28099819802776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24.313160955680242</v>
      </c>
      <c r="CL61" s="23">
        <f>EXP(-LN(2)/25)*CL60+(1-EXP(-LN(2)/25))/(LN(2)/25)*Calculateur!CG61*Calculateur!CI61*VLOOKUP('Données projet'!$B$12,Paramètres!$A$1:$I$89,3,0)*0.475*44/12</f>
        <v>4.3577444946041268</v>
      </c>
      <c r="CM61" s="23">
        <f>EXP(-LN(2)/2)*CM60+(1-EXP(-LN(2)/2))/(LN(2)/2)*CG61*CJ61*VLOOKUP('Données projet'!$B$12,Paramètres!$A$1:$I$89,3,0)*0.475*44/12</f>
        <v>1.4237774467152131</v>
      </c>
      <c r="CN61" s="24">
        <f t="shared" si="12"/>
        <v>30.094682896999583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261.33600000000001</v>
      </c>
      <c r="O62" s="14">
        <f>N62*VLOOKUP('Données projet'!$B$9,Paramètres!$A$1:$I$89,3,0)*VLOOKUP('Données projet'!$B$9,Paramètres!$A$1:$I$89,5,0)</f>
        <v>122.30524800000001</v>
      </c>
      <c r="P62" s="14">
        <f t="shared" si="33"/>
        <v>32.212063658252433</v>
      </c>
      <c r="Q62" s="22">
        <f t="shared" si="53"/>
        <v>269.11765113812294</v>
      </c>
      <c r="R62" s="62">
        <f t="shared" si="0"/>
        <v>529.80705833196566</v>
      </c>
      <c r="S62" s="62">
        <f ca="1">AVERAGE(OFFSET($R$3,0,0,'Données projet'!$E$9+1,1))-AVERAGE(OFFSET($H$3,0,0,'Données projet'!$E$9+1,1))</f>
        <v>180.76388336802839</v>
      </c>
      <c r="T62" s="62">
        <f t="shared" si="34"/>
        <v>225.35030757566537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11.644971937879639</v>
      </c>
      <c r="AA62" s="23">
        <f>EXP(-LN(2)/25)*AA61+(1-EXP(-LN(2)/25))/(LN(2)/25)*Calculateur!V62*Calculateur!X62*VLOOKUP('Données projet'!$B$9,Paramètres!$A$1:$I$89,3,0)*0.475*44/12</f>
        <v>6.4645999973773058</v>
      </c>
      <c r="AB62" s="23">
        <f>EXP(-LN(2)/2)*AB61+(1-EXP(-LN(2)/2))/(LN(2)/2)*V62*Y62*VLOOKUP('Données projet'!$B$9,Paramètres!$A$1:$I$89,3,0)*0.475*44/12</f>
        <v>0.34202782557931477</v>
      </c>
      <c r="AC62" s="24">
        <f t="shared" si="3"/>
        <v>18.45159976083626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263.59999999999991</v>
      </c>
      <c r="AJ62" s="14">
        <f>AI62*VLOOKUP('Données projet'!$B$10,Paramètres!$A$1:$I$89,3,0)*VLOOKUP('Données projet'!$B$10,Paramètres!$A$1:$I$89,5,0)</f>
        <v>205.60799999999995</v>
      </c>
      <c r="AK62" s="14">
        <f t="shared" si="35"/>
        <v>50.97464576911181</v>
      </c>
      <c r="AL62" s="22">
        <f t="shared" si="4"/>
        <v>446.88144138120293</v>
      </c>
      <c r="AM62" s="62">
        <f t="shared" si="5"/>
        <v>707.57084857504572</v>
      </c>
      <c r="AN62" s="62">
        <f ca="1">AVERAGE(OFFSET($AM$3,0,0,'Données projet'!$E$10+1,1))-AVERAGE(OFFSET($H$3,0,0,'Données projet'!$E$10+1,1))</f>
        <v>252.45744983674379</v>
      </c>
      <c r="AO62" s="62">
        <f t="shared" si="36"/>
        <v>283.28099819802776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23.836394698903238</v>
      </c>
      <c r="AV62" s="23">
        <f>EXP(-LN(2)/25)*AV61+(1-EXP(-LN(2)/25))/(LN(2)/25)*Calculateur!AQ62*Calculateur!AS62*VLOOKUP('Données projet'!$B$10,Paramètres!$A$1:$I$89,3,0)*0.475*44/12</f>
        <v>4.238581742235354</v>
      </c>
      <c r="AW62" s="23">
        <f>EXP(-LN(2)/2)*AW61+(1-EXP(-LN(2)/2))/(LN(2)/2)*AQ62*AT62*VLOOKUP('Données projet'!$B$10,Paramètres!$A$1:$I$89,3,0)*0.475*44/12</f>
        <v>1.0067626874727955</v>
      </c>
      <c r="AX62" s="23">
        <f t="shared" si="6"/>
        <v>29.081739128611389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263.59999999999991</v>
      </c>
      <c r="BE62" s="14">
        <f>BD62*VLOOKUP('Données projet'!$B$11,Paramètres!$A$1:$I$89,3,0)*VLOOKUP('Données projet'!$B$11,Paramètres!$A$1:$I$89,5,0)</f>
        <v>205.60799999999995</v>
      </c>
      <c r="BF62" s="14">
        <f t="shared" si="37"/>
        <v>50.97464576911181</v>
      </c>
      <c r="BG62" s="22">
        <f t="shared" si="7"/>
        <v>446.88144138120293</v>
      </c>
      <c r="BH62" s="62">
        <f t="shared" si="8"/>
        <v>707.57084857504572</v>
      </c>
      <c r="BI62" s="62">
        <f ca="1">AVERAGE(OFFSET($BH$3,0,0,'Données projet'!$E$11+1,1))-AVERAGE(OFFSET($H$3,0,0,'Données projet'!$E$11+1,1))</f>
        <v>252.45744983674379</v>
      </c>
      <c r="BJ62" s="62">
        <f t="shared" si="38"/>
        <v>283.28099819802776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23.836394698903238</v>
      </c>
      <c r="BQ62" s="23">
        <f>EXP(-LN(2)/25)*BQ61+(1-EXP(-LN(2)/25))/(LN(2)/25)*Calculateur!BL62*Calculateur!BN62*VLOOKUP('Données projet'!$B$11,Paramètres!$A$1:$I$89,3,0)*0.475*44/12</f>
        <v>4.238581742235354</v>
      </c>
      <c r="BR62" s="23">
        <f>EXP(-LN(2)/2)*BR61+(1-EXP(-LN(2)/2))/(LN(2)/2)*BL62*BO62*VLOOKUP('Données projet'!$B$11,Paramètres!$A$1:$I$89,3,0)*0.475*44/12</f>
        <v>1.0067626874727955</v>
      </c>
      <c r="BS62" s="24">
        <f t="shared" si="9"/>
        <v>29.081739128611389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263.59999999999991</v>
      </c>
      <c r="BZ62" s="14">
        <f>BY62*VLOOKUP('Données projet'!$B$12,Paramètres!$A$1:$I$89,3,0)*VLOOKUP('Données projet'!$B$12,Paramètres!$A$1:$I$89,5,0)</f>
        <v>205.60799999999995</v>
      </c>
      <c r="CA62" s="14">
        <f t="shared" si="39"/>
        <v>50.97464576911181</v>
      </c>
      <c r="CB62" s="22">
        <f t="shared" si="10"/>
        <v>446.88144138120293</v>
      </c>
      <c r="CC62" s="62">
        <f t="shared" si="11"/>
        <v>707.57084857504572</v>
      </c>
      <c r="CD62" s="62">
        <f ca="1">AVERAGE(OFFSET($CC$3,0,0,'Données projet'!$E$12+1,1))-AVERAGE(OFFSET($H$3,0,0,'Données projet'!$E$12+1,1))</f>
        <v>252.45744983674379</v>
      </c>
      <c r="CE62" s="62">
        <f t="shared" si="40"/>
        <v>283.28099819802776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23.836394698903238</v>
      </c>
      <c r="CL62" s="23">
        <f>EXP(-LN(2)/25)*CL61+(1-EXP(-LN(2)/25))/(LN(2)/25)*Calculateur!CG62*Calculateur!CI62*VLOOKUP('Données projet'!$B$12,Paramètres!$A$1:$I$89,3,0)*0.475*44/12</f>
        <v>4.238581742235354</v>
      </c>
      <c r="CM62" s="23">
        <f>EXP(-LN(2)/2)*CM61+(1-EXP(-LN(2)/2))/(LN(2)/2)*CG62*CJ62*VLOOKUP('Données projet'!$B$12,Paramètres!$A$1:$I$89,3,0)*0.475*44/12</f>
        <v>1.0067626874727955</v>
      </c>
      <c r="CN62" s="24">
        <f t="shared" si="12"/>
        <v>29.081739128611389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269.33600000000001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269.33600000000001</v>
      </c>
      <c r="O63" s="14">
        <f>N63*VLOOKUP('Données projet'!$B$9,Paramètres!$A$1:$I$89,3,0)*VLOOKUP('Données projet'!$B$9,Paramètres!$A$1:$I$89,5,0)</f>
        <v>126.04924800000001</v>
      </c>
      <c r="P63" s="14">
        <f t="shared" si="33"/>
        <v>33.081823311422887</v>
      </c>
      <c r="Q63" s="22">
        <f t="shared" si="53"/>
        <v>277.15328253406153</v>
      </c>
      <c r="R63" s="62">
        <f t="shared" si="0"/>
        <v>538.40898886553896</v>
      </c>
      <c r="S63" s="62">
        <f ca="1">AVERAGE(OFFSET($R$3,0,0,'Données projet'!$E$9+1,1))-AVERAGE(OFFSET($H$3,0,0,'Données projet'!$E$9+1,1))</f>
        <v>180.76388336802839</v>
      </c>
      <c r="T63" s="62">
        <f t="shared" si="34"/>
        <v>225.35030757566537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53.867200000000004</v>
      </c>
      <c r="W63" s="17">
        <f>IF(ISNA(VLOOKUP(A63,'Données projet'!$A$35:$I$55,5,0)),0%,VLOOKUP(A63,'Données projet'!$A$35:$I$55,5,0)*VLOOKUP('Données projet'!$B$9,Paramètres!$A$1:$I$89,7,0))</f>
        <v>0.27500000000000002</v>
      </c>
      <c r="X63" s="17">
        <f>IF(ISNA(VLOOKUP(A63,'Données projet'!$A$35:$I$55,6,0)),0%,VLOOKUP(A63,'Données projet'!$A$35:$I$55,6,0)*VLOOKUP('Données projet'!$B$9,Paramètres!$A$1:$I$89,7,0))</f>
        <v>0.11000000000000001</v>
      </c>
      <c r="Y63" s="17">
        <f>IF(ISNA(VLOOKUP(A63,'Données projet'!$A$35:$I$55,7,0)),0%,VLOOKUP(A63,'Données projet'!$A$35:$I$55,7,0))</f>
        <v>0.3</v>
      </c>
      <c r="Z63" s="23">
        <f>EXP(-LN(2)/35)*Z62+(1-EXP(-LN(2)/35))/(LN(2)/35)*V63*W63*VLOOKUP('Données projet'!$B$9,Paramètres!$A$1:$I$89,3,0)*0.475*44/12</f>
        <v>20.613306002651964</v>
      </c>
      <c r="AA63" s="23">
        <f>EXP(-LN(2)/25)*AA62+(1-EXP(-LN(2)/25))/(LN(2)/25)*Calculateur!V63*Calculateur!X63*VLOOKUP('Données projet'!$B$9,Paramètres!$A$1:$I$89,3,0)*0.475*44/12</f>
        <v>9.9520147741825884</v>
      </c>
      <c r="AB63" s="23">
        <f>EXP(-LN(2)/2)*AB62+(1-EXP(-LN(2)/2))/(LN(2)/2)*V63*Y63*VLOOKUP('Données projet'!$B$9,Paramètres!$A$1:$I$89,3,0)*0.475*44/12</f>
        <v>8.80487197469302</v>
      </c>
      <c r="AC63" s="24">
        <f t="shared" si="3"/>
        <v>39.370192751527576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271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270.99999999999989</v>
      </c>
      <c r="AJ63" s="14">
        <f>AI63*VLOOKUP('Données projet'!$B$10,Paramètres!$A$1:$I$89,3,0)*VLOOKUP('Données projet'!$B$10,Paramètres!$A$1:$I$89,5,0)</f>
        <v>211.37999999999991</v>
      </c>
      <c r="AK63" s="14">
        <f t="shared" si="35"/>
        <v>52.237035364084207</v>
      </c>
      <c r="AL63" s="22">
        <f t="shared" si="4"/>
        <v>459.1330032591132</v>
      </c>
      <c r="AM63" s="62">
        <f t="shared" si="5"/>
        <v>720.38870959059068</v>
      </c>
      <c r="AN63" s="62">
        <f ca="1">AVERAGE(OFFSET($AM$3,0,0,'Données projet'!$E$10+1,1))-AVERAGE(OFFSET($H$3,0,0,'Données projet'!$E$10+1,1))</f>
        <v>252.45744983674379</v>
      </c>
      <c r="AO63" s="62">
        <f t="shared" si="36"/>
        <v>283.28099819802776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27</v>
      </c>
      <c r="AR63" s="17">
        <f>IF(ISNA(VLOOKUP(A63,'Données projet'!$A$61:$I$81,5,0)),0%,VLOOKUP(A63,'Données projet'!$A$61:$I$81,5,0)*VLOOKUP('Données projet'!$B$10,Paramètres!$A$1:$I$89,7,0))</f>
        <v>0.215</v>
      </c>
      <c r="AS63" s="17">
        <f>IF(ISNA(VLOOKUP(A63,'Données projet'!$A$61:$I$81,6,0)),0%,VLOOKUP(A63,'Données projet'!$A$61:$I$81,6,0)*VLOOKUP('Données projet'!$B$10,Paramètres!$A$1:$I$89,7,0))</f>
        <v>4.3000000000000003E-2</v>
      </c>
      <c r="AT63" s="17">
        <f>IF(ISNA(VLOOKUP(A63,'Données projet'!$A$61:$I$81,7,0)),0%,VLOOKUP(A63,'Données projet'!$A$61:$I$81,7,0))</f>
        <v>0.15</v>
      </c>
      <c r="AU63" s="23">
        <f>EXP(-LN(2)/35)*AU62+(1-EXP(-LN(2)/35))/(LN(2)/35)*AQ63*AR63*VLOOKUP('Données projet'!$B$10,Paramètres!$A$1:$I$89,3,0)*0.475*44/12</f>
        <v>28.374436869110173</v>
      </c>
      <c r="AV63" s="23">
        <f>EXP(-LN(2)/25)*AV62+(1-EXP(-LN(2)/25))/(LN(2)/25)*Calculateur!AQ63*Calculateur!AS63*VLOOKUP('Données projet'!$B$10,Paramètres!$A$1:$I$89,3,0)*0.475*44/12</f>
        <v>5.119827687770532</v>
      </c>
      <c r="AW63" s="23">
        <f>EXP(-LN(2)/2)*AW62+(1-EXP(-LN(2)/2))/(LN(2)/2)*AQ63*AT63*VLOOKUP('Données projet'!$B$10,Paramètres!$A$1:$I$89,3,0)*0.475*44/12</f>
        <v>3.6924902465960283</v>
      </c>
      <c r="AX63" s="23">
        <f t="shared" si="6"/>
        <v>37.186754803476738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271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270.99999999999989</v>
      </c>
      <c r="BE63" s="14">
        <f>BD63*VLOOKUP('Données projet'!$B$11,Paramètres!$A$1:$I$89,3,0)*VLOOKUP('Données projet'!$B$11,Paramètres!$A$1:$I$89,5,0)</f>
        <v>211.37999999999991</v>
      </c>
      <c r="BF63" s="14">
        <f t="shared" si="37"/>
        <v>52.237035364084207</v>
      </c>
      <c r="BG63" s="22">
        <f t="shared" si="7"/>
        <v>459.1330032591132</v>
      </c>
      <c r="BH63" s="62">
        <f t="shared" si="8"/>
        <v>720.38870959059068</v>
      </c>
      <c r="BI63" s="62">
        <f ca="1">AVERAGE(OFFSET($BH$3,0,0,'Données projet'!$E$11+1,1))-AVERAGE(OFFSET($H$3,0,0,'Données projet'!$E$11+1,1))</f>
        <v>252.45744983674379</v>
      </c>
      <c r="BJ63" s="62">
        <f t="shared" si="38"/>
        <v>283.28099819802776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27</v>
      </c>
      <c r="BM63" s="17">
        <f>IF(ISNA(VLOOKUP(A63,'Données projet'!$A$87:$I$107,5,0)),0%,VLOOKUP(A63,'Données projet'!$A$87:$I$107,5,0)*VLOOKUP('Données projet'!$B$11,Paramètres!$A$1:$I$89,7,0))</f>
        <v>0.215</v>
      </c>
      <c r="BN63" s="17">
        <f>IF(ISNA(VLOOKUP(A63,'Données projet'!$A$87:$I$107,6,0)),0%,VLOOKUP(A63,'Données projet'!$A$87:$I$107,6,0)*VLOOKUP('Données projet'!$B$11,Paramètres!$A$1:$I$89,7,0))</f>
        <v>4.3000000000000003E-2</v>
      </c>
      <c r="BO63" s="17">
        <f>IF(ISNA(VLOOKUP(A63,'Données projet'!$A$87:$I$107,7,0)),0%,VLOOKUP(A63,'Données projet'!$A$87:$I$107,7,0))</f>
        <v>0.15</v>
      </c>
      <c r="BP63" s="23">
        <f>EXP(-LN(2)/35)*BP62+(1-EXP(-LN(2)/35))/(LN(2)/35)*BL63*BM63*VLOOKUP('Données projet'!$B$11,Paramètres!$A$1:$I$89,3,0)*0.475*44/12</f>
        <v>28.374436869110173</v>
      </c>
      <c r="BQ63" s="23">
        <f>EXP(-LN(2)/25)*BQ62+(1-EXP(-LN(2)/25))/(LN(2)/25)*Calculateur!BL63*Calculateur!BN63*VLOOKUP('Données projet'!$B$11,Paramètres!$A$1:$I$89,3,0)*0.475*44/12</f>
        <v>5.119827687770532</v>
      </c>
      <c r="BR63" s="23">
        <f>EXP(-LN(2)/2)*BR62+(1-EXP(-LN(2)/2))/(LN(2)/2)*BL63*BO63*VLOOKUP('Données projet'!$B$11,Paramètres!$A$1:$I$89,3,0)*0.475*44/12</f>
        <v>3.6924902465960283</v>
      </c>
      <c r="BS63" s="24">
        <f t="shared" si="9"/>
        <v>37.186754803476738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271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270.99999999999989</v>
      </c>
      <c r="BZ63" s="14">
        <f>BY63*VLOOKUP('Données projet'!$B$12,Paramètres!$A$1:$I$89,3,0)*VLOOKUP('Données projet'!$B$12,Paramètres!$A$1:$I$89,5,0)</f>
        <v>211.37999999999991</v>
      </c>
      <c r="CA63" s="14">
        <f t="shared" si="39"/>
        <v>52.237035364084207</v>
      </c>
      <c r="CB63" s="22">
        <f t="shared" si="10"/>
        <v>459.1330032591132</v>
      </c>
      <c r="CC63" s="62">
        <f t="shared" si="11"/>
        <v>720.38870959059068</v>
      </c>
      <c r="CD63" s="62">
        <f ca="1">AVERAGE(OFFSET($CC$3,0,0,'Données projet'!$E$12+1,1))-AVERAGE(OFFSET($H$3,0,0,'Données projet'!$E$12+1,1))</f>
        <v>252.45744983674379</v>
      </c>
      <c r="CE63" s="62">
        <f t="shared" si="40"/>
        <v>283.28099819802776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27</v>
      </c>
      <c r="CH63" s="17">
        <f>IF(ISNA(VLOOKUP(A63,'Données projet'!$A$113:$I$133,5,0)),0%,VLOOKUP(A63,'Données projet'!$A$113:$I$133,5,0)*VLOOKUP('Données projet'!$B$12,Paramètres!$A$1:$I$89,7,0))</f>
        <v>0.215</v>
      </c>
      <c r="CI63" s="17">
        <f>IF(ISNA(VLOOKUP(A63,'Données projet'!$A$113:$I$133,6,0)),0%,VLOOKUP(A63,'Données projet'!$A$113:$I$133,6,0)*VLOOKUP('Données projet'!$B$12,Paramètres!$A$1:$I$89,7,0))</f>
        <v>4.3000000000000003E-2</v>
      </c>
      <c r="CJ63" s="17">
        <f>IF(ISNA(VLOOKUP(A63,'Données projet'!$A$113:$I$133,7,0)),0%,VLOOKUP(A63,'Données projet'!$A$113:$I$133,7,0))</f>
        <v>0.15</v>
      </c>
      <c r="CK63" s="23">
        <f>EXP(-LN(2)/35)*CK62+(1-EXP(-LN(2)/35))/(LN(2)/35)*CG63*CH63*VLOOKUP('Données projet'!$B$12,Paramètres!$A$1:$I$89,3,0)*0.475*44/12</f>
        <v>28.374436869110173</v>
      </c>
      <c r="CL63" s="23">
        <f>EXP(-LN(2)/25)*CL62+(1-EXP(-LN(2)/25))/(LN(2)/25)*Calculateur!CG63*Calculateur!CI63*VLOOKUP('Données projet'!$B$12,Paramètres!$A$1:$I$89,3,0)*0.475*44/12</f>
        <v>5.119827687770532</v>
      </c>
      <c r="CM63" s="23">
        <f>EXP(-LN(2)/2)*CM62+(1-EXP(-LN(2)/2))/(LN(2)/2)*CG63*CJ63*VLOOKUP('Données projet'!$B$12,Paramètres!$A$1:$I$89,3,0)*0.475*44/12</f>
        <v>3.6924902465960283</v>
      </c>
      <c r="CN63" s="24">
        <f t="shared" si="12"/>
        <v>37.186754803476738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215.46880000000002</v>
      </c>
      <c r="O64" s="14">
        <f>N64*VLOOKUP('Données projet'!$B$9,Paramètres!$A$1:$I$89,3,0)*VLOOKUP('Données projet'!$B$9,Paramètres!$A$1:$I$89,5,0)</f>
        <v>100.83939840000001</v>
      </c>
      <c r="P64" s="14">
        <f t="shared" si="33"/>
        <v>27.161875252139833</v>
      </c>
      <c r="Q64" s="22">
        <f t="shared" si="53"/>
        <v>222.93555161081022</v>
      </c>
      <c r="R64" s="62">
        <f t="shared" si="0"/>
        <v>484.74773305593953</v>
      </c>
      <c r="S64" s="62">
        <f ca="1">AVERAGE(OFFSET($R$3,0,0,'Données projet'!$E$9+1,1))-AVERAGE(OFFSET($H$3,0,0,'Données projet'!$E$9+1,1))</f>
        <v>180.76388336802839</v>
      </c>
      <c r="T64" s="62">
        <f t="shared" si="34"/>
        <v>225.35030757566537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20.209091644815153</v>
      </c>
      <c r="AA64" s="23">
        <f>EXP(-LN(2)/25)*AA63+(1-EXP(-LN(2)/25))/(LN(2)/25)*Calculateur!V64*Calculateur!X64*VLOOKUP('Données projet'!$B$9,Paramètres!$A$1:$I$89,3,0)*0.475*44/12</f>
        <v>9.6798764068288534</v>
      </c>
      <c r="AB64" s="23">
        <f>EXP(-LN(2)/2)*AB63+(1-EXP(-LN(2)/2))/(LN(2)/2)*V64*Y64*VLOOKUP('Données projet'!$B$9,Paramètres!$A$1:$I$89,3,0)*0.475*44/12</f>
        <v>6.2259846807848227</v>
      </c>
      <c r="AC64" s="24">
        <f t="shared" si="3"/>
        <v>36.114952732428833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243.99999999999989</v>
      </c>
      <c r="AJ64" s="14">
        <f>AI64*VLOOKUP('Données projet'!$B$10,Paramètres!$A$1:$I$89,3,0)*VLOOKUP('Données projet'!$B$10,Paramètres!$A$1:$I$89,5,0)</f>
        <v>190.31999999999991</v>
      </c>
      <c r="AK64" s="14">
        <f t="shared" si="35"/>
        <v>47.61069337740188</v>
      </c>
      <c r="AL64" s="22">
        <f t="shared" si="4"/>
        <v>414.39595763230813</v>
      </c>
      <c r="AM64" s="62">
        <f t="shared" si="5"/>
        <v>676.20813907743741</v>
      </c>
      <c r="AN64" s="62">
        <f ca="1">AVERAGE(OFFSET($AM$3,0,0,'Données projet'!$E$10+1,1))-AVERAGE(OFFSET($H$3,0,0,'Données projet'!$E$10+1,1))</f>
        <v>252.45744983674379</v>
      </c>
      <c r="AO64" s="62">
        <f t="shared" si="36"/>
        <v>283.28099819802776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27.81803146880452</v>
      </c>
      <c r="AV64" s="23">
        <f>EXP(-LN(2)/25)*AV63+(1-EXP(-LN(2)/25))/(LN(2)/25)*Calculateur!AQ64*Calculateur!AS64*VLOOKUP('Données projet'!$B$10,Paramètres!$A$1:$I$89,3,0)*0.475*44/12</f>
        <v>4.9798257304084101</v>
      </c>
      <c r="AW64" s="23">
        <f>EXP(-LN(2)/2)*AW63+(1-EXP(-LN(2)/2))/(LN(2)/2)*AQ64*AT64*VLOOKUP('Données projet'!$B$10,Paramètres!$A$1:$I$89,3,0)*0.475*44/12</f>
        <v>2.6109848928332391</v>
      </c>
      <c r="AX64" s="23">
        <f t="shared" si="6"/>
        <v>35.408842092046164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243.99999999999989</v>
      </c>
      <c r="BE64" s="14">
        <f>BD64*VLOOKUP('Données projet'!$B$11,Paramètres!$A$1:$I$89,3,0)*VLOOKUP('Données projet'!$B$11,Paramètres!$A$1:$I$89,5,0)</f>
        <v>190.31999999999991</v>
      </c>
      <c r="BF64" s="14">
        <f t="shared" si="37"/>
        <v>47.61069337740188</v>
      </c>
      <c r="BG64" s="22">
        <f t="shared" si="7"/>
        <v>414.39595763230813</v>
      </c>
      <c r="BH64" s="62">
        <f t="shared" si="8"/>
        <v>676.20813907743741</v>
      </c>
      <c r="BI64" s="62">
        <f ca="1">AVERAGE(OFFSET($BH$3,0,0,'Données projet'!$E$11+1,1))-AVERAGE(OFFSET($H$3,0,0,'Données projet'!$E$11+1,1))</f>
        <v>252.45744983674379</v>
      </c>
      <c r="BJ64" s="62">
        <f t="shared" si="38"/>
        <v>283.28099819802776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27.81803146880452</v>
      </c>
      <c r="BQ64" s="23">
        <f>EXP(-LN(2)/25)*BQ63+(1-EXP(-LN(2)/25))/(LN(2)/25)*Calculateur!BL64*Calculateur!BN64*VLOOKUP('Données projet'!$B$11,Paramètres!$A$1:$I$89,3,0)*0.475*44/12</f>
        <v>4.9798257304084101</v>
      </c>
      <c r="BR64" s="23">
        <f>EXP(-LN(2)/2)*BR63+(1-EXP(-LN(2)/2))/(LN(2)/2)*BL64*BO64*VLOOKUP('Données projet'!$B$11,Paramètres!$A$1:$I$89,3,0)*0.475*44/12</f>
        <v>2.6109848928332391</v>
      </c>
      <c r="BS64" s="24">
        <f t="shared" si="9"/>
        <v>35.408842092046164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243.99999999999989</v>
      </c>
      <c r="BZ64" s="14">
        <f>BY64*VLOOKUP('Données projet'!$B$12,Paramètres!$A$1:$I$89,3,0)*VLOOKUP('Données projet'!$B$12,Paramètres!$A$1:$I$89,5,0)</f>
        <v>190.31999999999991</v>
      </c>
      <c r="CA64" s="14">
        <f t="shared" si="39"/>
        <v>47.61069337740188</v>
      </c>
      <c r="CB64" s="22">
        <f t="shared" si="10"/>
        <v>414.39595763230813</v>
      </c>
      <c r="CC64" s="62">
        <f t="shared" si="11"/>
        <v>676.20813907743741</v>
      </c>
      <c r="CD64" s="62">
        <f ca="1">AVERAGE(OFFSET($CC$3,0,0,'Données projet'!$E$12+1,1))-AVERAGE(OFFSET($H$3,0,0,'Données projet'!$E$12+1,1))</f>
        <v>252.45744983674379</v>
      </c>
      <c r="CE64" s="62">
        <f t="shared" si="40"/>
        <v>283.28099819802776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27.81803146880452</v>
      </c>
      <c r="CL64" s="23">
        <f>EXP(-LN(2)/25)*CL63+(1-EXP(-LN(2)/25))/(LN(2)/25)*Calculateur!CG64*Calculateur!CI64*VLOOKUP('Données projet'!$B$12,Paramètres!$A$1:$I$89,3,0)*0.475*44/12</f>
        <v>4.9798257304084101</v>
      </c>
      <c r="CM64" s="23">
        <f>EXP(-LN(2)/2)*CM63+(1-EXP(-LN(2)/2))/(LN(2)/2)*CG64*CJ64*VLOOKUP('Données projet'!$B$12,Paramètres!$A$1:$I$89,3,0)*0.475*44/12</f>
        <v>2.6109848928332391</v>
      </c>
      <c r="CN64" s="24">
        <f t="shared" si="12"/>
        <v>35.408842092046164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215.46880000000002</v>
      </c>
      <c r="O65" s="14">
        <f>N65*VLOOKUP('Données projet'!$B$9,Paramètres!$A$1:$I$89,3,0)*VLOOKUP('Données projet'!$B$9,Paramètres!$A$1:$I$89,5,0)</f>
        <v>100.83939840000001</v>
      </c>
      <c r="P65" s="14">
        <f t="shared" si="33"/>
        <v>27.161875252139833</v>
      </c>
      <c r="Q65" s="22">
        <f t="shared" si="53"/>
        <v>222.93555161081022</v>
      </c>
      <c r="R65" s="62">
        <f t="shared" si="0"/>
        <v>485.29455457046151</v>
      </c>
      <c r="S65" s="62">
        <f ca="1">AVERAGE(OFFSET($R$3,0,0,'Données projet'!$E$9+1,1))-AVERAGE(OFFSET($H$3,0,0,'Données projet'!$E$9+1,1))</f>
        <v>180.76388336802839</v>
      </c>
      <c r="T65" s="62">
        <f t="shared" si="34"/>
        <v>225.35030757566537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19.812803683989106</v>
      </c>
      <c r="AA65" s="23">
        <f>EXP(-LN(2)/25)*AA64+(1-EXP(-LN(2)/25))/(LN(2)/25)*Calculateur!V65*Calculateur!X65*VLOOKUP('Données projet'!$B$9,Paramètres!$A$1:$I$89,3,0)*0.475*44/12</f>
        <v>9.4151796774415413</v>
      </c>
      <c r="AB65" s="23">
        <f>EXP(-LN(2)/2)*AB64+(1-EXP(-LN(2)/2))/(LN(2)/2)*V65*Y65*VLOOKUP('Données projet'!$B$9,Paramètres!$A$1:$I$89,3,0)*0.475*44/12</f>
        <v>4.4024359873465109</v>
      </c>
      <c r="AC65" s="24">
        <f t="shared" si="3"/>
        <v>33.630419348777153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243.99999999999989</v>
      </c>
      <c r="AJ65" s="14">
        <f>AI65*VLOOKUP('Données projet'!$B$10,Paramètres!$A$1:$I$89,3,0)*VLOOKUP('Données projet'!$B$10,Paramètres!$A$1:$I$89,5,0)</f>
        <v>190.31999999999991</v>
      </c>
      <c r="AK65" s="14">
        <f t="shared" si="35"/>
        <v>47.61069337740188</v>
      </c>
      <c r="AL65" s="22">
        <f t="shared" si="4"/>
        <v>414.39595763230813</v>
      </c>
      <c r="AM65" s="62">
        <f t="shared" si="5"/>
        <v>676.75496059195939</v>
      </c>
      <c r="AN65" s="62">
        <f ca="1">AVERAGE(OFFSET($AM$3,0,0,'Données projet'!$E$10+1,1))-AVERAGE(OFFSET($H$3,0,0,'Données projet'!$E$10+1,1))</f>
        <v>252.45744983674379</v>
      </c>
      <c r="AO65" s="62">
        <f t="shared" si="36"/>
        <v>283.28099819802776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27.272536839025076</v>
      </c>
      <c r="AV65" s="23">
        <f>EXP(-LN(2)/25)*AV64+(1-EXP(-LN(2)/25))/(LN(2)/25)*Calculateur!AQ65*Calculateur!AS65*VLOOKUP('Données projet'!$B$10,Paramètres!$A$1:$I$89,3,0)*0.475*44/12</f>
        <v>4.8436521339327383</v>
      </c>
      <c r="AW65" s="23">
        <f>EXP(-LN(2)/2)*AW64+(1-EXP(-LN(2)/2))/(LN(2)/2)*AQ65*AT65*VLOOKUP('Données projet'!$B$10,Paramètres!$A$1:$I$89,3,0)*0.475*44/12</f>
        <v>1.8462451232980146</v>
      </c>
      <c r="AX65" s="23">
        <f t="shared" si="6"/>
        <v>33.962434096255826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243.99999999999989</v>
      </c>
      <c r="BE65" s="14">
        <f>BD65*VLOOKUP('Données projet'!$B$11,Paramètres!$A$1:$I$89,3,0)*VLOOKUP('Données projet'!$B$11,Paramètres!$A$1:$I$89,5,0)</f>
        <v>190.31999999999991</v>
      </c>
      <c r="BF65" s="14">
        <f t="shared" si="37"/>
        <v>47.61069337740188</v>
      </c>
      <c r="BG65" s="22">
        <f t="shared" si="7"/>
        <v>414.39595763230813</v>
      </c>
      <c r="BH65" s="62">
        <f t="shared" si="8"/>
        <v>676.75496059195939</v>
      </c>
      <c r="BI65" s="62">
        <f ca="1">AVERAGE(OFFSET($BH$3,0,0,'Données projet'!$E$11+1,1))-AVERAGE(OFFSET($H$3,0,0,'Données projet'!$E$11+1,1))</f>
        <v>252.45744983674379</v>
      </c>
      <c r="BJ65" s="62">
        <f t="shared" si="38"/>
        <v>283.28099819802776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27.272536839025076</v>
      </c>
      <c r="BQ65" s="23">
        <f>EXP(-LN(2)/25)*BQ64+(1-EXP(-LN(2)/25))/(LN(2)/25)*Calculateur!BL65*Calculateur!BN65*VLOOKUP('Données projet'!$B$11,Paramètres!$A$1:$I$89,3,0)*0.475*44/12</f>
        <v>4.8436521339327383</v>
      </c>
      <c r="BR65" s="23">
        <f>EXP(-LN(2)/2)*BR64+(1-EXP(-LN(2)/2))/(LN(2)/2)*BL65*BO65*VLOOKUP('Données projet'!$B$11,Paramètres!$A$1:$I$89,3,0)*0.475*44/12</f>
        <v>1.8462451232980146</v>
      </c>
      <c r="BS65" s="24">
        <f t="shared" si="9"/>
        <v>33.962434096255826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243.99999999999989</v>
      </c>
      <c r="BZ65" s="14">
        <f>BY65*VLOOKUP('Données projet'!$B$12,Paramètres!$A$1:$I$89,3,0)*VLOOKUP('Données projet'!$B$12,Paramètres!$A$1:$I$89,5,0)</f>
        <v>190.31999999999991</v>
      </c>
      <c r="CA65" s="14">
        <f t="shared" si="39"/>
        <v>47.61069337740188</v>
      </c>
      <c r="CB65" s="22">
        <f t="shared" si="10"/>
        <v>414.39595763230813</v>
      </c>
      <c r="CC65" s="62">
        <f t="shared" si="11"/>
        <v>676.75496059195939</v>
      </c>
      <c r="CD65" s="62">
        <f ca="1">AVERAGE(OFFSET($CC$3,0,0,'Données projet'!$E$12+1,1))-AVERAGE(OFFSET($H$3,0,0,'Données projet'!$E$12+1,1))</f>
        <v>252.45744983674379</v>
      </c>
      <c r="CE65" s="62">
        <f t="shared" si="40"/>
        <v>283.28099819802776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27.272536839025076</v>
      </c>
      <c r="CL65" s="23">
        <f>EXP(-LN(2)/25)*CL64+(1-EXP(-LN(2)/25))/(LN(2)/25)*Calculateur!CG65*Calculateur!CI65*VLOOKUP('Données projet'!$B$12,Paramètres!$A$1:$I$89,3,0)*0.475*44/12</f>
        <v>4.8436521339327383</v>
      </c>
      <c r="CM65" s="23">
        <f>EXP(-LN(2)/2)*CM64+(1-EXP(-LN(2)/2))/(LN(2)/2)*CG65*CJ65*VLOOKUP('Données projet'!$B$12,Paramètres!$A$1:$I$89,3,0)*0.475*44/12</f>
        <v>1.8462451232980146</v>
      </c>
      <c r="CN65" s="24">
        <f t="shared" si="12"/>
        <v>33.962434096255826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215.46880000000002</v>
      </c>
      <c r="O66" s="14">
        <f>N66*VLOOKUP('Données projet'!$B$9,Paramètres!$A$1:$I$89,3,0)*VLOOKUP('Données projet'!$B$9,Paramètres!$A$1:$I$89,5,0)</f>
        <v>100.83939840000001</v>
      </c>
      <c r="P66" s="14">
        <f t="shared" si="33"/>
        <v>27.161875252139833</v>
      </c>
      <c r="Q66" s="22">
        <f t="shared" si="53"/>
        <v>222.93555161081022</v>
      </c>
      <c r="R66" s="62">
        <f t="shared" si="0"/>
        <v>485.83188995421631</v>
      </c>
      <c r="S66" s="62">
        <f ca="1">AVERAGE(OFFSET($R$3,0,0,'Données projet'!$E$9+1,1))-AVERAGE(OFFSET($H$3,0,0,'Données projet'!$E$9+1,1))</f>
        <v>180.76388336802839</v>
      </c>
      <c r="T66" s="62">
        <f t="shared" si="34"/>
        <v>225.35030757566537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19.424286688363068</v>
      </c>
      <c r="AA66" s="23">
        <f>EXP(-LN(2)/25)*AA65+(1-EXP(-LN(2)/25))/(LN(2)/25)*Calculateur!V66*Calculateur!X66*VLOOKUP('Données projet'!$B$9,Paramètres!$A$1:$I$89,3,0)*0.475*44/12</f>
        <v>9.1577210940391218</v>
      </c>
      <c r="AB66" s="23">
        <f>EXP(-LN(2)/2)*AB65+(1-EXP(-LN(2)/2))/(LN(2)/2)*V66*Y66*VLOOKUP('Données projet'!$B$9,Paramètres!$A$1:$I$89,3,0)*0.475*44/12</f>
        <v>3.1129923403924118</v>
      </c>
      <c r="AC66" s="24">
        <f t="shared" si="3"/>
        <v>31.695000122794603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243.99999999999989</v>
      </c>
      <c r="AJ66" s="14">
        <f>AI66*VLOOKUP('Données projet'!$B$10,Paramètres!$A$1:$I$89,3,0)*VLOOKUP('Données projet'!$B$10,Paramètres!$A$1:$I$89,5,0)</f>
        <v>190.31999999999991</v>
      </c>
      <c r="AK66" s="14">
        <f t="shared" si="35"/>
        <v>47.61069337740188</v>
      </c>
      <c r="AL66" s="22">
        <f t="shared" si="4"/>
        <v>414.39595763230813</v>
      </c>
      <c r="AM66" s="62">
        <f t="shared" si="5"/>
        <v>677.2922959757143</v>
      </c>
      <c r="AN66" s="62">
        <f ca="1">AVERAGE(OFFSET($AM$3,0,0,'Données projet'!$E$10+1,1))-AVERAGE(OFFSET($H$3,0,0,'Données projet'!$E$10+1,1))</f>
        <v>252.45744983674379</v>
      </c>
      <c r="AO66" s="62">
        <f t="shared" si="36"/>
        <v>283.28099819802776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26.737739026216737</v>
      </c>
      <c r="AV66" s="23">
        <f>EXP(-LN(2)/25)*AV65+(1-EXP(-LN(2)/25))/(LN(2)/25)*Calculateur!AQ66*Calculateur!AS66*VLOOKUP('Données projet'!$B$10,Paramètres!$A$1:$I$89,3,0)*0.475*44/12</f>
        <v>4.7112022116137524</v>
      </c>
      <c r="AW66" s="23">
        <f>EXP(-LN(2)/2)*AW65+(1-EXP(-LN(2)/2))/(LN(2)/2)*AQ66*AT66*VLOOKUP('Données projet'!$B$10,Paramètres!$A$1:$I$89,3,0)*0.475*44/12</f>
        <v>1.3054924464166198</v>
      </c>
      <c r="AX66" s="23">
        <f t="shared" si="6"/>
        <v>32.754433684247111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243.99999999999989</v>
      </c>
      <c r="BE66" s="14">
        <f>BD66*VLOOKUP('Données projet'!$B$11,Paramètres!$A$1:$I$89,3,0)*VLOOKUP('Données projet'!$B$11,Paramètres!$A$1:$I$89,5,0)</f>
        <v>190.31999999999991</v>
      </c>
      <c r="BF66" s="14">
        <f t="shared" si="37"/>
        <v>47.61069337740188</v>
      </c>
      <c r="BG66" s="22">
        <f t="shared" si="7"/>
        <v>414.39595763230813</v>
      </c>
      <c r="BH66" s="62">
        <f t="shared" si="8"/>
        <v>677.2922959757143</v>
      </c>
      <c r="BI66" s="62">
        <f ca="1">AVERAGE(OFFSET($BH$3,0,0,'Données projet'!$E$11+1,1))-AVERAGE(OFFSET($H$3,0,0,'Données projet'!$E$11+1,1))</f>
        <v>252.45744983674379</v>
      </c>
      <c r="BJ66" s="62">
        <f t="shared" si="38"/>
        <v>283.28099819802776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26.737739026216737</v>
      </c>
      <c r="BQ66" s="23">
        <f>EXP(-LN(2)/25)*BQ65+(1-EXP(-LN(2)/25))/(LN(2)/25)*Calculateur!BL66*Calculateur!BN66*VLOOKUP('Données projet'!$B$11,Paramètres!$A$1:$I$89,3,0)*0.475*44/12</f>
        <v>4.7112022116137524</v>
      </c>
      <c r="BR66" s="23">
        <f>EXP(-LN(2)/2)*BR65+(1-EXP(-LN(2)/2))/(LN(2)/2)*BL66*BO66*VLOOKUP('Données projet'!$B$11,Paramètres!$A$1:$I$89,3,0)*0.475*44/12</f>
        <v>1.3054924464166198</v>
      </c>
      <c r="BS66" s="24">
        <f t="shared" si="9"/>
        <v>32.754433684247111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243.99999999999989</v>
      </c>
      <c r="BZ66" s="14">
        <f>BY66*VLOOKUP('Données projet'!$B$12,Paramètres!$A$1:$I$89,3,0)*VLOOKUP('Données projet'!$B$12,Paramètres!$A$1:$I$89,5,0)</f>
        <v>190.31999999999991</v>
      </c>
      <c r="CA66" s="14">
        <f t="shared" si="39"/>
        <v>47.61069337740188</v>
      </c>
      <c r="CB66" s="22">
        <f t="shared" si="10"/>
        <v>414.39595763230813</v>
      </c>
      <c r="CC66" s="62">
        <f t="shared" si="11"/>
        <v>677.2922959757143</v>
      </c>
      <c r="CD66" s="62">
        <f ca="1">AVERAGE(OFFSET($CC$3,0,0,'Données projet'!$E$12+1,1))-AVERAGE(OFFSET($H$3,0,0,'Données projet'!$E$12+1,1))</f>
        <v>252.45744983674379</v>
      </c>
      <c r="CE66" s="62">
        <f t="shared" si="40"/>
        <v>283.28099819802776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26.737739026216737</v>
      </c>
      <c r="CL66" s="23">
        <f>EXP(-LN(2)/25)*CL65+(1-EXP(-LN(2)/25))/(LN(2)/25)*Calculateur!CG66*Calculateur!CI66*VLOOKUP('Données projet'!$B$12,Paramètres!$A$1:$I$89,3,0)*0.475*44/12</f>
        <v>4.7112022116137524</v>
      </c>
      <c r="CM66" s="23">
        <f>EXP(-LN(2)/2)*CM65+(1-EXP(-LN(2)/2))/(LN(2)/2)*CG66*CJ66*VLOOKUP('Données projet'!$B$12,Paramètres!$A$1:$I$89,3,0)*0.475*44/12</f>
        <v>1.3054924464166198</v>
      </c>
      <c r="CN66" s="24">
        <f t="shared" si="12"/>
        <v>32.754433684247111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215.46880000000002</v>
      </c>
      <c r="O67" s="14">
        <f>N67*VLOOKUP('Données projet'!$B$9,Paramètres!$A$1:$I$89,3,0)*VLOOKUP('Données projet'!$B$9,Paramètres!$A$1:$I$89,5,0)</f>
        <v>100.83939840000001</v>
      </c>
      <c r="P67" s="14">
        <f t="shared" si="33"/>
        <v>27.161875252139833</v>
      </c>
      <c r="Q67" s="22">
        <f t="shared" ref="Q67:Q98" si="54">(O67+P67)*0.475*44/12</f>
        <v>222.93555161081022</v>
      </c>
      <c r="R67" s="62">
        <f t="shared" ref="R67:R130" si="55">Q67+(I67+J67)*44/12</f>
        <v>486.35990377036501</v>
      </c>
      <c r="S67" s="62">
        <f ca="1">AVERAGE(OFFSET($R$3,0,0,'Données projet'!$E$9+1,1))-AVERAGE(OFFSET($H$3,0,0,'Données projet'!$E$9+1,1))</f>
        <v>180.76388336802839</v>
      </c>
      <c r="T67" s="62">
        <f t="shared" si="34"/>
        <v>225.35030757566537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19.043388274049292</v>
      </c>
      <c r="AA67" s="23">
        <f>EXP(-LN(2)/25)*AA66+(1-EXP(-LN(2)/25))/(LN(2)/25)*Calculateur!V67*Calculateur!X67*VLOOKUP('Données projet'!$B$9,Paramètres!$A$1:$I$89,3,0)*0.475*44/12</f>
        <v>8.9073027291389995</v>
      </c>
      <c r="AB67" s="23">
        <f>EXP(-LN(2)/2)*AB66+(1-EXP(-LN(2)/2))/(LN(2)/2)*V67*Y67*VLOOKUP('Données projet'!$B$9,Paramètres!$A$1:$I$89,3,0)*0.475*44/12</f>
        <v>2.2012179936732559</v>
      </c>
      <c r="AC67" s="24">
        <f t="shared" si="3"/>
        <v>30.151908996861547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243.99999999999989</v>
      </c>
      <c r="AJ67" s="14">
        <f>AI67*VLOOKUP('Données projet'!$B$10,Paramètres!$A$1:$I$89,3,0)*VLOOKUP('Données projet'!$B$10,Paramètres!$A$1:$I$89,5,0)</f>
        <v>190.31999999999991</v>
      </c>
      <c r="AK67" s="14">
        <f t="shared" si="35"/>
        <v>47.61069337740188</v>
      </c>
      <c r="AL67" s="22">
        <f t="shared" si="4"/>
        <v>414.39595763230813</v>
      </c>
      <c r="AM67" s="62">
        <f t="shared" si="5"/>
        <v>677.82030979186288</v>
      </c>
      <c r="AN67" s="62">
        <f ca="1">AVERAGE(OFFSET($AM$3,0,0,'Données projet'!$E$10+1,1))-AVERAGE(OFFSET($H$3,0,0,'Données projet'!$E$10+1,1))</f>
        <v>252.45744983674379</v>
      </c>
      <c r="AO67" s="62">
        <f t="shared" si="36"/>
        <v>283.28099819802776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26.21342827232311</v>
      </c>
      <c r="AV67" s="23">
        <f>EXP(-LN(2)/25)*AV66+(1-EXP(-LN(2)/25))/(LN(2)/25)*Calculateur!AQ67*Calculateur!AS67*VLOOKUP('Données projet'!$B$10,Paramètres!$A$1:$I$89,3,0)*0.475*44/12</f>
        <v>4.5823741393858173</v>
      </c>
      <c r="AW67" s="23">
        <f>EXP(-LN(2)/2)*AW66+(1-EXP(-LN(2)/2))/(LN(2)/2)*AQ67*AT67*VLOOKUP('Données projet'!$B$10,Paramètres!$A$1:$I$89,3,0)*0.475*44/12</f>
        <v>0.92312256164900741</v>
      </c>
      <c r="AX67" s="23">
        <f t="shared" si="6"/>
        <v>31.718924973357932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243.99999999999989</v>
      </c>
      <c r="BE67" s="14">
        <f>BD67*VLOOKUP('Données projet'!$B$11,Paramètres!$A$1:$I$89,3,0)*VLOOKUP('Données projet'!$B$11,Paramètres!$A$1:$I$89,5,0)</f>
        <v>190.31999999999991</v>
      </c>
      <c r="BF67" s="14">
        <f t="shared" si="37"/>
        <v>47.61069337740188</v>
      </c>
      <c r="BG67" s="22">
        <f t="shared" si="7"/>
        <v>414.39595763230813</v>
      </c>
      <c r="BH67" s="62">
        <f t="shared" si="8"/>
        <v>677.82030979186288</v>
      </c>
      <c r="BI67" s="62">
        <f ca="1">AVERAGE(OFFSET($BH$3,0,0,'Données projet'!$E$11+1,1))-AVERAGE(OFFSET($H$3,0,0,'Données projet'!$E$11+1,1))</f>
        <v>252.45744983674379</v>
      </c>
      <c r="BJ67" s="62">
        <f t="shared" si="38"/>
        <v>283.28099819802776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26.21342827232311</v>
      </c>
      <c r="BQ67" s="23">
        <f>EXP(-LN(2)/25)*BQ66+(1-EXP(-LN(2)/25))/(LN(2)/25)*Calculateur!BL67*Calculateur!BN67*VLOOKUP('Données projet'!$B$11,Paramètres!$A$1:$I$89,3,0)*0.475*44/12</f>
        <v>4.5823741393858173</v>
      </c>
      <c r="BR67" s="23">
        <f>EXP(-LN(2)/2)*BR66+(1-EXP(-LN(2)/2))/(LN(2)/2)*BL67*BO67*VLOOKUP('Données projet'!$B$11,Paramètres!$A$1:$I$89,3,0)*0.475*44/12</f>
        <v>0.92312256164900741</v>
      </c>
      <c r="BS67" s="24">
        <f t="shared" si="9"/>
        <v>31.718924973357932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243.99999999999989</v>
      </c>
      <c r="BZ67" s="14">
        <f>BY67*VLOOKUP('Données projet'!$B$12,Paramètres!$A$1:$I$89,3,0)*VLOOKUP('Données projet'!$B$12,Paramètres!$A$1:$I$89,5,0)</f>
        <v>190.31999999999991</v>
      </c>
      <c r="CA67" s="14">
        <f t="shared" si="39"/>
        <v>47.61069337740188</v>
      </c>
      <c r="CB67" s="22">
        <f t="shared" si="10"/>
        <v>414.39595763230813</v>
      </c>
      <c r="CC67" s="62">
        <f t="shared" si="11"/>
        <v>677.82030979186288</v>
      </c>
      <c r="CD67" s="62">
        <f ca="1">AVERAGE(OFFSET($CC$3,0,0,'Données projet'!$E$12+1,1))-AVERAGE(OFFSET($H$3,0,0,'Données projet'!$E$12+1,1))</f>
        <v>252.45744983674379</v>
      </c>
      <c r="CE67" s="62">
        <f t="shared" si="40"/>
        <v>283.28099819802776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26.21342827232311</v>
      </c>
      <c r="CL67" s="23">
        <f>EXP(-LN(2)/25)*CL66+(1-EXP(-LN(2)/25))/(LN(2)/25)*Calculateur!CG67*Calculateur!CI67*VLOOKUP('Données projet'!$B$12,Paramètres!$A$1:$I$89,3,0)*0.475*44/12</f>
        <v>4.5823741393858173</v>
      </c>
      <c r="CM67" s="23">
        <f>EXP(-LN(2)/2)*CM66+(1-EXP(-LN(2)/2))/(LN(2)/2)*CG67*CJ67*VLOOKUP('Données projet'!$B$12,Paramètres!$A$1:$I$89,3,0)*0.475*44/12</f>
        <v>0.92312256164900741</v>
      </c>
      <c r="CN67" s="24">
        <f t="shared" si="12"/>
        <v>31.718924973357932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215.46880000000002</v>
      </c>
      <c r="O68" s="14">
        <f>N68*VLOOKUP('Données projet'!$B$9,Paramètres!$A$1:$I$89,3,0)*VLOOKUP('Données projet'!$B$9,Paramètres!$A$1:$I$89,5,0)</f>
        <v>100.83939840000001</v>
      </c>
      <c r="P68" s="14">
        <f t="shared" si="33"/>
        <v>27.161875252139833</v>
      </c>
      <c r="Q68" s="22">
        <f t="shared" si="54"/>
        <v>222.93555161081022</v>
      </c>
      <c r="R68" s="62">
        <f t="shared" si="55"/>
        <v>486.87875772726545</v>
      </c>
      <c r="S68" s="62">
        <f ca="1">AVERAGE(OFFSET($R$3,0,0,'Données projet'!$E$9+1,1))-AVERAGE(OFFSET($H$3,0,0,'Données projet'!$E$9+1,1))</f>
        <v>180.76388336802839</v>
      </c>
      <c r="T68" s="62">
        <f t="shared" si="34"/>
        <v>225.35030757566537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18.669959045315114</v>
      </c>
      <c r="AA68" s="23">
        <f>EXP(-LN(2)/25)*AA67+(1-EXP(-LN(2)/25))/(LN(2)/25)*Calculateur!V68*Calculateur!X68*VLOOKUP('Données projet'!$B$9,Paramètres!$A$1:$I$89,3,0)*0.475*44/12</f>
        <v>8.6637320675960012</v>
      </c>
      <c r="AB68" s="23">
        <f>EXP(-LN(2)/2)*AB67+(1-EXP(-LN(2)/2))/(LN(2)/2)*V68*Y68*VLOOKUP('Données projet'!$B$9,Paramètres!$A$1:$I$89,3,0)*0.475*44/12</f>
        <v>1.5564961701962061</v>
      </c>
      <c r="AC68" s="24">
        <f t="shared" ref="AC68:AC131" si="57">SUM(Z68:AB68)</f>
        <v>28.89018728310732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243.99999999999989</v>
      </c>
      <c r="AJ68" s="14">
        <f>AI68*VLOOKUP('Données projet'!$B$10,Paramètres!$A$1:$I$89,3,0)*VLOOKUP('Données projet'!$B$10,Paramètres!$A$1:$I$89,5,0)</f>
        <v>190.31999999999991</v>
      </c>
      <c r="AK68" s="14">
        <f t="shared" si="35"/>
        <v>47.61069337740188</v>
      </c>
      <c r="AL68" s="22">
        <f t="shared" ref="AL68:AL131" si="58">(AJ68+AK68)*0.475*44/12</f>
        <v>414.39595763230813</v>
      </c>
      <c r="AM68" s="62">
        <f t="shared" ref="AM68:AM131" si="59">AL68+(AD68+AE68)*44/12</f>
        <v>678.33916374876333</v>
      </c>
      <c r="AN68" s="62">
        <f ca="1">AVERAGE(OFFSET($AM$3,0,0,'Données projet'!$E$10+1,1))-AVERAGE(OFFSET($H$3,0,0,'Données projet'!$E$10+1,1))</f>
        <v>252.45744983674379</v>
      </c>
      <c r="AO68" s="62">
        <f t="shared" si="36"/>
        <v>283.28099819802776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25.699398932515354</v>
      </c>
      <c r="AV68" s="23">
        <f>EXP(-LN(2)/25)*AV67+(1-EXP(-LN(2)/25))/(LN(2)/25)*Calculateur!AQ68*Calculateur!AS68*VLOOKUP('Données projet'!$B$10,Paramètres!$A$1:$I$89,3,0)*0.475*44/12</f>
        <v>4.4570688775677292</v>
      </c>
      <c r="AW68" s="23">
        <f>EXP(-LN(2)/2)*AW67+(1-EXP(-LN(2)/2))/(LN(2)/2)*AQ68*AT68*VLOOKUP('Données projet'!$B$10,Paramètres!$A$1:$I$89,3,0)*0.475*44/12</f>
        <v>0.65274622320830999</v>
      </c>
      <c r="AX68" s="23">
        <f t="shared" ref="AX68:AX131" si="60">SUM(AU68:AW68)</f>
        <v>30.809214033291394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243.99999999999989</v>
      </c>
      <c r="BE68" s="14">
        <f>BD68*VLOOKUP('Données projet'!$B$11,Paramètres!$A$1:$I$89,3,0)*VLOOKUP('Données projet'!$B$11,Paramètres!$A$1:$I$89,5,0)</f>
        <v>190.31999999999991</v>
      </c>
      <c r="BF68" s="14">
        <f t="shared" si="37"/>
        <v>47.61069337740188</v>
      </c>
      <c r="BG68" s="22">
        <f t="shared" ref="BG68:BG131" si="61">(BE68+BF68)*0.475*44/12</f>
        <v>414.39595763230813</v>
      </c>
      <c r="BH68" s="62">
        <f t="shared" ref="BH68:BH131" si="62">BG68+(AY68+AZ68)*44/12</f>
        <v>678.33916374876333</v>
      </c>
      <c r="BI68" s="62">
        <f ca="1">AVERAGE(OFFSET($BH$3,0,0,'Données projet'!$E$11+1,1))-AVERAGE(OFFSET($H$3,0,0,'Données projet'!$E$11+1,1))</f>
        <v>252.45744983674379</v>
      </c>
      <c r="BJ68" s="62">
        <f t="shared" si="38"/>
        <v>283.28099819802776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25.699398932515354</v>
      </c>
      <c r="BQ68" s="23">
        <f>EXP(-LN(2)/25)*BQ67+(1-EXP(-LN(2)/25))/(LN(2)/25)*Calculateur!BL68*Calculateur!BN68*VLOOKUP('Données projet'!$B$11,Paramètres!$A$1:$I$89,3,0)*0.475*44/12</f>
        <v>4.4570688775677292</v>
      </c>
      <c r="BR68" s="23">
        <f>EXP(-LN(2)/2)*BR67+(1-EXP(-LN(2)/2))/(LN(2)/2)*BL68*BO68*VLOOKUP('Données projet'!$B$11,Paramètres!$A$1:$I$89,3,0)*0.475*44/12</f>
        <v>0.65274622320830999</v>
      </c>
      <c r="BS68" s="24">
        <f t="shared" ref="BS68:BS131" si="63">SUM(BP68:BR68)</f>
        <v>30.809214033291394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243.99999999999989</v>
      </c>
      <c r="BZ68" s="14">
        <f>BY68*VLOOKUP('Données projet'!$B$12,Paramètres!$A$1:$I$89,3,0)*VLOOKUP('Données projet'!$B$12,Paramètres!$A$1:$I$89,5,0)</f>
        <v>190.31999999999991</v>
      </c>
      <c r="CA68" s="14">
        <f t="shared" si="39"/>
        <v>47.61069337740188</v>
      </c>
      <c r="CB68" s="22">
        <f t="shared" ref="CB68:CB131" si="64">(BZ68+CA68)*0.475*44/12</f>
        <v>414.39595763230813</v>
      </c>
      <c r="CC68" s="62">
        <f t="shared" ref="CC68:CC131" si="65">CB68+(BT68+BU68)*44/12</f>
        <v>678.33916374876333</v>
      </c>
      <c r="CD68" s="62">
        <f ca="1">AVERAGE(OFFSET($CC$3,0,0,'Données projet'!$E$12+1,1))-AVERAGE(OFFSET($H$3,0,0,'Données projet'!$E$12+1,1))</f>
        <v>252.45744983674379</v>
      </c>
      <c r="CE68" s="62">
        <f t="shared" si="40"/>
        <v>283.28099819802776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25.699398932515354</v>
      </c>
      <c r="CL68" s="23">
        <f>EXP(-LN(2)/25)*CL67+(1-EXP(-LN(2)/25))/(LN(2)/25)*Calculateur!CG68*Calculateur!CI68*VLOOKUP('Données projet'!$B$12,Paramètres!$A$1:$I$89,3,0)*0.475*44/12</f>
        <v>4.4570688775677292</v>
      </c>
      <c r="CM68" s="23">
        <f>EXP(-LN(2)/2)*CM67+(1-EXP(-LN(2)/2))/(LN(2)/2)*CG68*CJ68*VLOOKUP('Données projet'!$B$12,Paramètres!$A$1:$I$89,3,0)*0.475*44/12</f>
        <v>0.65274622320830999</v>
      </c>
      <c r="CN68" s="24">
        <f t="shared" ref="CN68:CN131" si="66">SUM(CK68:CM68)</f>
        <v>30.809214033291394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215.46880000000002</v>
      </c>
      <c r="O69" s="14">
        <f>N69*VLOOKUP('Données projet'!$B$9,Paramètres!$A$1:$I$89,3,0)*VLOOKUP('Données projet'!$B$9,Paramètres!$A$1:$I$89,5,0)</f>
        <v>100.83939840000001</v>
      </c>
      <c r="P69" s="14">
        <f t="shared" ref="P69:P132" si="87">EXP(-1.0587+0.8836*LN(O69)+0.284)</f>
        <v>27.161875252139833</v>
      </c>
      <c r="Q69" s="22">
        <f t="shared" si="54"/>
        <v>222.93555161081022</v>
      </c>
      <c r="R69" s="62">
        <f t="shared" si="55"/>
        <v>487.38861072799727</v>
      </c>
      <c r="S69" s="62">
        <f ca="1">AVERAGE(OFFSET($R$3,0,0,'Données projet'!$E$9+1,1))-AVERAGE(OFFSET($H$3,0,0,'Données projet'!$E$9+1,1))</f>
        <v>180.76388336802839</v>
      </c>
      <c r="T69" s="62">
        <f t="shared" ref="T69:T132" si="88">$T$3</f>
        <v>225.35030757566537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18.303852535987076</v>
      </c>
      <c r="AA69" s="23">
        <f>EXP(-LN(2)/25)*AA68+(1-EXP(-LN(2)/25))/(LN(2)/25)*Calculateur!V69*Calculateur!X69*VLOOKUP('Données projet'!$B$9,Paramètres!$A$1:$I$89,3,0)*0.475*44/12</f>
        <v>8.4268218586017198</v>
      </c>
      <c r="AB69" s="23">
        <f>EXP(-LN(2)/2)*AB68+(1-EXP(-LN(2)/2))/(LN(2)/2)*V69*Y69*VLOOKUP('Données projet'!$B$9,Paramètres!$A$1:$I$89,3,0)*0.475*44/12</f>
        <v>1.1006089968366279</v>
      </c>
      <c r="AC69" s="24">
        <f t="shared" si="57"/>
        <v>27.831283391425423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243.99999999999989</v>
      </c>
      <c r="AJ69" s="14">
        <f>AI69*VLOOKUP('Données projet'!$B$10,Paramètres!$A$1:$I$89,3,0)*VLOOKUP('Données projet'!$B$10,Paramètres!$A$1:$I$89,5,0)</f>
        <v>190.31999999999991</v>
      </c>
      <c r="AK69" s="14">
        <f t="shared" ref="AK69:AK132" si="89">EXP(-1.0587+0.8836*LN(AJ69)+0.284)</f>
        <v>47.61069337740188</v>
      </c>
      <c r="AL69" s="22">
        <f t="shared" si="58"/>
        <v>414.39595763230813</v>
      </c>
      <c r="AM69" s="62">
        <f t="shared" si="59"/>
        <v>678.84901674949515</v>
      </c>
      <c r="AN69" s="62">
        <f ca="1">AVERAGE(OFFSET($AM$3,0,0,'Données projet'!$E$10+1,1))-AVERAGE(OFFSET($H$3,0,0,'Données projet'!$E$10+1,1))</f>
        <v>252.45744983674379</v>
      </c>
      <c r="AO69" s="62">
        <f t="shared" ref="AO69:AO132" si="90">$AO$3</f>
        <v>283.28099819802776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25.19544939453429</v>
      </c>
      <c r="AV69" s="23">
        <f>EXP(-LN(2)/25)*AV68+(1-EXP(-LN(2)/25))/(LN(2)/25)*Calculateur!AQ69*Calculateur!AS69*VLOOKUP('Données projet'!$B$10,Paramètres!$A$1:$I$89,3,0)*0.475*44/12</f>
        <v>4.3351900947235738</v>
      </c>
      <c r="AW69" s="23">
        <f>EXP(-LN(2)/2)*AW68+(1-EXP(-LN(2)/2))/(LN(2)/2)*AQ69*AT69*VLOOKUP('Données projet'!$B$10,Paramètres!$A$1:$I$89,3,0)*0.475*44/12</f>
        <v>0.46156128082450382</v>
      </c>
      <c r="AX69" s="23">
        <f t="shared" si="60"/>
        <v>29.99220077008237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243.99999999999989</v>
      </c>
      <c r="BE69" s="14">
        <f>BD69*VLOOKUP('Données projet'!$B$11,Paramètres!$A$1:$I$89,3,0)*VLOOKUP('Données projet'!$B$11,Paramètres!$A$1:$I$89,5,0)</f>
        <v>190.31999999999991</v>
      </c>
      <c r="BF69" s="14">
        <f t="shared" ref="BF69:BF132" si="91">EXP(-1.0587+0.8836*LN(BE69)+0.284)</f>
        <v>47.61069337740188</v>
      </c>
      <c r="BG69" s="22">
        <f t="shared" si="61"/>
        <v>414.39595763230813</v>
      </c>
      <c r="BH69" s="62">
        <f t="shared" si="62"/>
        <v>678.84901674949515</v>
      </c>
      <c r="BI69" s="62">
        <f ca="1">AVERAGE(OFFSET($BH$3,0,0,'Données projet'!$E$11+1,1))-AVERAGE(OFFSET($H$3,0,0,'Données projet'!$E$11+1,1))</f>
        <v>252.45744983674379</v>
      </c>
      <c r="BJ69" s="62">
        <f t="shared" ref="BJ69:BJ132" si="92">$BJ$3</f>
        <v>283.28099819802776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25.19544939453429</v>
      </c>
      <c r="BQ69" s="23">
        <f>EXP(-LN(2)/25)*BQ68+(1-EXP(-LN(2)/25))/(LN(2)/25)*Calculateur!BL69*Calculateur!BN69*VLOOKUP('Données projet'!$B$11,Paramètres!$A$1:$I$89,3,0)*0.475*44/12</f>
        <v>4.3351900947235738</v>
      </c>
      <c r="BR69" s="23">
        <f>EXP(-LN(2)/2)*BR68+(1-EXP(-LN(2)/2))/(LN(2)/2)*BL69*BO69*VLOOKUP('Données projet'!$B$11,Paramètres!$A$1:$I$89,3,0)*0.475*44/12</f>
        <v>0.46156128082450382</v>
      </c>
      <c r="BS69" s="24">
        <f t="shared" si="63"/>
        <v>29.99220077008237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243.99999999999989</v>
      </c>
      <c r="BZ69" s="14">
        <f>BY69*VLOOKUP('Données projet'!$B$12,Paramètres!$A$1:$I$89,3,0)*VLOOKUP('Données projet'!$B$12,Paramètres!$A$1:$I$89,5,0)</f>
        <v>190.31999999999991</v>
      </c>
      <c r="CA69" s="14">
        <f t="shared" ref="CA69:CA132" si="93">EXP(-1.0587+0.8836*LN(BZ69)+0.284)</f>
        <v>47.61069337740188</v>
      </c>
      <c r="CB69" s="22">
        <f t="shared" si="64"/>
        <v>414.39595763230813</v>
      </c>
      <c r="CC69" s="62">
        <f t="shared" si="65"/>
        <v>678.84901674949515</v>
      </c>
      <c r="CD69" s="62">
        <f ca="1">AVERAGE(OFFSET($CC$3,0,0,'Données projet'!$E$12+1,1))-AVERAGE(OFFSET($H$3,0,0,'Données projet'!$E$12+1,1))</f>
        <v>252.45744983674379</v>
      </c>
      <c r="CE69" s="62">
        <f t="shared" ref="CE69:CE132" si="94">$CE$3</f>
        <v>283.28099819802776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25.19544939453429</v>
      </c>
      <c r="CL69" s="23">
        <f>EXP(-LN(2)/25)*CL68+(1-EXP(-LN(2)/25))/(LN(2)/25)*Calculateur!CG69*Calculateur!CI69*VLOOKUP('Données projet'!$B$12,Paramètres!$A$1:$I$89,3,0)*0.475*44/12</f>
        <v>4.3351900947235738</v>
      </c>
      <c r="CM69" s="23">
        <f>EXP(-LN(2)/2)*CM68+(1-EXP(-LN(2)/2))/(LN(2)/2)*CG69*CJ69*VLOOKUP('Données projet'!$B$12,Paramètres!$A$1:$I$89,3,0)*0.475*44/12</f>
        <v>0.46156128082450382</v>
      </c>
      <c r="CN69" s="24">
        <f t="shared" si="66"/>
        <v>29.99220077008237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215.46880000000002</v>
      </c>
      <c r="O70" s="14">
        <f>N70*VLOOKUP('Données projet'!$B$9,Paramètres!$A$1:$I$89,3,0)*VLOOKUP('Données projet'!$B$9,Paramètres!$A$1:$I$89,5,0)</f>
        <v>100.83939840000001</v>
      </c>
      <c r="P70" s="14">
        <f t="shared" si="87"/>
        <v>27.161875252139833</v>
      </c>
      <c r="Q70" s="22">
        <f t="shared" si="54"/>
        <v>222.93555161081022</v>
      </c>
      <c r="R70" s="62">
        <f t="shared" si="55"/>
        <v>487.88961891902716</v>
      </c>
      <c r="S70" s="62">
        <f ca="1">AVERAGE(OFFSET($R$3,0,0,'Données projet'!$E$9+1,1))-AVERAGE(OFFSET($H$3,0,0,'Données projet'!$E$9+1,1))</f>
        <v>180.76388336802839</v>
      </c>
      <c r="T70" s="62">
        <f t="shared" si="88"/>
        <v>225.35030757566537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17.944925152004039</v>
      </c>
      <c r="AA70" s="23">
        <f>EXP(-LN(2)/25)*AA69+(1-EXP(-LN(2)/25))/(LN(2)/25)*Calculateur!V70*Calculateur!X70*VLOOKUP('Données projet'!$B$9,Paramètres!$A$1:$I$89,3,0)*0.475*44/12</f>
        <v>8.1963899717309534</v>
      </c>
      <c r="AB70" s="23">
        <f>EXP(-LN(2)/2)*AB69+(1-EXP(-LN(2)/2))/(LN(2)/2)*V70*Y70*VLOOKUP('Données projet'!$B$9,Paramètres!$A$1:$I$89,3,0)*0.475*44/12</f>
        <v>0.77824808509810306</v>
      </c>
      <c r="AC70" s="24">
        <f t="shared" si="57"/>
        <v>26.919563208833093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243.99999999999989</v>
      </c>
      <c r="AJ70" s="14">
        <f>AI70*VLOOKUP('Données projet'!$B$10,Paramètres!$A$1:$I$89,3,0)*VLOOKUP('Données projet'!$B$10,Paramètres!$A$1:$I$89,5,0)</f>
        <v>190.31999999999991</v>
      </c>
      <c r="AK70" s="14">
        <f t="shared" si="89"/>
        <v>47.61069337740188</v>
      </c>
      <c r="AL70" s="22">
        <f t="shared" si="58"/>
        <v>414.39595763230813</v>
      </c>
      <c r="AM70" s="62">
        <f t="shared" si="59"/>
        <v>679.35002494052503</v>
      </c>
      <c r="AN70" s="62">
        <f ca="1">AVERAGE(OFFSET($AM$3,0,0,'Données projet'!$E$10+1,1))-AVERAGE(OFFSET($H$3,0,0,'Données projet'!$E$10+1,1))</f>
        <v>252.45744983674379</v>
      </c>
      <c r="AO70" s="62">
        <f t="shared" si="90"/>
        <v>283.28099819802776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24.701381999614167</v>
      </c>
      <c r="AV70" s="23">
        <f>EXP(-LN(2)/25)*AV69+(1-EXP(-LN(2)/25))/(LN(2)/25)*Calculateur!AQ70*Calculateur!AS70*VLOOKUP('Données projet'!$B$10,Paramètres!$A$1:$I$89,3,0)*0.475*44/12</f>
        <v>4.2166440936056189</v>
      </c>
      <c r="AW70" s="23">
        <f>EXP(-LN(2)/2)*AW69+(1-EXP(-LN(2)/2))/(LN(2)/2)*AQ70*AT70*VLOOKUP('Données projet'!$B$10,Paramètres!$A$1:$I$89,3,0)*0.475*44/12</f>
        <v>0.32637311160415505</v>
      </c>
      <c r="AX70" s="23">
        <f t="shared" si="60"/>
        <v>29.244399204823942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243.99999999999989</v>
      </c>
      <c r="BE70" s="14">
        <f>BD70*VLOOKUP('Données projet'!$B$11,Paramètres!$A$1:$I$89,3,0)*VLOOKUP('Données projet'!$B$11,Paramètres!$A$1:$I$89,5,0)</f>
        <v>190.31999999999991</v>
      </c>
      <c r="BF70" s="14">
        <f t="shared" si="91"/>
        <v>47.61069337740188</v>
      </c>
      <c r="BG70" s="22">
        <f t="shared" si="61"/>
        <v>414.39595763230813</v>
      </c>
      <c r="BH70" s="62">
        <f t="shared" si="62"/>
        <v>679.35002494052503</v>
      </c>
      <c r="BI70" s="62">
        <f ca="1">AVERAGE(OFFSET($BH$3,0,0,'Données projet'!$E$11+1,1))-AVERAGE(OFFSET($H$3,0,0,'Données projet'!$E$11+1,1))</f>
        <v>252.45744983674379</v>
      </c>
      <c r="BJ70" s="62">
        <f t="shared" si="92"/>
        <v>283.28099819802776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24.701381999614167</v>
      </c>
      <c r="BQ70" s="23">
        <f>EXP(-LN(2)/25)*BQ69+(1-EXP(-LN(2)/25))/(LN(2)/25)*Calculateur!BL70*Calculateur!BN70*VLOOKUP('Données projet'!$B$11,Paramètres!$A$1:$I$89,3,0)*0.475*44/12</f>
        <v>4.2166440936056189</v>
      </c>
      <c r="BR70" s="23">
        <f>EXP(-LN(2)/2)*BR69+(1-EXP(-LN(2)/2))/(LN(2)/2)*BL70*BO70*VLOOKUP('Données projet'!$B$11,Paramètres!$A$1:$I$89,3,0)*0.475*44/12</f>
        <v>0.32637311160415505</v>
      </c>
      <c r="BS70" s="24">
        <f t="shared" si="63"/>
        <v>29.244399204823942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243.99999999999989</v>
      </c>
      <c r="BZ70" s="14">
        <f>BY70*VLOOKUP('Données projet'!$B$12,Paramètres!$A$1:$I$89,3,0)*VLOOKUP('Données projet'!$B$12,Paramètres!$A$1:$I$89,5,0)</f>
        <v>190.31999999999991</v>
      </c>
      <c r="CA70" s="14">
        <f t="shared" si="93"/>
        <v>47.61069337740188</v>
      </c>
      <c r="CB70" s="22">
        <f t="shared" si="64"/>
        <v>414.39595763230813</v>
      </c>
      <c r="CC70" s="62">
        <f t="shared" si="65"/>
        <v>679.35002494052503</v>
      </c>
      <c r="CD70" s="62">
        <f ca="1">AVERAGE(OFFSET($CC$3,0,0,'Données projet'!$E$12+1,1))-AVERAGE(OFFSET($H$3,0,0,'Données projet'!$E$12+1,1))</f>
        <v>252.45744983674379</v>
      </c>
      <c r="CE70" s="62">
        <f t="shared" si="94"/>
        <v>283.28099819802776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24.701381999614167</v>
      </c>
      <c r="CL70" s="23">
        <f>EXP(-LN(2)/25)*CL69+(1-EXP(-LN(2)/25))/(LN(2)/25)*Calculateur!CG70*Calculateur!CI70*VLOOKUP('Données projet'!$B$12,Paramètres!$A$1:$I$89,3,0)*0.475*44/12</f>
        <v>4.2166440936056189</v>
      </c>
      <c r="CM70" s="23">
        <f>EXP(-LN(2)/2)*CM69+(1-EXP(-LN(2)/2))/(LN(2)/2)*CG70*CJ70*VLOOKUP('Données projet'!$B$12,Paramètres!$A$1:$I$89,3,0)*0.475*44/12</f>
        <v>0.32637311160415505</v>
      </c>
      <c r="CN70" s="24">
        <f t="shared" si="66"/>
        <v>29.244399204823942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215.46880000000002</v>
      </c>
      <c r="O71" s="14">
        <f>N71*VLOOKUP('Données projet'!$B$9,Paramètres!$A$1:$I$89,3,0)*VLOOKUP('Données projet'!$B$9,Paramètres!$A$1:$I$89,5,0)</f>
        <v>100.83939840000001</v>
      </c>
      <c r="P71" s="14">
        <f t="shared" si="87"/>
        <v>27.161875252139833</v>
      </c>
      <c r="Q71" s="22">
        <f t="shared" si="54"/>
        <v>222.93555161081022</v>
      </c>
      <c r="R71" s="62">
        <f t="shared" si="55"/>
        <v>488.38193573802903</v>
      </c>
      <c r="S71" s="62">
        <f ca="1">AVERAGE(OFFSET($R$3,0,0,'Données projet'!$E$9+1,1))-AVERAGE(OFFSET($H$3,0,0,'Données projet'!$E$9+1,1))</f>
        <v>180.76388336802839</v>
      </c>
      <c r="T71" s="62">
        <f t="shared" si="88"/>
        <v>225.35030757566537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17.593036115096822</v>
      </c>
      <c r="AA71" s="23">
        <f>EXP(-LN(2)/25)*AA70+(1-EXP(-LN(2)/25))/(LN(2)/25)*Calculateur!V71*Calculateur!X71*VLOOKUP('Données projet'!$B$9,Paramètres!$A$1:$I$89,3,0)*0.475*44/12</f>
        <v>7.9722592569245547</v>
      </c>
      <c r="AB71" s="23">
        <f>EXP(-LN(2)/2)*AB70+(1-EXP(-LN(2)/2))/(LN(2)/2)*V71*Y71*VLOOKUP('Données projet'!$B$9,Paramètres!$A$1:$I$89,3,0)*0.475*44/12</f>
        <v>0.55030449841831397</v>
      </c>
      <c r="AC71" s="24">
        <f t="shared" si="57"/>
        <v>26.115599870439691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243.99999999999989</v>
      </c>
      <c r="AJ71" s="14">
        <f>AI71*VLOOKUP('Données projet'!$B$10,Paramètres!$A$1:$I$89,3,0)*VLOOKUP('Données projet'!$B$10,Paramètres!$A$1:$I$89,5,0)</f>
        <v>190.31999999999991</v>
      </c>
      <c r="AK71" s="14">
        <f t="shared" si="89"/>
        <v>47.61069337740188</v>
      </c>
      <c r="AL71" s="22">
        <f t="shared" si="58"/>
        <v>414.39595763230813</v>
      </c>
      <c r="AM71" s="62">
        <f t="shared" si="59"/>
        <v>679.84234175952702</v>
      </c>
      <c r="AN71" s="62">
        <f ca="1">AVERAGE(OFFSET($AM$3,0,0,'Données projet'!$E$10+1,1))-AVERAGE(OFFSET($H$3,0,0,'Données projet'!$E$10+1,1))</f>
        <v>252.45744983674379</v>
      </c>
      <c r="AO71" s="62">
        <f t="shared" si="90"/>
        <v>283.28099819802776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24.217002964957075</v>
      </c>
      <c r="AV71" s="23">
        <f>EXP(-LN(2)/25)*AV70+(1-EXP(-LN(2)/25))/(LN(2)/25)*Calculateur!AQ71*Calculateur!AS71*VLOOKUP('Données projet'!$B$10,Paramètres!$A$1:$I$89,3,0)*0.475*44/12</f>
        <v>4.1013397391222979</v>
      </c>
      <c r="AW71" s="23">
        <f>EXP(-LN(2)/2)*AW70+(1-EXP(-LN(2)/2))/(LN(2)/2)*AQ71*AT71*VLOOKUP('Données projet'!$B$10,Paramètres!$A$1:$I$89,3,0)*0.475*44/12</f>
        <v>0.23078064041225194</v>
      </c>
      <c r="AX71" s="23">
        <f t="shared" si="60"/>
        <v>28.549123344491626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243.99999999999989</v>
      </c>
      <c r="BE71" s="14">
        <f>BD71*VLOOKUP('Données projet'!$B$11,Paramètres!$A$1:$I$89,3,0)*VLOOKUP('Données projet'!$B$11,Paramètres!$A$1:$I$89,5,0)</f>
        <v>190.31999999999991</v>
      </c>
      <c r="BF71" s="14">
        <f t="shared" si="91"/>
        <v>47.61069337740188</v>
      </c>
      <c r="BG71" s="22">
        <f t="shared" si="61"/>
        <v>414.39595763230813</v>
      </c>
      <c r="BH71" s="62">
        <f t="shared" si="62"/>
        <v>679.84234175952702</v>
      </c>
      <c r="BI71" s="62">
        <f ca="1">AVERAGE(OFFSET($BH$3,0,0,'Données projet'!$E$11+1,1))-AVERAGE(OFFSET($H$3,0,0,'Données projet'!$E$11+1,1))</f>
        <v>252.45744983674379</v>
      </c>
      <c r="BJ71" s="62">
        <f t="shared" si="92"/>
        <v>283.28099819802776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24.217002964957075</v>
      </c>
      <c r="BQ71" s="23">
        <f>EXP(-LN(2)/25)*BQ70+(1-EXP(-LN(2)/25))/(LN(2)/25)*Calculateur!BL71*Calculateur!BN71*VLOOKUP('Données projet'!$B$11,Paramètres!$A$1:$I$89,3,0)*0.475*44/12</f>
        <v>4.1013397391222979</v>
      </c>
      <c r="BR71" s="23">
        <f>EXP(-LN(2)/2)*BR70+(1-EXP(-LN(2)/2))/(LN(2)/2)*BL71*BO71*VLOOKUP('Données projet'!$B$11,Paramètres!$A$1:$I$89,3,0)*0.475*44/12</f>
        <v>0.23078064041225194</v>
      </c>
      <c r="BS71" s="24">
        <f t="shared" si="63"/>
        <v>28.549123344491626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243.99999999999989</v>
      </c>
      <c r="BZ71" s="14">
        <f>BY71*VLOOKUP('Données projet'!$B$12,Paramètres!$A$1:$I$89,3,0)*VLOOKUP('Données projet'!$B$12,Paramètres!$A$1:$I$89,5,0)</f>
        <v>190.31999999999991</v>
      </c>
      <c r="CA71" s="14">
        <f t="shared" si="93"/>
        <v>47.61069337740188</v>
      </c>
      <c r="CB71" s="22">
        <f t="shared" si="64"/>
        <v>414.39595763230813</v>
      </c>
      <c r="CC71" s="62">
        <f t="shared" si="65"/>
        <v>679.84234175952702</v>
      </c>
      <c r="CD71" s="62">
        <f ca="1">AVERAGE(OFFSET($CC$3,0,0,'Données projet'!$E$12+1,1))-AVERAGE(OFFSET($H$3,0,0,'Données projet'!$E$12+1,1))</f>
        <v>252.45744983674379</v>
      </c>
      <c r="CE71" s="62">
        <f t="shared" si="94"/>
        <v>283.28099819802776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24.217002964957075</v>
      </c>
      <c r="CL71" s="23">
        <f>EXP(-LN(2)/25)*CL70+(1-EXP(-LN(2)/25))/(LN(2)/25)*Calculateur!CG71*Calculateur!CI71*VLOOKUP('Données projet'!$B$12,Paramètres!$A$1:$I$89,3,0)*0.475*44/12</f>
        <v>4.1013397391222979</v>
      </c>
      <c r="CM71" s="23">
        <f>EXP(-LN(2)/2)*CM70+(1-EXP(-LN(2)/2))/(LN(2)/2)*CG71*CJ71*VLOOKUP('Données projet'!$B$12,Paramètres!$A$1:$I$89,3,0)*0.475*44/12</f>
        <v>0.23078064041225194</v>
      </c>
      <c r="CN71" s="24">
        <f t="shared" si="66"/>
        <v>28.549123344491626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215.46880000000002</v>
      </c>
      <c r="O72" s="14">
        <f>N72*VLOOKUP('Données projet'!$B$9,Paramètres!$A$1:$I$89,3,0)*VLOOKUP('Données projet'!$B$9,Paramètres!$A$1:$I$89,5,0)</f>
        <v>100.83939840000001</v>
      </c>
      <c r="P72" s="14">
        <f t="shared" si="87"/>
        <v>27.161875252139833</v>
      </c>
      <c r="Q72" s="22">
        <f t="shared" si="54"/>
        <v>222.93555161081022</v>
      </c>
      <c r="R72" s="62">
        <f t="shared" si="55"/>
        <v>488.86571196087675</v>
      </c>
      <c r="S72" s="62">
        <f ca="1">AVERAGE(OFFSET($R$3,0,0,'Données projet'!$E$9+1,1))-AVERAGE(OFFSET($H$3,0,0,'Données projet'!$E$9+1,1))</f>
        <v>180.76388336802839</v>
      </c>
      <c r="T72" s="62">
        <f t="shared" si="88"/>
        <v>225.35030757566537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17.248047407572237</v>
      </c>
      <c r="AA72" s="23">
        <f>EXP(-LN(2)/25)*AA71+(1-EXP(-LN(2)/25))/(LN(2)/25)*Calculateur!V72*Calculateur!X72*VLOOKUP('Données projet'!$B$9,Paramètres!$A$1:$I$89,3,0)*0.475*44/12</f>
        <v>7.7542574083010596</v>
      </c>
      <c r="AB72" s="23">
        <f>EXP(-LN(2)/2)*AB71+(1-EXP(-LN(2)/2))/(LN(2)/2)*V72*Y72*VLOOKUP('Données projet'!$B$9,Paramètres!$A$1:$I$89,3,0)*0.475*44/12</f>
        <v>0.38912404254905153</v>
      </c>
      <c r="AC72" s="24">
        <f t="shared" si="57"/>
        <v>25.391428858422348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243.99999999999989</v>
      </c>
      <c r="AJ72" s="14">
        <f>AI72*VLOOKUP('Données projet'!$B$10,Paramètres!$A$1:$I$89,3,0)*VLOOKUP('Données projet'!$B$10,Paramètres!$A$1:$I$89,5,0)</f>
        <v>190.31999999999991</v>
      </c>
      <c r="AK72" s="14">
        <f t="shared" si="89"/>
        <v>47.61069337740188</v>
      </c>
      <c r="AL72" s="22">
        <f t="shared" si="58"/>
        <v>414.39595763230813</v>
      </c>
      <c r="AM72" s="62">
        <f t="shared" si="59"/>
        <v>680.32611798237463</v>
      </c>
      <c r="AN72" s="62">
        <f ca="1">AVERAGE(OFFSET($AM$3,0,0,'Données projet'!$E$10+1,1))-AVERAGE(OFFSET($H$3,0,0,'Données projet'!$E$10+1,1))</f>
        <v>252.45744983674379</v>
      </c>
      <c r="AO72" s="62">
        <f t="shared" si="90"/>
        <v>283.28099819802776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23.74212230772757</v>
      </c>
      <c r="AV72" s="23">
        <f>EXP(-LN(2)/25)*AV71+(1-EXP(-LN(2)/25))/(LN(2)/25)*Calculateur!AQ72*Calculateur!AS72*VLOOKUP('Données projet'!$B$10,Paramètres!$A$1:$I$89,3,0)*0.475*44/12</f>
        <v>3.9891883882759154</v>
      </c>
      <c r="AW72" s="23">
        <f>EXP(-LN(2)/2)*AW71+(1-EXP(-LN(2)/2))/(LN(2)/2)*AQ72*AT72*VLOOKUP('Données projet'!$B$10,Paramètres!$A$1:$I$89,3,0)*0.475*44/12</f>
        <v>0.16318655580207755</v>
      </c>
      <c r="AX72" s="23">
        <f t="shared" si="60"/>
        <v>27.894497251805564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243.99999999999989</v>
      </c>
      <c r="BE72" s="14">
        <f>BD72*VLOOKUP('Données projet'!$B$11,Paramètres!$A$1:$I$89,3,0)*VLOOKUP('Données projet'!$B$11,Paramètres!$A$1:$I$89,5,0)</f>
        <v>190.31999999999991</v>
      </c>
      <c r="BF72" s="14">
        <f t="shared" si="91"/>
        <v>47.61069337740188</v>
      </c>
      <c r="BG72" s="22">
        <f t="shared" si="61"/>
        <v>414.39595763230813</v>
      </c>
      <c r="BH72" s="62">
        <f t="shared" si="62"/>
        <v>680.32611798237463</v>
      </c>
      <c r="BI72" s="62">
        <f ca="1">AVERAGE(OFFSET($BH$3,0,0,'Données projet'!$E$11+1,1))-AVERAGE(OFFSET($H$3,0,0,'Données projet'!$E$11+1,1))</f>
        <v>252.45744983674379</v>
      </c>
      <c r="BJ72" s="62">
        <f t="shared" si="92"/>
        <v>283.28099819802776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23.74212230772757</v>
      </c>
      <c r="BQ72" s="23">
        <f>EXP(-LN(2)/25)*BQ71+(1-EXP(-LN(2)/25))/(LN(2)/25)*Calculateur!BL72*Calculateur!BN72*VLOOKUP('Données projet'!$B$11,Paramètres!$A$1:$I$89,3,0)*0.475*44/12</f>
        <v>3.9891883882759154</v>
      </c>
      <c r="BR72" s="23">
        <f>EXP(-LN(2)/2)*BR71+(1-EXP(-LN(2)/2))/(LN(2)/2)*BL72*BO72*VLOOKUP('Données projet'!$B$11,Paramètres!$A$1:$I$89,3,0)*0.475*44/12</f>
        <v>0.16318655580207755</v>
      </c>
      <c r="BS72" s="24">
        <f t="shared" si="63"/>
        <v>27.894497251805564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243.99999999999989</v>
      </c>
      <c r="BZ72" s="14">
        <f>BY72*VLOOKUP('Données projet'!$B$12,Paramètres!$A$1:$I$89,3,0)*VLOOKUP('Données projet'!$B$12,Paramètres!$A$1:$I$89,5,0)</f>
        <v>190.31999999999991</v>
      </c>
      <c r="CA72" s="14">
        <f t="shared" si="93"/>
        <v>47.61069337740188</v>
      </c>
      <c r="CB72" s="22">
        <f t="shared" si="64"/>
        <v>414.39595763230813</v>
      </c>
      <c r="CC72" s="62">
        <f t="shared" si="65"/>
        <v>680.32611798237463</v>
      </c>
      <c r="CD72" s="62">
        <f ca="1">AVERAGE(OFFSET($CC$3,0,0,'Données projet'!$E$12+1,1))-AVERAGE(OFFSET($H$3,0,0,'Données projet'!$E$12+1,1))</f>
        <v>252.45744983674379</v>
      </c>
      <c r="CE72" s="62">
        <f t="shared" si="94"/>
        <v>283.28099819802776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23.74212230772757</v>
      </c>
      <c r="CL72" s="23">
        <f>EXP(-LN(2)/25)*CL71+(1-EXP(-LN(2)/25))/(LN(2)/25)*Calculateur!CG72*Calculateur!CI72*VLOOKUP('Données projet'!$B$12,Paramètres!$A$1:$I$89,3,0)*0.475*44/12</f>
        <v>3.9891883882759154</v>
      </c>
      <c r="CM72" s="23">
        <f>EXP(-LN(2)/2)*CM71+(1-EXP(-LN(2)/2))/(LN(2)/2)*CG72*CJ72*VLOOKUP('Données projet'!$B$12,Paramètres!$A$1:$I$89,3,0)*0.475*44/12</f>
        <v>0.16318655580207755</v>
      </c>
      <c r="CN72" s="24">
        <f t="shared" si="66"/>
        <v>27.894497251805564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215.46880000000002</v>
      </c>
      <c r="O73" s="14">
        <f>N73*VLOOKUP('Données projet'!$B$9,Paramètres!$A$1:$I$89,3,0)*VLOOKUP('Données projet'!$B$9,Paramètres!$A$1:$I$89,5,0)</f>
        <v>100.83939840000001</v>
      </c>
      <c r="P73" s="14">
        <f t="shared" si="87"/>
        <v>27.161875252139833</v>
      </c>
      <c r="Q73" s="22">
        <f t="shared" si="54"/>
        <v>222.93555161081022</v>
      </c>
      <c r="R73" s="62">
        <f t="shared" si="55"/>
        <v>489.34109574781974</v>
      </c>
      <c r="S73" s="62">
        <f ca="1">AVERAGE(OFFSET($R$3,0,0,'Données projet'!$E$9+1,1))-AVERAGE(OFFSET($H$3,0,0,'Données projet'!$E$9+1,1))</f>
        <v>180.76388336802839</v>
      </c>
      <c r="T73" s="62">
        <f t="shared" si="88"/>
        <v>225.35030757566537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16.909823718179872</v>
      </c>
      <c r="AA73" s="23">
        <f>EXP(-LN(2)/25)*AA72+(1-EXP(-LN(2)/25))/(LN(2)/25)*Calculateur!V73*Calculateur!X73*VLOOKUP('Données projet'!$B$9,Paramètres!$A$1:$I$89,3,0)*0.475*44/12</f>
        <v>7.542216831692393</v>
      </c>
      <c r="AB73" s="23">
        <f>EXP(-LN(2)/2)*AB72+(1-EXP(-LN(2)/2))/(LN(2)/2)*V73*Y73*VLOOKUP('Données projet'!$B$9,Paramètres!$A$1:$I$89,3,0)*0.475*44/12</f>
        <v>0.27515224920915698</v>
      </c>
      <c r="AC73" s="24">
        <f t="shared" si="57"/>
        <v>24.727192799081422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243.99999999999989</v>
      </c>
      <c r="AJ73" s="14">
        <f>AI73*VLOOKUP('Données projet'!$B$10,Paramètres!$A$1:$I$89,3,0)*VLOOKUP('Données projet'!$B$10,Paramètres!$A$1:$I$89,5,0)</f>
        <v>190.31999999999991</v>
      </c>
      <c r="AK73" s="14">
        <f t="shared" si="89"/>
        <v>47.61069337740188</v>
      </c>
      <c r="AL73" s="22">
        <f t="shared" si="58"/>
        <v>414.39595763230813</v>
      </c>
      <c r="AM73" s="62">
        <f t="shared" si="59"/>
        <v>680.80150176931761</v>
      </c>
      <c r="AN73" s="62">
        <f ca="1">AVERAGE(OFFSET($AM$3,0,0,'Données projet'!$E$10+1,1))-AVERAGE(OFFSET($H$3,0,0,'Données projet'!$E$10+1,1))</f>
        <v>252.45744983674379</v>
      </c>
      <c r="AO73" s="62">
        <f t="shared" si="90"/>
        <v>283.28099819802776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23.276553770537735</v>
      </c>
      <c r="AV73" s="23">
        <f>EXP(-LN(2)/25)*AV72+(1-EXP(-LN(2)/25))/(LN(2)/25)*Calculateur!AQ73*Calculateur!AS73*VLOOKUP('Données projet'!$B$10,Paramètres!$A$1:$I$89,3,0)*0.475*44/12</f>
        <v>3.8801038220162107</v>
      </c>
      <c r="AW73" s="23">
        <f>EXP(-LN(2)/2)*AW72+(1-EXP(-LN(2)/2))/(LN(2)/2)*AQ73*AT73*VLOOKUP('Données projet'!$B$10,Paramètres!$A$1:$I$89,3,0)*0.475*44/12</f>
        <v>0.11539032020612598</v>
      </c>
      <c r="AX73" s="23">
        <f t="shared" si="60"/>
        <v>27.272047912760069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243.99999999999989</v>
      </c>
      <c r="BE73" s="14">
        <f>BD73*VLOOKUP('Données projet'!$B$11,Paramètres!$A$1:$I$89,3,0)*VLOOKUP('Données projet'!$B$11,Paramètres!$A$1:$I$89,5,0)</f>
        <v>190.31999999999991</v>
      </c>
      <c r="BF73" s="14">
        <f t="shared" si="91"/>
        <v>47.61069337740188</v>
      </c>
      <c r="BG73" s="22">
        <f t="shared" si="61"/>
        <v>414.39595763230813</v>
      </c>
      <c r="BH73" s="62">
        <f t="shared" si="62"/>
        <v>680.80150176931761</v>
      </c>
      <c r="BI73" s="62">
        <f ca="1">AVERAGE(OFFSET($BH$3,0,0,'Données projet'!$E$11+1,1))-AVERAGE(OFFSET($H$3,0,0,'Données projet'!$E$11+1,1))</f>
        <v>252.45744983674379</v>
      </c>
      <c r="BJ73" s="62">
        <f t="shared" si="92"/>
        <v>283.28099819802776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23.276553770537735</v>
      </c>
      <c r="BQ73" s="23">
        <f>EXP(-LN(2)/25)*BQ72+(1-EXP(-LN(2)/25))/(LN(2)/25)*Calculateur!BL73*Calculateur!BN73*VLOOKUP('Données projet'!$B$11,Paramètres!$A$1:$I$89,3,0)*0.475*44/12</f>
        <v>3.8801038220162107</v>
      </c>
      <c r="BR73" s="23">
        <f>EXP(-LN(2)/2)*BR72+(1-EXP(-LN(2)/2))/(LN(2)/2)*BL73*BO73*VLOOKUP('Données projet'!$B$11,Paramètres!$A$1:$I$89,3,0)*0.475*44/12</f>
        <v>0.11539032020612598</v>
      </c>
      <c r="BS73" s="24">
        <f t="shared" si="63"/>
        <v>27.272047912760069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243.99999999999989</v>
      </c>
      <c r="BZ73" s="14">
        <f>BY73*VLOOKUP('Données projet'!$B$12,Paramètres!$A$1:$I$89,3,0)*VLOOKUP('Données projet'!$B$12,Paramètres!$A$1:$I$89,5,0)</f>
        <v>190.31999999999991</v>
      </c>
      <c r="CA73" s="14">
        <f t="shared" si="93"/>
        <v>47.61069337740188</v>
      </c>
      <c r="CB73" s="22">
        <f t="shared" si="64"/>
        <v>414.39595763230813</v>
      </c>
      <c r="CC73" s="62">
        <f t="shared" si="65"/>
        <v>680.80150176931761</v>
      </c>
      <c r="CD73" s="62">
        <f ca="1">AVERAGE(OFFSET($CC$3,0,0,'Données projet'!$E$12+1,1))-AVERAGE(OFFSET($H$3,0,0,'Données projet'!$E$12+1,1))</f>
        <v>252.45744983674379</v>
      </c>
      <c r="CE73" s="62">
        <f t="shared" si="94"/>
        <v>283.28099819802776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23.276553770537735</v>
      </c>
      <c r="CL73" s="23">
        <f>EXP(-LN(2)/25)*CL72+(1-EXP(-LN(2)/25))/(LN(2)/25)*Calculateur!CG73*Calculateur!CI73*VLOOKUP('Données projet'!$B$12,Paramètres!$A$1:$I$89,3,0)*0.475*44/12</f>
        <v>3.8801038220162107</v>
      </c>
      <c r="CM73" s="23">
        <f>EXP(-LN(2)/2)*CM72+(1-EXP(-LN(2)/2))/(LN(2)/2)*CG73*CJ73*VLOOKUP('Données projet'!$B$12,Paramètres!$A$1:$I$89,3,0)*0.475*44/12</f>
        <v>0.11539032020612598</v>
      </c>
      <c r="CN73" s="24">
        <f t="shared" si="66"/>
        <v>27.272047912760069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215.46880000000002</v>
      </c>
      <c r="O74" s="14">
        <f>N74*VLOOKUP('Données projet'!$B$9,Paramètres!$A$1:$I$89,3,0)*VLOOKUP('Données projet'!$B$9,Paramètres!$A$1:$I$89,5,0)</f>
        <v>100.83939840000001</v>
      </c>
      <c r="P74" s="14">
        <f t="shared" si="87"/>
        <v>27.161875252139833</v>
      </c>
      <c r="Q74" s="22">
        <f t="shared" si="54"/>
        <v>222.93555161081022</v>
      </c>
      <c r="R74" s="62">
        <f t="shared" si="55"/>
        <v>489.8082326888582</v>
      </c>
      <c r="S74" s="62">
        <f ca="1">AVERAGE(OFFSET($R$3,0,0,'Données projet'!$E$9+1,1))-AVERAGE(OFFSET($H$3,0,0,'Données projet'!$E$9+1,1))</f>
        <v>180.76388336802839</v>
      </c>
      <c r="T74" s="62">
        <f t="shared" si="88"/>
        <v>225.35030757566537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16.578232389040412</v>
      </c>
      <c r="AA74" s="23">
        <f>EXP(-LN(2)/25)*AA73+(1-EXP(-LN(2)/25))/(LN(2)/25)*Calculateur!V74*Calculateur!X74*VLOOKUP('Données projet'!$B$9,Paramètres!$A$1:$I$89,3,0)*0.475*44/12</f>
        <v>7.3359745158018193</v>
      </c>
      <c r="AB74" s="23">
        <f>EXP(-LN(2)/2)*AB73+(1-EXP(-LN(2)/2))/(LN(2)/2)*V74*Y74*VLOOKUP('Données projet'!$B$9,Paramètres!$A$1:$I$89,3,0)*0.475*44/12</f>
        <v>0.19456202127452576</v>
      </c>
      <c r="AC74" s="24">
        <f t="shared" si="57"/>
        <v>24.108768926116756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243.99999999999989</v>
      </c>
      <c r="AJ74" s="14">
        <f>AI74*VLOOKUP('Données projet'!$B$10,Paramètres!$A$1:$I$89,3,0)*VLOOKUP('Données projet'!$B$10,Paramètres!$A$1:$I$89,5,0)</f>
        <v>190.31999999999991</v>
      </c>
      <c r="AK74" s="14">
        <f t="shared" si="89"/>
        <v>47.61069337740188</v>
      </c>
      <c r="AL74" s="22">
        <f t="shared" si="58"/>
        <v>414.39595763230813</v>
      </c>
      <c r="AM74" s="62">
        <f t="shared" si="59"/>
        <v>681.26863871035607</v>
      </c>
      <c r="AN74" s="62">
        <f ca="1">AVERAGE(OFFSET($AM$3,0,0,'Données projet'!$E$10+1,1))-AVERAGE(OFFSET($H$3,0,0,'Données projet'!$E$10+1,1))</f>
        <v>252.45744983674379</v>
      </c>
      <c r="AO74" s="62">
        <f t="shared" si="90"/>
        <v>283.28099819802776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22.820114748393422</v>
      </c>
      <c r="AV74" s="23">
        <f>EXP(-LN(2)/25)*AV73+(1-EXP(-LN(2)/25))/(LN(2)/25)*Calculateur!AQ74*Calculateur!AS74*VLOOKUP('Données projet'!$B$10,Paramètres!$A$1:$I$89,3,0)*0.475*44/12</f>
        <v>3.7740021789573857</v>
      </c>
      <c r="AW74" s="23">
        <f>EXP(-LN(2)/2)*AW73+(1-EXP(-LN(2)/2))/(LN(2)/2)*AQ74*AT74*VLOOKUP('Données projet'!$B$10,Paramètres!$A$1:$I$89,3,0)*0.475*44/12</f>
        <v>8.1593277901038777E-2</v>
      </c>
      <c r="AX74" s="23">
        <f t="shared" si="60"/>
        <v>26.675710205251846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243.99999999999989</v>
      </c>
      <c r="BE74" s="14">
        <f>BD74*VLOOKUP('Données projet'!$B$11,Paramètres!$A$1:$I$89,3,0)*VLOOKUP('Données projet'!$B$11,Paramètres!$A$1:$I$89,5,0)</f>
        <v>190.31999999999991</v>
      </c>
      <c r="BF74" s="14">
        <f t="shared" si="91"/>
        <v>47.61069337740188</v>
      </c>
      <c r="BG74" s="22">
        <f t="shared" si="61"/>
        <v>414.39595763230813</v>
      </c>
      <c r="BH74" s="62">
        <f t="shared" si="62"/>
        <v>681.26863871035607</v>
      </c>
      <c r="BI74" s="62">
        <f ca="1">AVERAGE(OFFSET($BH$3,0,0,'Données projet'!$E$11+1,1))-AVERAGE(OFFSET($H$3,0,0,'Données projet'!$E$11+1,1))</f>
        <v>252.45744983674379</v>
      </c>
      <c r="BJ74" s="62">
        <f t="shared" si="92"/>
        <v>283.28099819802776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22.820114748393422</v>
      </c>
      <c r="BQ74" s="23">
        <f>EXP(-LN(2)/25)*BQ73+(1-EXP(-LN(2)/25))/(LN(2)/25)*Calculateur!BL74*Calculateur!BN74*VLOOKUP('Données projet'!$B$11,Paramètres!$A$1:$I$89,3,0)*0.475*44/12</f>
        <v>3.7740021789573857</v>
      </c>
      <c r="BR74" s="23">
        <f>EXP(-LN(2)/2)*BR73+(1-EXP(-LN(2)/2))/(LN(2)/2)*BL74*BO74*VLOOKUP('Données projet'!$B$11,Paramètres!$A$1:$I$89,3,0)*0.475*44/12</f>
        <v>8.1593277901038777E-2</v>
      </c>
      <c r="BS74" s="24">
        <f t="shared" si="63"/>
        <v>26.675710205251846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243.99999999999989</v>
      </c>
      <c r="BZ74" s="14">
        <f>BY74*VLOOKUP('Données projet'!$B$12,Paramètres!$A$1:$I$89,3,0)*VLOOKUP('Données projet'!$B$12,Paramètres!$A$1:$I$89,5,0)</f>
        <v>190.31999999999991</v>
      </c>
      <c r="CA74" s="14">
        <f t="shared" si="93"/>
        <v>47.61069337740188</v>
      </c>
      <c r="CB74" s="22">
        <f t="shared" si="64"/>
        <v>414.39595763230813</v>
      </c>
      <c r="CC74" s="62">
        <f t="shared" si="65"/>
        <v>681.26863871035607</v>
      </c>
      <c r="CD74" s="62">
        <f ca="1">AVERAGE(OFFSET($CC$3,0,0,'Données projet'!$E$12+1,1))-AVERAGE(OFFSET($H$3,0,0,'Données projet'!$E$12+1,1))</f>
        <v>252.45744983674379</v>
      </c>
      <c r="CE74" s="62">
        <f t="shared" si="94"/>
        <v>283.28099819802776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22.820114748393422</v>
      </c>
      <c r="CL74" s="23">
        <f>EXP(-LN(2)/25)*CL73+(1-EXP(-LN(2)/25))/(LN(2)/25)*Calculateur!CG74*Calculateur!CI74*VLOOKUP('Données projet'!$B$12,Paramètres!$A$1:$I$89,3,0)*0.475*44/12</f>
        <v>3.7740021789573857</v>
      </c>
      <c r="CM74" s="23">
        <f>EXP(-LN(2)/2)*CM73+(1-EXP(-LN(2)/2))/(LN(2)/2)*CG74*CJ74*VLOOKUP('Données projet'!$B$12,Paramètres!$A$1:$I$89,3,0)*0.475*44/12</f>
        <v>8.1593277901038777E-2</v>
      </c>
      <c r="CN74" s="24">
        <f t="shared" si="66"/>
        <v>26.675710205251846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215.46880000000002</v>
      </c>
      <c r="O75" s="14">
        <f>N75*VLOOKUP('Données projet'!$B$9,Paramètres!$A$1:$I$89,3,0)*VLOOKUP('Données projet'!$B$9,Paramètres!$A$1:$I$89,5,0)</f>
        <v>100.83939840000001</v>
      </c>
      <c r="P75" s="14">
        <f t="shared" si="87"/>
        <v>27.161875252139833</v>
      </c>
      <c r="Q75" s="22">
        <f t="shared" si="54"/>
        <v>222.93555161081022</v>
      </c>
      <c r="R75" s="62">
        <f t="shared" si="55"/>
        <v>490.26726584833136</v>
      </c>
      <c r="S75" s="62">
        <f ca="1">AVERAGE(OFFSET($R$3,0,0,'Données projet'!$E$9+1,1))-AVERAGE(OFFSET($H$3,0,0,'Données projet'!$E$9+1,1))</f>
        <v>180.76388336802839</v>
      </c>
      <c r="T75" s="62">
        <f t="shared" si="88"/>
        <v>225.35030757566537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16.253143363614637</v>
      </c>
      <c r="AA75" s="23">
        <f>EXP(-LN(2)/25)*AA74+(1-EXP(-LN(2)/25))/(LN(2)/25)*Calculateur!V75*Calculateur!X75*VLOOKUP('Données projet'!$B$9,Paramètres!$A$1:$I$89,3,0)*0.475*44/12</f>
        <v>7.1353719068850854</v>
      </c>
      <c r="AB75" s="23">
        <f>EXP(-LN(2)/2)*AB74+(1-EXP(-LN(2)/2))/(LN(2)/2)*V75*Y75*VLOOKUP('Données projet'!$B$9,Paramètres!$A$1:$I$89,3,0)*0.475*44/12</f>
        <v>0.13757612460457849</v>
      </c>
      <c r="AC75" s="24">
        <f t="shared" si="57"/>
        <v>23.526091395104302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243.99999999999989</v>
      </c>
      <c r="AJ75" s="14">
        <f>AI75*VLOOKUP('Données projet'!$B$10,Paramètres!$A$1:$I$89,3,0)*VLOOKUP('Données projet'!$B$10,Paramètres!$A$1:$I$89,5,0)</f>
        <v>190.31999999999991</v>
      </c>
      <c r="AK75" s="14">
        <f t="shared" si="89"/>
        <v>47.61069337740188</v>
      </c>
      <c r="AL75" s="22">
        <f t="shared" si="58"/>
        <v>414.39595763230813</v>
      </c>
      <c r="AM75" s="62">
        <f t="shared" si="59"/>
        <v>681.72767186982924</v>
      </c>
      <c r="AN75" s="62">
        <f ca="1">AVERAGE(OFFSET($AM$3,0,0,'Données projet'!$E$10+1,1))-AVERAGE(OFFSET($H$3,0,0,'Données projet'!$E$10+1,1))</f>
        <v>252.45744983674379</v>
      </c>
      <c r="AO75" s="62">
        <f t="shared" si="90"/>
        <v>283.28099819802776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22.372626217073048</v>
      </c>
      <c r="AV75" s="23">
        <f>EXP(-LN(2)/25)*AV74+(1-EXP(-LN(2)/25))/(LN(2)/25)*Calculateur!AQ75*Calculateur!AS75*VLOOKUP('Données projet'!$B$10,Paramètres!$A$1:$I$89,3,0)*0.475*44/12</f>
        <v>3.6708018909076467</v>
      </c>
      <c r="AW75" s="23">
        <f>EXP(-LN(2)/2)*AW74+(1-EXP(-LN(2)/2))/(LN(2)/2)*AQ75*AT75*VLOOKUP('Données projet'!$B$10,Paramètres!$A$1:$I$89,3,0)*0.475*44/12</f>
        <v>5.7695160103062991E-2</v>
      </c>
      <c r="AX75" s="23">
        <f t="shared" si="60"/>
        <v>26.101123268083757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243.99999999999989</v>
      </c>
      <c r="BE75" s="14">
        <f>BD75*VLOOKUP('Données projet'!$B$11,Paramètres!$A$1:$I$89,3,0)*VLOOKUP('Données projet'!$B$11,Paramètres!$A$1:$I$89,5,0)</f>
        <v>190.31999999999991</v>
      </c>
      <c r="BF75" s="14">
        <f t="shared" si="91"/>
        <v>47.61069337740188</v>
      </c>
      <c r="BG75" s="22">
        <f t="shared" si="61"/>
        <v>414.39595763230813</v>
      </c>
      <c r="BH75" s="62">
        <f t="shared" si="62"/>
        <v>681.72767186982924</v>
      </c>
      <c r="BI75" s="62">
        <f ca="1">AVERAGE(OFFSET($BH$3,0,0,'Données projet'!$E$11+1,1))-AVERAGE(OFFSET($H$3,0,0,'Données projet'!$E$11+1,1))</f>
        <v>252.45744983674379</v>
      </c>
      <c r="BJ75" s="62">
        <f t="shared" si="92"/>
        <v>283.28099819802776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22.372626217073048</v>
      </c>
      <c r="BQ75" s="23">
        <f>EXP(-LN(2)/25)*BQ74+(1-EXP(-LN(2)/25))/(LN(2)/25)*Calculateur!BL75*Calculateur!BN75*VLOOKUP('Données projet'!$B$11,Paramètres!$A$1:$I$89,3,0)*0.475*44/12</f>
        <v>3.6708018909076467</v>
      </c>
      <c r="BR75" s="23">
        <f>EXP(-LN(2)/2)*BR74+(1-EXP(-LN(2)/2))/(LN(2)/2)*BL75*BO75*VLOOKUP('Données projet'!$B$11,Paramètres!$A$1:$I$89,3,0)*0.475*44/12</f>
        <v>5.7695160103062991E-2</v>
      </c>
      <c r="BS75" s="24">
        <f t="shared" si="63"/>
        <v>26.101123268083757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243.99999999999989</v>
      </c>
      <c r="BZ75" s="14">
        <f>BY75*VLOOKUP('Données projet'!$B$12,Paramètres!$A$1:$I$89,3,0)*VLOOKUP('Données projet'!$B$12,Paramètres!$A$1:$I$89,5,0)</f>
        <v>190.31999999999991</v>
      </c>
      <c r="CA75" s="14">
        <f t="shared" si="93"/>
        <v>47.61069337740188</v>
      </c>
      <c r="CB75" s="22">
        <f t="shared" si="64"/>
        <v>414.39595763230813</v>
      </c>
      <c r="CC75" s="62">
        <f t="shared" si="65"/>
        <v>681.72767186982924</v>
      </c>
      <c r="CD75" s="62">
        <f ca="1">AVERAGE(OFFSET($CC$3,0,0,'Données projet'!$E$12+1,1))-AVERAGE(OFFSET($H$3,0,0,'Données projet'!$E$12+1,1))</f>
        <v>252.45744983674379</v>
      </c>
      <c r="CE75" s="62">
        <f t="shared" si="94"/>
        <v>283.28099819802776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22.372626217073048</v>
      </c>
      <c r="CL75" s="23">
        <f>EXP(-LN(2)/25)*CL74+(1-EXP(-LN(2)/25))/(LN(2)/25)*Calculateur!CG75*Calculateur!CI75*VLOOKUP('Données projet'!$B$12,Paramètres!$A$1:$I$89,3,0)*0.475*44/12</f>
        <v>3.6708018909076467</v>
      </c>
      <c r="CM75" s="23">
        <f>EXP(-LN(2)/2)*CM74+(1-EXP(-LN(2)/2))/(LN(2)/2)*CG75*CJ75*VLOOKUP('Données projet'!$B$12,Paramètres!$A$1:$I$89,3,0)*0.475*44/12</f>
        <v>5.7695160103062991E-2</v>
      </c>
      <c r="CN75" s="24">
        <f t="shared" si="66"/>
        <v>26.101123268083757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215.46880000000002</v>
      </c>
      <c r="O76" s="14">
        <f>N76*VLOOKUP('Données projet'!$B$9,Paramètres!$A$1:$I$89,3,0)*VLOOKUP('Données projet'!$B$9,Paramètres!$A$1:$I$89,5,0)</f>
        <v>100.83939840000001</v>
      </c>
      <c r="P76" s="14">
        <f t="shared" si="87"/>
        <v>27.161875252139833</v>
      </c>
      <c r="Q76" s="22">
        <f t="shared" si="54"/>
        <v>222.93555161081022</v>
      </c>
      <c r="R76" s="62">
        <f t="shared" si="55"/>
        <v>490.71833580873204</v>
      </c>
      <c r="S76" s="62">
        <f ca="1">AVERAGE(OFFSET($R$3,0,0,'Données projet'!$E$9+1,1))-AVERAGE(OFFSET($H$3,0,0,'Données projet'!$E$9+1,1))</f>
        <v>180.76388336802839</v>
      </c>
      <c r="T76" s="62">
        <f t="shared" si="88"/>
        <v>225.35030757566537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15.934429135692735</v>
      </c>
      <c r="AA76" s="23">
        <f>EXP(-LN(2)/25)*AA75+(1-EXP(-LN(2)/25))/(LN(2)/25)*Calculateur!V76*Calculateur!X76*VLOOKUP('Données projet'!$B$9,Paramètres!$A$1:$I$89,3,0)*0.475*44/12</f>
        <v>6.9402547868584126</v>
      </c>
      <c r="AB76" s="23">
        <f>EXP(-LN(2)/2)*AB75+(1-EXP(-LN(2)/2))/(LN(2)/2)*V76*Y76*VLOOKUP('Données projet'!$B$9,Paramètres!$A$1:$I$89,3,0)*0.475*44/12</f>
        <v>9.7281010637262882E-2</v>
      </c>
      <c r="AC76" s="24">
        <f t="shared" si="57"/>
        <v>22.971964933188413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243.99999999999989</v>
      </c>
      <c r="AJ76" s="14">
        <f>AI76*VLOOKUP('Données projet'!$B$10,Paramètres!$A$1:$I$89,3,0)*VLOOKUP('Données projet'!$B$10,Paramètres!$A$1:$I$89,5,0)</f>
        <v>190.31999999999991</v>
      </c>
      <c r="AK76" s="14">
        <f t="shared" si="89"/>
        <v>47.61069337740188</v>
      </c>
      <c r="AL76" s="22">
        <f t="shared" si="58"/>
        <v>414.39595763230813</v>
      </c>
      <c r="AM76" s="62">
        <f t="shared" si="59"/>
        <v>682.17874183022991</v>
      </c>
      <c r="AN76" s="62">
        <f ca="1">AVERAGE(OFFSET($AM$3,0,0,'Données projet'!$E$10+1,1))-AVERAGE(OFFSET($H$3,0,0,'Données projet'!$E$10+1,1))</f>
        <v>252.45744983674379</v>
      </c>
      <c r="AO76" s="62">
        <f t="shared" si="90"/>
        <v>283.28099819802776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21.93391266291081</v>
      </c>
      <c r="AV76" s="23">
        <f>EXP(-LN(2)/25)*AV75+(1-EXP(-LN(2)/25))/(LN(2)/25)*Calculateur!AQ76*Calculateur!AS76*VLOOKUP('Données projet'!$B$10,Paramètres!$A$1:$I$89,3,0)*0.475*44/12</f>
        <v>3.5704236201616952</v>
      </c>
      <c r="AW76" s="23">
        <f>EXP(-LN(2)/2)*AW75+(1-EXP(-LN(2)/2))/(LN(2)/2)*AQ76*AT76*VLOOKUP('Données projet'!$B$10,Paramètres!$A$1:$I$89,3,0)*0.475*44/12</f>
        <v>4.0796638950519389E-2</v>
      </c>
      <c r="AX76" s="23">
        <f t="shared" si="60"/>
        <v>25.545132922023022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243.99999999999989</v>
      </c>
      <c r="BE76" s="14">
        <f>BD76*VLOOKUP('Données projet'!$B$11,Paramètres!$A$1:$I$89,3,0)*VLOOKUP('Données projet'!$B$11,Paramètres!$A$1:$I$89,5,0)</f>
        <v>190.31999999999991</v>
      </c>
      <c r="BF76" s="14">
        <f t="shared" si="91"/>
        <v>47.61069337740188</v>
      </c>
      <c r="BG76" s="22">
        <f t="shared" si="61"/>
        <v>414.39595763230813</v>
      </c>
      <c r="BH76" s="62">
        <f t="shared" si="62"/>
        <v>682.17874183022991</v>
      </c>
      <c r="BI76" s="62">
        <f ca="1">AVERAGE(OFFSET($BH$3,0,0,'Données projet'!$E$11+1,1))-AVERAGE(OFFSET($H$3,0,0,'Données projet'!$E$11+1,1))</f>
        <v>252.45744983674379</v>
      </c>
      <c r="BJ76" s="62">
        <f t="shared" si="92"/>
        <v>283.28099819802776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21.93391266291081</v>
      </c>
      <c r="BQ76" s="23">
        <f>EXP(-LN(2)/25)*BQ75+(1-EXP(-LN(2)/25))/(LN(2)/25)*Calculateur!BL76*Calculateur!BN76*VLOOKUP('Données projet'!$B$11,Paramètres!$A$1:$I$89,3,0)*0.475*44/12</f>
        <v>3.5704236201616952</v>
      </c>
      <c r="BR76" s="23">
        <f>EXP(-LN(2)/2)*BR75+(1-EXP(-LN(2)/2))/(LN(2)/2)*BL76*BO76*VLOOKUP('Données projet'!$B$11,Paramètres!$A$1:$I$89,3,0)*0.475*44/12</f>
        <v>4.0796638950519389E-2</v>
      </c>
      <c r="BS76" s="24">
        <f t="shared" si="63"/>
        <v>25.545132922023022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243.99999999999989</v>
      </c>
      <c r="BZ76" s="14">
        <f>BY76*VLOOKUP('Données projet'!$B$12,Paramètres!$A$1:$I$89,3,0)*VLOOKUP('Données projet'!$B$12,Paramètres!$A$1:$I$89,5,0)</f>
        <v>190.31999999999991</v>
      </c>
      <c r="CA76" s="14">
        <f t="shared" si="93"/>
        <v>47.61069337740188</v>
      </c>
      <c r="CB76" s="22">
        <f t="shared" si="64"/>
        <v>414.39595763230813</v>
      </c>
      <c r="CC76" s="62">
        <f t="shared" si="65"/>
        <v>682.17874183022991</v>
      </c>
      <c r="CD76" s="62">
        <f ca="1">AVERAGE(OFFSET($CC$3,0,0,'Données projet'!$E$12+1,1))-AVERAGE(OFFSET($H$3,0,0,'Données projet'!$E$12+1,1))</f>
        <v>252.45744983674379</v>
      </c>
      <c r="CE76" s="62">
        <f t="shared" si="94"/>
        <v>283.28099819802776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21.93391266291081</v>
      </c>
      <c r="CL76" s="23">
        <f>EXP(-LN(2)/25)*CL75+(1-EXP(-LN(2)/25))/(LN(2)/25)*Calculateur!CG76*Calculateur!CI76*VLOOKUP('Données projet'!$B$12,Paramètres!$A$1:$I$89,3,0)*0.475*44/12</f>
        <v>3.5704236201616952</v>
      </c>
      <c r="CM76" s="23">
        <f>EXP(-LN(2)/2)*CM75+(1-EXP(-LN(2)/2))/(LN(2)/2)*CG76*CJ76*VLOOKUP('Données projet'!$B$12,Paramètres!$A$1:$I$89,3,0)*0.475*44/12</f>
        <v>4.0796638950519389E-2</v>
      </c>
      <c r="CN76" s="24">
        <f t="shared" si="66"/>
        <v>25.545132922023022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215.46880000000002</v>
      </c>
      <c r="O77" s="14">
        <f>N77*VLOOKUP('Données projet'!$B$9,Paramètres!$A$1:$I$89,3,0)*VLOOKUP('Données projet'!$B$9,Paramètres!$A$1:$I$89,5,0)</f>
        <v>100.83939840000001</v>
      </c>
      <c r="P77" s="14">
        <f t="shared" si="87"/>
        <v>27.161875252139833</v>
      </c>
      <c r="Q77" s="22">
        <f t="shared" si="54"/>
        <v>222.93555161081022</v>
      </c>
      <c r="R77" s="62">
        <f t="shared" si="55"/>
        <v>491.16158071376105</v>
      </c>
      <c r="S77" s="62">
        <f ca="1">AVERAGE(OFFSET($R$3,0,0,'Données projet'!$E$9+1,1))-AVERAGE(OFFSET($H$3,0,0,'Données projet'!$E$9+1,1))</f>
        <v>180.76388336802839</v>
      </c>
      <c r="T77" s="62">
        <f t="shared" si="88"/>
        <v>225.35030757566537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15.621964699383897</v>
      </c>
      <c r="AA77" s="23">
        <f>EXP(-LN(2)/25)*AA76+(1-EXP(-LN(2)/25))/(LN(2)/25)*Calculateur!V77*Calculateur!X77*VLOOKUP('Données projet'!$B$9,Paramètres!$A$1:$I$89,3,0)*0.475*44/12</f>
        <v>6.7504731547396322</v>
      </c>
      <c r="AB77" s="23">
        <f>EXP(-LN(2)/2)*AB76+(1-EXP(-LN(2)/2))/(LN(2)/2)*V77*Y77*VLOOKUP('Données projet'!$B$9,Paramètres!$A$1:$I$89,3,0)*0.475*44/12</f>
        <v>6.8788062302289246E-2</v>
      </c>
      <c r="AC77" s="24">
        <f t="shared" si="57"/>
        <v>22.441225916425818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243.99999999999989</v>
      </c>
      <c r="AJ77" s="14">
        <f>AI77*VLOOKUP('Données projet'!$B$10,Paramètres!$A$1:$I$89,3,0)*VLOOKUP('Données projet'!$B$10,Paramètres!$A$1:$I$89,5,0)</f>
        <v>190.31999999999991</v>
      </c>
      <c r="AK77" s="14">
        <f t="shared" si="89"/>
        <v>47.61069337740188</v>
      </c>
      <c r="AL77" s="22">
        <f t="shared" si="58"/>
        <v>414.39595763230813</v>
      </c>
      <c r="AM77" s="62">
        <f t="shared" si="59"/>
        <v>682.62198673525904</v>
      </c>
      <c r="AN77" s="62">
        <f ca="1">AVERAGE(OFFSET($AM$3,0,0,'Données projet'!$E$10+1,1))-AVERAGE(OFFSET($H$3,0,0,'Données projet'!$E$10+1,1))</f>
        <v>252.45744983674379</v>
      </c>
      <c r="AO77" s="62">
        <f t="shared" si="90"/>
        <v>283.28099819802776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21.50380201395685</v>
      </c>
      <c r="AV77" s="23">
        <f>EXP(-LN(2)/25)*AV76+(1-EXP(-LN(2)/25))/(LN(2)/25)*Calculateur!AQ77*Calculateur!AS77*VLOOKUP('Données projet'!$B$10,Paramètres!$A$1:$I$89,3,0)*0.475*44/12</f>
        <v>3.4727901985079557</v>
      </c>
      <c r="AW77" s="23">
        <f>EXP(-LN(2)/2)*AW76+(1-EXP(-LN(2)/2))/(LN(2)/2)*AQ77*AT77*VLOOKUP('Données projet'!$B$10,Paramètres!$A$1:$I$89,3,0)*0.475*44/12</f>
        <v>2.8847580051531495E-2</v>
      </c>
      <c r="AX77" s="23">
        <f t="shared" si="60"/>
        <v>25.005439792516338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243.99999999999989</v>
      </c>
      <c r="BE77" s="14">
        <f>BD77*VLOOKUP('Données projet'!$B$11,Paramètres!$A$1:$I$89,3,0)*VLOOKUP('Données projet'!$B$11,Paramètres!$A$1:$I$89,5,0)</f>
        <v>190.31999999999991</v>
      </c>
      <c r="BF77" s="14">
        <f t="shared" si="91"/>
        <v>47.61069337740188</v>
      </c>
      <c r="BG77" s="22">
        <f t="shared" si="61"/>
        <v>414.39595763230813</v>
      </c>
      <c r="BH77" s="62">
        <f t="shared" si="62"/>
        <v>682.62198673525904</v>
      </c>
      <c r="BI77" s="62">
        <f ca="1">AVERAGE(OFFSET($BH$3,0,0,'Données projet'!$E$11+1,1))-AVERAGE(OFFSET($H$3,0,0,'Données projet'!$E$11+1,1))</f>
        <v>252.45744983674379</v>
      </c>
      <c r="BJ77" s="62">
        <f t="shared" si="92"/>
        <v>283.28099819802776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21.50380201395685</v>
      </c>
      <c r="BQ77" s="23">
        <f>EXP(-LN(2)/25)*BQ76+(1-EXP(-LN(2)/25))/(LN(2)/25)*Calculateur!BL77*Calculateur!BN77*VLOOKUP('Données projet'!$B$11,Paramètres!$A$1:$I$89,3,0)*0.475*44/12</f>
        <v>3.4727901985079557</v>
      </c>
      <c r="BR77" s="23">
        <f>EXP(-LN(2)/2)*BR76+(1-EXP(-LN(2)/2))/(LN(2)/2)*BL77*BO77*VLOOKUP('Données projet'!$B$11,Paramètres!$A$1:$I$89,3,0)*0.475*44/12</f>
        <v>2.8847580051531495E-2</v>
      </c>
      <c r="BS77" s="24">
        <f t="shared" si="63"/>
        <v>25.005439792516338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243.99999999999989</v>
      </c>
      <c r="BZ77" s="14">
        <f>BY77*VLOOKUP('Données projet'!$B$12,Paramètres!$A$1:$I$89,3,0)*VLOOKUP('Données projet'!$B$12,Paramètres!$A$1:$I$89,5,0)</f>
        <v>190.31999999999991</v>
      </c>
      <c r="CA77" s="14">
        <f t="shared" si="93"/>
        <v>47.61069337740188</v>
      </c>
      <c r="CB77" s="22">
        <f t="shared" si="64"/>
        <v>414.39595763230813</v>
      </c>
      <c r="CC77" s="62">
        <f t="shared" si="65"/>
        <v>682.62198673525904</v>
      </c>
      <c r="CD77" s="62">
        <f ca="1">AVERAGE(OFFSET($CC$3,0,0,'Données projet'!$E$12+1,1))-AVERAGE(OFFSET($H$3,0,0,'Données projet'!$E$12+1,1))</f>
        <v>252.45744983674379</v>
      </c>
      <c r="CE77" s="62">
        <f t="shared" si="94"/>
        <v>283.28099819802776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21.50380201395685</v>
      </c>
      <c r="CL77" s="23">
        <f>EXP(-LN(2)/25)*CL76+(1-EXP(-LN(2)/25))/(LN(2)/25)*Calculateur!CG77*Calculateur!CI77*VLOOKUP('Données projet'!$B$12,Paramètres!$A$1:$I$89,3,0)*0.475*44/12</f>
        <v>3.4727901985079557</v>
      </c>
      <c r="CM77" s="23">
        <f>EXP(-LN(2)/2)*CM76+(1-EXP(-LN(2)/2))/(LN(2)/2)*CG77*CJ77*VLOOKUP('Données projet'!$B$12,Paramètres!$A$1:$I$89,3,0)*0.475*44/12</f>
        <v>2.8847580051531495E-2</v>
      </c>
      <c r="CN77" s="24">
        <f t="shared" si="66"/>
        <v>25.005439792516338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215.46880000000002</v>
      </c>
      <c r="O78" s="14">
        <f>N78*VLOOKUP('Données projet'!$B$9,Paramètres!$A$1:$I$89,3,0)*VLOOKUP('Données projet'!$B$9,Paramètres!$A$1:$I$89,5,0)</f>
        <v>100.83939840000001</v>
      </c>
      <c r="P78" s="14">
        <f t="shared" si="87"/>
        <v>27.161875252139833</v>
      </c>
      <c r="Q78" s="22">
        <f t="shared" si="54"/>
        <v>222.93555161081022</v>
      </c>
      <c r="R78" s="62">
        <f t="shared" si="55"/>
        <v>491.59713631063505</v>
      </c>
      <c r="S78" s="62">
        <f ca="1">AVERAGE(OFFSET($R$3,0,0,'Données projet'!$E$9+1,1))-AVERAGE(OFFSET($H$3,0,0,'Données projet'!$E$9+1,1))</f>
        <v>180.76388336802839</v>
      </c>
      <c r="T78" s="62">
        <f t="shared" si="88"/>
        <v>225.35030757566537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15.315627500086588</v>
      </c>
      <c r="AA78" s="23">
        <f>EXP(-LN(2)/25)*AA77+(1-EXP(-LN(2)/25))/(LN(2)/25)*Calculateur!V78*Calculateur!X78*VLOOKUP('Données projet'!$B$9,Paramètres!$A$1:$I$89,3,0)*0.475*44/12</f>
        <v>6.565881111331322</v>
      </c>
      <c r="AB78" s="23">
        <f>EXP(-LN(2)/2)*AB77+(1-EXP(-LN(2)/2))/(LN(2)/2)*V78*Y78*VLOOKUP('Données projet'!$B$9,Paramètres!$A$1:$I$89,3,0)*0.475*44/12</f>
        <v>4.8640505318631441E-2</v>
      </c>
      <c r="AC78" s="24">
        <f t="shared" si="57"/>
        <v>21.930149116736541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243.99999999999989</v>
      </c>
      <c r="AJ78" s="14">
        <f>AI78*VLOOKUP('Données projet'!$B$10,Paramètres!$A$1:$I$89,3,0)*VLOOKUP('Données projet'!$B$10,Paramètres!$A$1:$I$89,5,0)</f>
        <v>190.31999999999991</v>
      </c>
      <c r="AK78" s="14">
        <f t="shared" si="89"/>
        <v>47.61069337740188</v>
      </c>
      <c r="AL78" s="22">
        <f t="shared" si="58"/>
        <v>414.39595763230813</v>
      </c>
      <c r="AM78" s="62">
        <f t="shared" si="59"/>
        <v>683.05754233213293</v>
      </c>
      <c r="AN78" s="62">
        <f ca="1">AVERAGE(OFFSET($AM$3,0,0,'Données projet'!$E$10+1,1))-AVERAGE(OFFSET($H$3,0,0,'Données projet'!$E$10+1,1))</f>
        <v>252.45744983674379</v>
      </c>
      <c r="AO78" s="62">
        <f t="shared" si="90"/>
        <v>283.28099819802776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21.082125572487286</v>
      </c>
      <c r="AV78" s="23">
        <f>EXP(-LN(2)/25)*AV77+(1-EXP(-LN(2)/25))/(LN(2)/25)*Calculateur!AQ78*Calculateur!AS78*VLOOKUP('Données projet'!$B$10,Paramètres!$A$1:$I$89,3,0)*0.475*44/12</f>
        <v>3.3778265679036563</v>
      </c>
      <c r="AW78" s="23">
        <f>EXP(-LN(2)/2)*AW77+(1-EXP(-LN(2)/2))/(LN(2)/2)*AQ78*AT78*VLOOKUP('Données projet'!$B$10,Paramètres!$A$1:$I$89,3,0)*0.475*44/12</f>
        <v>2.0398319475259694E-2</v>
      </c>
      <c r="AX78" s="23">
        <f t="shared" si="60"/>
        <v>24.480350459866202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243.99999999999989</v>
      </c>
      <c r="BE78" s="14">
        <f>BD78*VLOOKUP('Données projet'!$B$11,Paramètres!$A$1:$I$89,3,0)*VLOOKUP('Données projet'!$B$11,Paramètres!$A$1:$I$89,5,0)</f>
        <v>190.31999999999991</v>
      </c>
      <c r="BF78" s="14">
        <f t="shared" si="91"/>
        <v>47.61069337740188</v>
      </c>
      <c r="BG78" s="22">
        <f t="shared" si="61"/>
        <v>414.39595763230813</v>
      </c>
      <c r="BH78" s="62">
        <f t="shared" si="62"/>
        <v>683.05754233213293</v>
      </c>
      <c r="BI78" s="62">
        <f ca="1">AVERAGE(OFFSET($BH$3,0,0,'Données projet'!$E$11+1,1))-AVERAGE(OFFSET($H$3,0,0,'Données projet'!$E$11+1,1))</f>
        <v>252.45744983674379</v>
      </c>
      <c r="BJ78" s="62">
        <f t="shared" si="92"/>
        <v>283.28099819802776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21.082125572487286</v>
      </c>
      <c r="BQ78" s="23">
        <f>EXP(-LN(2)/25)*BQ77+(1-EXP(-LN(2)/25))/(LN(2)/25)*Calculateur!BL78*Calculateur!BN78*VLOOKUP('Données projet'!$B$11,Paramètres!$A$1:$I$89,3,0)*0.475*44/12</f>
        <v>3.3778265679036563</v>
      </c>
      <c r="BR78" s="23">
        <f>EXP(-LN(2)/2)*BR77+(1-EXP(-LN(2)/2))/(LN(2)/2)*BL78*BO78*VLOOKUP('Données projet'!$B$11,Paramètres!$A$1:$I$89,3,0)*0.475*44/12</f>
        <v>2.0398319475259694E-2</v>
      </c>
      <c r="BS78" s="24">
        <f t="shared" si="63"/>
        <v>24.480350459866202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243.99999999999989</v>
      </c>
      <c r="BZ78" s="14">
        <f>BY78*VLOOKUP('Données projet'!$B$12,Paramètres!$A$1:$I$89,3,0)*VLOOKUP('Données projet'!$B$12,Paramètres!$A$1:$I$89,5,0)</f>
        <v>190.31999999999991</v>
      </c>
      <c r="CA78" s="14">
        <f t="shared" si="93"/>
        <v>47.61069337740188</v>
      </c>
      <c r="CB78" s="22">
        <f t="shared" si="64"/>
        <v>414.39595763230813</v>
      </c>
      <c r="CC78" s="62">
        <f t="shared" si="65"/>
        <v>683.05754233213293</v>
      </c>
      <c r="CD78" s="62">
        <f ca="1">AVERAGE(OFFSET($CC$3,0,0,'Données projet'!$E$12+1,1))-AVERAGE(OFFSET($H$3,0,0,'Données projet'!$E$12+1,1))</f>
        <v>252.45744983674379</v>
      </c>
      <c r="CE78" s="62">
        <f t="shared" si="94"/>
        <v>283.28099819802776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21.082125572487286</v>
      </c>
      <c r="CL78" s="23">
        <f>EXP(-LN(2)/25)*CL77+(1-EXP(-LN(2)/25))/(LN(2)/25)*Calculateur!CG78*Calculateur!CI78*VLOOKUP('Données projet'!$B$12,Paramètres!$A$1:$I$89,3,0)*0.475*44/12</f>
        <v>3.3778265679036563</v>
      </c>
      <c r="CM78" s="23">
        <f>EXP(-LN(2)/2)*CM77+(1-EXP(-LN(2)/2))/(LN(2)/2)*CG78*CJ78*VLOOKUP('Données projet'!$B$12,Paramètres!$A$1:$I$89,3,0)*0.475*44/12</f>
        <v>2.0398319475259694E-2</v>
      </c>
      <c r="CN78" s="24">
        <f t="shared" si="66"/>
        <v>24.480350459866202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215.46880000000002</v>
      </c>
      <c r="O79" s="14">
        <f>N79*VLOOKUP('Données projet'!$B$9,Paramètres!$A$1:$I$89,3,0)*VLOOKUP('Données projet'!$B$9,Paramètres!$A$1:$I$89,5,0)</f>
        <v>100.83939840000001</v>
      </c>
      <c r="P79" s="14">
        <f t="shared" si="87"/>
        <v>27.161875252139833</v>
      </c>
      <c r="Q79" s="22">
        <f t="shared" si="54"/>
        <v>222.93555161081022</v>
      </c>
      <c r="R79" s="62">
        <f t="shared" si="55"/>
        <v>492.02513599165968</v>
      </c>
      <c r="S79" s="62">
        <f ca="1">AVERAGE(OFFSET($R$3,0,0,'Données projet'!$E$9+1,1))-AVERAGE(OFFSET($H$3,0,0,'Données projet'!$E$9+1,1))</f>
        <v>180.76388336802839</v>
      </c>
      <c r="T79" s="62">
        <f t="shared" si="88"/>
        <v>225.35030757566537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15.015297386420258</v>
      </c>
      <c r="AA79" s="23">
        <f>EXP(-LN(2)/25)*AA78+(1-EXP(-LN(2)/25))/(LN(2)/25)*Calculateur!V79*Calculateur!X79*VLOOKUP('Données projet'!$B$9,Paramètres!$A$1:$I$89,3,0)*0.475*44/12</f>
        <v>6.3863367470572863</v>
      </c>
      <c r="AB79" s="23">
        <f>EXP(-LN(2)/2)*AB78+(1-EXP(-LN(2)/2))/(LN(2)/2)*V79*Y79*VLOOKUP('Données projet'!$B$9,Paramètres!$A$1:$I$89,3,0)*0.475*44/12</f>
        <v>3.4394031151144623E-2</v>
      </c>
      <c r="AC79" s="24">
        <f t="shared" si="57"/>
        <v>21.436028164628688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243.99999999999989</v>
      </c>
      <c r="AJ79" s="14">
        <f>AI79*VLOOKUP('Données projet'!$B$10,Paramètres!$A$1:$I$89,3,0)*VLOOKUP('Données projet'!$B$10,Paramètres!$A$1:$I$89,5,0)</f>
        <v>190.31999999999991</v>
      </c>
      <c r="AK79" s="14">
        <f t="shared" si="89"/>
        <v>47.61069337740188</v>
      </c>
      <c r="AL79" s="22">
        <f t="shared" si="58"/>
        <v>414.39595763230813</v>
      </c>
      <c r="AM79" s="62">
        <f t="shared" si="59"/>
        <v>683.48554201315756</v>
      </c>
      <c r="AN79" s="62">
        <f ca="1">AVERAGE(OFFSET($AM$3,0,0,'Données projet'!$E$10+1,1))-AVERAGE(OFFSET($H$3,0,0,'Données projet'!$E$10+1,1))</f>
        <v>252.45744983674379</v>
      </c>
      <c r="AO79" s="62">
        <f t="shared" si="90"/>
        <v>283.28099819802776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20.668717948837706</v>
      </c>
      <c r="AV79" s="23">
        <f>EXP(-LN(2)/25)*AV78+(1-EXP(-LN(2)/25))/(LN(2)/25)*Calculateur!AQ79*Calculateur!AS79*VLOOKUP('Données projet'!$B$10,Paramètres!$A$1:$I$89,3,0)*0.475*44/12</f>
        <v>3.2854597227721518</v>
      </c>
      <c r="AW79" s="23">
        <f>EXP(-LN(2)/2)*AW78+(1-EXP(-LN(2)/2))/(LN(2)/2)*AQ79*AT79*VLOOKUP('Données projet'!$B$10,Paramètres!$A$1:$I$89,3,0)*0.475*44/12</f>
        <v>1.4423790025765748E-2</v>
      </c>
      <c r="AX79" s="23">
        <f t="shared" si="60"/>
        <v>23.968601461635625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243.99999999999989</v>
      </c>
      <c r="BE79" s="14">
        <f>BD79*VLOOKUP('Données projet'!$B$11,Paramètres!$A$1:$I$89,3,0)*VLOOKUP('Données projet'!$B$11,Paramètres!$A$1:$I$89,5,0)</f>
        <v>190.31999999999991</v>
      </c>
      <c r="BF79" s="14">
        <f t="shared" si="91"/>
        <v>47.61069337740188</v>
      </c>
      <c r="BG79" s="22">
        <f t="shared" si="61"/>
        <v>414.39595763230813</v>
      </c>
      <c r="BH79" s="62">
        <f t="shared" si="62"/>
        <v>683.48554201315756</v>
      </c>
      <c r="BI79" s="62">
        <f ca="1">AVERAGE(OFFSET($BH$3,0,0,'Données projet'!$E$11+1,1))-AVERAGE(OFFSET($H$3,0,0,'Données projet'!$E$11+1,1))</f>
        <v>252.45744983674379</v>
      </c>
      <c r="BJ79" s="62">
        <f t="shared" si="92"/>
        <v>283.28099819802776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20.668717948837706</v>
      </c>
      <c r="BQ79" s="23">
        <f>EXP(-LN(2)/25)*BQ78+(1-EXP(-LN(2)/25))/(LN(2)/25)*Calculateur!BL79*Calculateur!BN79*VLOOKUP('Données projet'!$B$11,Paramètres!$A$1:$I$89,3,0)*0.475*44/12</f>
        <v>3.2854597227721518</v>
      </c>
      <c r="BR79" s="23">
        <f>EXP(-LN(2)/2)*BR78+(1-EXP(-LN(2)/2))/(LN(2)/2)*BL79*BO79*VLOOKUP('Données projet'!$B$11,Paramètres!$A$1:$I$89,3,0)*0.475*44/12</f>
        <v>1.4423790025765748E-2</v>
      </c>
      <c r="BS79" s="24">
        <f t="shared" si="63"/>
        <v>23.968601461635625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243.99999999999989</v>
      </c>
      <c r="BZ79" s="14">
        <f>BY79*VLOOKUP('Données projet'!$B$12,Paramètres!$A$1:$I$89,3,0)*VLOOKUP('Données projet'!$B$12,Paramètres!$A$1:$I$89,5,0)</f>
        <v>190.31999999999991</v>
      </c>
      <c r="CA79" s="14">
        <f t="shared" si="93"/>
        <v>47.61069337740188</v>
      </c>
      <c r="CB79" s="22">
        <f t="shared" si="64"/>
        <v>414.39595763230813</v>
      </c>
      <c r="CC79" s="62">
        <f t="shared" si="65"/>
        <v>683.48554201315756</v>
      </c>
      <c r="CD79" s="62">
        <f ca="1">AVERAGE(OFFSET($CC$3,0,0,'Données projet'!$E$12+1,1))-AVERAGE(OFFSET($H$3,0,0,'Données projet'!$E$12+1,1))</f>
        <v>252.45744983674379</v>
      </c>
      <c r="CE79" s="62">
        <f t="shared" si="94"/>
        <v>283.28099819802776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20.668717948837706</v>
      </c>
      <c r="CL79" s="23">
        <f>EXP(-LN(2)/25)*CL78+(1-EXP(-LN(2)/25))/(LN(2)/25)*Calculateur!CG79*Calculateur!CI79*VLOOKUP('Données projet'!$B$12,Paramètres!$A$1:$I$89,3,0)*0.475*44/12</f>
        <v>3.2854597227721518</v>
      </c>
      <c r="CM79" s="23">
        <f>EXP(-LN(2)/2)*CM78+(1-EXP(-LN(2)/2))/(LN(2)/2)*CG79*CJ79*VLOOKUP('Données projet'!$B$12,Paramètres!$A$1:$I$89,3,0)*0.475*44/12</f>
        <v>1.4423790025765748E-2</v>
      </c>
      <c r="CN79" s="24">
        <f t="shared" si="66"/>
        <v>23.968601461635625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215.46880000000002</v>
      </c>
      <c r="O80" s="14">
        <f>N80*VLOOKUP('Données projet'!$B$9,Paramètres!$A$1:$I$89,3,0)*VLOOKUP('Données projet'!$B$9,Paramètres!$A$1:$I$89,5,0)</f>
        <v>100.83939840000001</v>
      </c>
      <c r="P80" s="14">
        <f t="shared" si="87"/>
        <v>27.161875252139833</v>
      </c>
      <c r="Q80" s="22">
        <f t="shared" si="54"/>
        <v>222.93555161081022</v>
      </c>
      <c r="R80" s="62">
        <f t="shared" si="55"/>
        <v>492.44571083508254</v>
      </c>
      <c r="S80" s="62">
        <f ca="1">AVERAGE(OFFSET($R$3,0,0,'Données projet'!$E$9+1,1))-AVERAGE(OFFSET($H$3,0,0,'Données projet'!$E$9+1,1))</f>
        <v>180.76388336802839</v>
      </c>
      <c r="T80" s="62">
        <f t="shared" si="88"/>
        <v>225.35030757566537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14.720856563099643</v>
      </c>
      <c r="AA80" s="23">
        <f>EXP(-LN(2)/25)*AA79+(1-EXP(-LN(2)/25))/(LN(2)/25)*Calculateur!V80*Calculateur!X80*VLOOKUP('Données projet'!$B$9,Paramètres!$A$1:$I$89,3,0)*0.475*44/12</f>
        <v>6.2117020328661514</v>
      </c>
      <c r="AB80" s="23">
        <f>EXP(-LN(2)/2)*AB79+(1-EXP(-LN(2)/2))/(LN(2)/2)*V80*Y80*VLOOKUP('Données projet'!$B$9,Paramètres!$A$1:$I$89,3,0)*0.475*44/12</f>
        <v>2.4320252659315721E-2</v>
      </c>
      <c r="AC80" s="24">
        <f t="shared" si="57"/>
        <v>20.956878848625109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243.99999999999989</v>
      </c>
      <c r="AJ80" s="14">
        <f>AI80*VLOOKUP('Données projet'!$B$10,Paramètres!$A$1:$I$89,3,0)*VLOOKUP('Données projet'!$B$10,Paramètres!$A$1:$I$89,5,0)</f>
        <v>190.31999999999991</v>
      </c>
      <c r="AK80" s="14">
        <f t="shared" si="89"/>
        <v>47.61069337740188</v>
      </c>
      <c r="AL80" s="22">
        <f t="shared" si="58"/>
        <v>414.39595763230813</v>
      </c>
      <c r="AM80" s="62">
        <f t="shared" si="59"/>
        <v>683.90611685658041</v>
      </c>
      <c r="AN80" s="62">
        <f ca="1">AVERAGE(OFFSET($AM$3,0,0,'Données projet'!$E$10+1,1))-AVERAGE(OFFSET($H$3,0,0,'Données projet'!$E$10+1,1))</f>
        <v>252.45744983674379</v>
      </c>
      <c r="AO80" s="62">
        <f t="shared" si="90"/>
        <v>283.28099819802776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20.263416996534144</v>
      </c>
      <c r="AV80" s="23">
        <f>EXP(-LN(2)/25)*AV79+(1-EXP(-LN(2)/25))/(LN(2)/25)*Calculateur!AQ80*Calculateur!AS80*VLOOKUP('Données projet'!$B$10,Paramètres!$A$1:$I$89,3,0)*0.475*44/12</f>
        <v>3.1956186538781295</v>
      </c>
      <c r="AW80" s="23">
        <f>EXP(-LN(2)/2)*AW79+(1-EXP(-LN(2)/2))/(LN(2)/2)*AQ80*AT80*VLOOKUP('Données projet'!$B$10,Paramètres!$A$1:$I$89,3,0)*0.475*44/12</f>
        <v>1.0199159737629847E-2</v>
      </c>
      <c r="AX80" s="23">
        <f t="shared" si="60"/>
        <v>23.469234810149903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243.99999999999989</v>
      </c>
      <c r="BE80" s="14">
        <f>BD80*VLOOKUP('Données projet'!$B$11,Paramètres!$A$1:$I$89,3,0)*VLOOKUP('Données projet'!$B$11,Paramètres!$A$1:$I$89,5,0)</f>
        <v>190.31999999999991</v>
      </c>
      <c r="BF80" s="14">
        <f t="shared" si="91"/>
        <v>47.61069337740188</v>
      </c>
      <c r="BG80" s="22">
        <f t="shared" si="61"/>
        <v>414.39595763230813</v>
      </c>
      <c r="BH80" s="62">
        <f t="shared" si="62"/>
        <v>683.90611685658041</v>
      </c>
      <c r="BI80" s="62">
        <f ca="1">AVERAGE(OFFSET($BH$3,0,0,'Données projet'!$E$11+1,1))-AVERAGE(OFFSET($H$3,0,0,'Données projet'!$E$11+1,1))</f>
        <v>252.45744983674379</v>
      </c>
      <c r="BJ80" s="62">
        <f t="shared" si="92"/>
        <v>283.28099819802776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20.263416996534144</v>
      </c>
      <c r="BQ80" s="23">
        <f>EXP(-LN(2)/25)*BQ79+(1-EXP(-LN(2)/25))/(LN(2)/25)*Calculateur!BL80*Calculateur!BN80*VLOOKUP('Données projet'!$B$11,Paramètres!$A$1:$I$89,3,0)*0.475*44/12</f>
        <v>3.1956186538781295</v>
      </c>
      <c r="BR80" s="23">
        <f>EXP(-LN(2)/2)*BR79+(1-EXP(-LN(2)/2))/(LN(2)/2)*BL80*BO80*VLOOKUP('Données projet'!$B$11,Paramètres!$A$1:$I$89,3,0)*0.475*44/12</f>
        <v>1.0199159737629847E-2</v>
      </c>
      <c r="BS80" s="24">
        <f t="shared" si="63"/>
        <v>23.469234810149903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243.99999999999989</v>
      </c>
      <c r="BZ80" s="14">
        <f>BY80*VLOOKUP('Données projet'!$B$12,Paramètres!$A$1:$I$89,3,0)*VLOOKUP('Données projet'!$B$12,Paramètres!$A$1:$I$89,5,0)</f>
        <v>190.31999999999991</v>
      </c>
      <c r="CA80" s="14">
        <f t="shared" si="93"/>
        <v>47.61069337740188</v>
      </c>
      <c r="CB80" s="22">
        <f t="shared" si="64"/>
        <v>414.39595763230813</v>
      </c>
      <c r="CC80" s="62">
        <f t="shared" si="65"/>
        <v>683.90611685658041</v>
      </c>
      <c r="CD80" s="62">
        <f ca="1">AVERAGE(OFFSET($CC$3,0,0,'Données projet'!$E$12+1,1))-AVERAGE(OFFSET($H$3,0,0,'Données projet'!$E$12+1,1))</f>
        <v>252.45744983674379</v>
      </c>
      <c r="CE80" s="62">
        <f t="shared" si="94"/>
        <v>283.28099819802776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20.263416996534144</v>
      </c>
      <c r="CL80" s="23">
        <f>EXP(-LN(2)/25)*CL79+(1-EXP(-LN(2)/25))/(LN(2)/25)*Calculateur!CG80*Calculateur!CI80*VLOOKUP('Données projet'!$B$12,Paramètres!$A$1:$I$89,3,0)*0.475*44/12</f>
        <v>3.1956186538781295</v>
      </c>
      <c r="CM80" s="23">
        <f>EXP(-LN(2)/2)*CM79+(1-EXP(-LN(2)/2))/(LN(2)/2)*CG80*CJ80*VLOOKUP('Données projet'!$B$12,Paramètres!$A$1:$I$89,3,0)*0.475*44/12</f>
        <v>1.0199159737629847E-2</v>
      </c>
      <c r="CN80" s="24">
        <f t="shared" si="66"/>
        <v>23.469234810149903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215.46880000000002</v>
      </c>
      <c r="O81" s="14">
        <f>N81*VLOOKUP('Données projet'!$B$9,Paramètres!$A$1:$I$89,3,0)*VLOOKUP('Données projet'!$B$9,Paramètres!$A$1:$I$89,5,0)</f>
        <v>100.83939840000001</v>
      </c>
      <c r="P81" s="14">
        <f t="shared" si="87"/>
        <v>27.161875252139833</v>
      </c>
      <c r="Q81" s="22">
        <f t="shared" si="54"/>
        <v>222.93555161081022</v>
      </c>
      <c r="R81" s="62">
        <f t="shared" si="55"/>
        <v>492.85898964523642</v>
      </c>
      <c r="S81" s="62">
        <f ca="1">AVERAGE(OFFSET($R$3,0,0,'Données projet'!$E$9+1,1))-AVERAGE(OFFSET($H$3,0,0,'Données projet'!$E$9+1,1))</f>
        <v>180.76388336802839</v>
      </c>
      <c r="T81" s="62">
        <f t="shared" si="88"/>
        <v>225.35030757566537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14.432189544733175</v>
      </c>
      <c r="AA81" s="23">
        <f>EXP(-LN(2)/25)*AA80+(1-EXP(-LN(2)/25))/(LN(2)/25)*Calculateur!V81*Calculateur!X81*VLOOKUP('Données projet'!$B$9,Paramètres!$A$1:$I$89,3,0)*0.475*44/12</f>
        <v>6.0418427141182134</v>
      </c>
      <c r="AB81" s="23">
        <f>EXP(-LN(2)/2)*AB80+(1-EXP(-LN(2)/2))/(LN(2)/2)*V81*Y81*VLOOKUP('Données projet'!$B$9,Paramètres!$A$1:$I$89,3,0)*0.475*44/12</f>
        <v>1.7197015575572312E-2</v>
      </c>
      <c r="AC81" s="24">
        <f t="shared" si="57"/>
        <v>20.49122927442696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243.99999999999989</v>
      </c>
      <c r="AJ81" s="14">
        <f>AI81*VLOOKUP('Données projet'!$B$10,Paramètres!$A$1:$I$89,3,0)*VLOOKUP('Données projet'!$B$10,Paramètres!$A$1:$I$89,5,0)</f>
        <v>190.31999999999991</v>
      </c>
      <c r="AK81" s="14">
        <f t="shared" si="89"/>
        <v>47.61069337740188</v>
      </c>
      <c r="AL81" s="22">
        <f t="shared" si="58"/>
        <v>414.39595763230813</v>
      </c>
      <c r="AM81" s="62">
        <f t="shared" si="59"/>
        <v>684.31939566673441</v>
      </c>
      <c r="AN81" s="62">
        <f ca="1">AVERAGE(OFFSET($AM$3,0,0,'Données projet'!$E$10+1,1))-AVERAGE(OFFSET($H$3,0,0,'Données projet'!$E$10+1,1))</f>
        <v>252.45744983674379</v>
      </c>
      <c r="AO81" s="62">
        <f t="shared" si="90"/>
        <v>283.28099819802776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19.866063748696082</v>
      </c>
      <c r="AV81" s="23">
        <f>EXP(-LN(2)/25)*AV80+(1-EXP(-LN(2)/25))/(LN(2)/25)*Calculateur!AQ81*Calculateur!AS81*VLOOKUP('Données projet'!$B$10,Paramètres!$A$1:$I$89,3,0)*0.475*44/12</f>
        <v>3.1082342937375507</v>
      </c>
      <c r="AW81" s="23">
        <f>EXP(-LN(2)/2)*AW80+(1-EXP(-LN(2)/2))/(LN(2)/2)*AQ81*AT81*VLOOKUP('Données projet'!$B$10,Paramètres!$A$1:$I$89,3,0)*0.475*44/12</f>
        <v>7.2118950128828739E-3</v>
      </c>
      <c r="AX81" s="23">
        <f t="shared" si="60"/>
        <v>22.981509937446514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243.99999999999989</v>
      </c>
      <c r="BE81" s="14">
        <f>BD81*VLOOKUP('Données projet'!$B$11,Paramètres!$A$1:$I$89,3,0)*VLOOKUP('Données projet'!$B$11,Paramètres!$A$1:$I$89,5,0)</f>
        <v>190.31999999999991</v>
      </c>
      <c r="BF81" s="14">
        <f t="shared" si="91"/>
        <v>47.61069337740188</v>
      </c>
      <c r="BG81" s="22">
        <f t="shared" si="61"/>
        <v>414.39595763230813</v>
      </c>
      <c r="BH81" s="62">
        <f t="shared" si="62"/>
        <v>684.31939566673441</v>
      </c>
      <c r="BI81" s="62">
        <f ca="1">AVERAGE(OFFSET($BH$3,0,0,'Données projet'!$E$11+1,1))-AVERAGE(OFFSET($H$3,0,0,'Données projet'!$E$11+1,1))</f>
        <v>252.45744983674379</v>
      </c>
      <c r="BJ81" s="62">
        <f t="shared" si="92"/>
        <v>283.28099819802776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19.866063748696082</v>
      </c>
      <c r="BQ81" s="23">
        <f>EXP(-LN(2)/25)*BQ80+(1-EXP(-LN(2)/25))/(LN(2)/25)*Calculateur!BL81*Calculateur!BN81*VLOOKUP('Données projet'!$B$11,Paramètres!$A$1:$I$89,3,0)*0.475*44/12</f>
        <v>3.1082342937375507</v>
      </c>
      <c r="BR81" s="23">
        <f>EXP(-LN(2)/2)*BR80+(1-EXP(-LN(2)/2))/(LN(2)/2)*BL81*BO81*VLOOKUP('Données projet'!$B$11,Paramètres!$A$1:$I$89,3,0)*0.475*44/12</f>
        <v>7.2118950128828739E-3</v>
      </c>
      <c r="BS81" s="24">
        <f t="shared" si="63"/>
        <v>22.981509937446514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243.99999999999989</v>
      </c>
      <c r="BZ81" s="14">
        <f>BY81*VLOOKUP('Données projet'!$B$12,Paramètres!$A$1:$I$89,3,0)*VLOOKUP('Données projet'!$B$12,Paramètres!$A$1:$I$89,5,0)</f>
        <v>190.31999999999991</v>
      </c>
      <c r="CA81" s="14">
        <f t="shared" si="93"/>
        <v>47.61069337740188</v>
      </c>
      <c r="CB81" s="22">
        <f t="shared" si="64"/>
        <v>414.39595763230813</v>
      </c>
      <c r="CC81" s="62">
        <f t="shared" si="65"/>
        <v>684.31939566673441</v>
      </c>
      <c r="CD81" s="62">
        <f ca="1">AVERAGE(OFFSET($CC$3,0,0,'Données projet'!$E$12+1,1))-AVERAGE(OFFSET($H$3,0,0,'Données projet'!$E$12+1,1))</f>
        <v>252.45744983674379</v>
      </c>
      <c r="CE81" s="62">
        <f t="shared" si="94"/>
        <v>283.28099819802776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19.866063748696082</v>
      </c>
      <c r="CL81" s="23">
        <f>EXP(-LN(2)/25)*CL80+(1-EXP(-LN(2)/25))/(LN(2)/25)*Calculateur!CG81*Calculateur!CI81*VLOOKUP('Données projet'!$B$12,Paramètres!$A$1:$I$89,3,0)*0.475*44/12</f>
        <v>3.1082342937375507</v>
      </c>
      <c r="CM81" s="23">
        <f>EXP(-LN(2)/2)*CM80+(1-EXP(-LN(2)/2))/(LN(2)/2)*CG81*CJ81*VLOOKUP('Données projet'!$B$12,Paramètres!$A$1:$I$89,3,0)*0.475*44/12</f>
        <v>7.2118950128828739E-3</v>
      </c>
      <c r="CN81" s="24">
        <f t="shared" si="66"/>
        <v>22.981509937446514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215.46880000000002</v>
      </c>
      <c r="O82" s="14">
        <f>N82*VLOOKUP('Données projet'!$B$9,Paramètres!$A$1:$I$89,3,0)*VLOOKUP('Données projet'!$B$9,Paramètres!$A$1:$I$89,5,0)</f>
        <v>100.83939840000001</v>
      </c>
      <c r="P82" s="14">
        <f t="shared" si="87"/>
        <v>27.161875252139833</v>
      </c>
      <c r="Q82" s="22">
        <f t="shared" si="54"/>
        <v>222.93555161081022</v>
      </c>
      <c r="R82" s="62">
        <f t="shared" si="55"/>
        <v>493.2650989919872</v>
      </c>
      <c r="S82" s="62">
        <f ca="1">AVERAGE(OFFSET($R$3,0,0,'Données projet'!$E$9+1,1))-AVERAGE(OFFSET($H$3,0,0,'Données projet'!$E$9+1,1))</f>
        <v>180.76388336802839</v>
      </c>
      <c r="T82" s="62">
        <f t="shared" si="88"/>
        <v>225.35030757566537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14.149183110527378</v>
      </c>
      <c r="AA82" s="23">
        <f>EXP(-LN(2)/25)*AA81+(1-EXP(-LN(2)/25))/(LN(2)/25)*Calculateur!V82*Calculateur!X82*VLOOKUP('Données projet'!$B$9,Paramètres!$A$1:$I$89,3,0)*0.475*44/12</f>
        <v>5.8766282073739511</v>
      </c>
      <c r="AB82" s="23">
        <f>EXP(-LN(2)/2)*AB81+(1-EXP(-LN(2)/2))/(LN(2)/2)*V82*Y82*VLOOKUP('Données projet'!$B$9,Paramètres!$A$1:$I$89,3,0)*0.475*44/12</f>
        <v>1.216012632965786E-2</v>
      </c>
      <c r="AC82" s="24">
        <f t="shared" si="57"/>
        <v>20.037971444230987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243.99999999999989</v>
      </c>
      <c r="AJ82" s="14">
        <f>AI82*VLOOKUP('Données projet'!$B$10,Paramètres!$A$1:$I$89,3,0)*VLOOKUP('Données projet'!$B$10,Paramètres!$A$1:$I$89,5,0)</f>
        <v>190.31999999999991</v>
      </c>
      <c r="AK82" s="14">
        <f t="shared" si="89"/>
        <v>47.61069337740188</v>
      </c>
      <c r="AL82" s="22">
        <f t="shared" si="58"/>
        <v>414.39595763230813</v>
      </c>
      <c r="AM82" s="62">
        <f t="shared" si="59"/>
        <v>684.72550501348508</v>
      </c>
      <c r="AN82" s="62">
        <f ca="1">AVERAGE(OFFSET($AM$3,0,0,'Données projet'!$E$10+1,1))-AVERAGE(OFFSET($H$3,0,0,'Données projet'!$E$10+1,1))</f>
        <v>252.45744983674379</v>
      </c>
      <c r="AO82" s="62">
        <f t="shared" si="90"/>
        <v>283.28099819802776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19.476502355686574</v>
      </c>
      <c r="AV82" s="23">
        <f>EXP(-LN(2)/25)*AV81+(1-EXP(-LN(2)/25))/(LN(2)/25)*Calculateur!AQ82*Calculateur!AS82*VLOOKUP('Données projet'!$B$10,Paramètres!$A$1:$I$89,3,0)*0.475*44/12</f>
        <v>3.0232394635203597</v>
      </c>
      <c r="AW82" s="23">
        <f>EXP(-LN(2)/2)*AW81+(1-EXP(-LN(2)/2))/(LN(2)/2)*AQ82*AT82*VLOOKUP('Données projet'!$B$10,Paramètres!$A$1:$I$89,3,0)*0.475*44/12</f>
        <v>5.0995798688149236E-3</v>
      </c>
      <c r="AX82" s="23">
        <f t="shared" si="60"/>
        <v>22.504841399075747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243.99999999999989</v>
      </c>
      <c r="BE82" s="14">
        <f>BD82*VLOOKUP('Données projet'!$B$11,Paramètres!$A$1:$I$89,3,0)*VLOOKUP('Données projet'!$B$11,Paramètres!$A$1:$I$89,5,0)</f>
        <v>190.31999999999991</v>
      </c>
      <c r="BF82" s="14">
        <f t="shared" si="91"/>
        <v>47.61069337740188</v>
      </c>
      <c r="BG82" s="22">
        <f t="shared" si="61"/>
        <v>414.39595763230813</v>
      </c>
      <c r="BH82" s="62">
        <f t="shared" si="62"/>
        <v>684.72550501348508</v>
      </c>
      <c r="BI82" s="62">
        <f ca="1">AVERAGE(OFFSET($BH$3,0,0,'Données projet'!$E$11+1,1))-AVERAGE(OFFSET($H$3,0,0,'Données projet'!$E$11+1,1))</f>
        <v>252.45744983674379</v>
      </c>
      <c r="BJ82" s="62">
        <f t="shared" si="92"/>
        <v>283.28099819802776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19.476502355686574</v>
      </c>
      <c r="BQ82" s="23">
        <f>EXP(-LN(2)/25)*BQ81+(1-EXP(-LN(2)/25))/(LN(2)/25)*Calculateur!BL82*Calculateur!BN82*VLOOKUP('Données projet'!$B$11,Paramètres!$A$1:$I$89,3,0)*0.475*44/12</f>
        <v>3.0232394635203597</v>
      </c>
      <c r="BR82" s="23">
        <f>EXP(-LN(2)/2)*BR81+(1-EXP(-LN(2)/2))/(LN(2)/2)*BL82*BO82*VLOOKUP('Données projet'!$B$11,Paramètres!$A$1:$I$89,3,0)*0.475*44/12</f>
        <v>5.0995798688149236E-3</v>
      </c>
      <c r="BS82" s="24">
        <f t="shared" si="63"/>
        <v>22.504841399075747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243.99999999999989</v>
      </c>
      <c r="BZ82" s="14">
        <f>BY82*VLOOKUP('Données projet'!$B$12,Paramètres!$A$1:$I$89,3,0)*VLOOKUP('Données projet'!$B$12,Paramètres!$A$1:$I$89,5,0)</f>
        <v>190.31999999999991</v>
      </c>
      <c r="CA82" s="14">
        <f t="shared" si="93"/>
        <v>47.61069337740188</v>
      </c>
      <c r="CB82" s="22">
        <f t="shared" si="64"/>
        <v>414.39595763230813</v>
      </c>
      <c r="CC82" s="62">
        <f t="shared" si="65"/>
        <v>684.72550501348508</v>
      </c>
      <c r="CD82" s="62">
        <f ca="1">AVERAGE(OFFSET($CC$3,0,0,'Données projet'!$E$12+1,1))-AVERAGE(OFFSET($H$3,0,0,'Données projet'!$E$12+1,1))</f>
        <v>252.45744983674379</v>
      </c>
      <c r="CE82" s="62">
        <f t="shared" si="94"/>
        <v>283.28099819802776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19.476502355686574</v>
      </c>
      <c r="CL82" s="23">
        <f>EXP(-LN(2)/25)*CL81+(1-EXP(-LN(2)/25))/(LN(2)/25)*Calculateur!CG82*Calculateur!CI82*VLOOKUP('Données projet'!$B$12,Paramètres!$A$1:$I$89,3,0)*0.475*44/12</f>
        <v>3.0232394635203597</v>
      </c>
      <c r="CM82" s="23">
        <f>EXP(-LN(2)/2)*CM81+(1-EXP(-LN(2)/2))/(LN(2)/2)*CG82*CJ82*VLOOKUP('Données projet'!$B$12,Paramètres!$A$1:$I$89,3,0)*0.475*44/12</f>
        <v>5.0995798688149236E-3</v>
      </c>
      <c r="CN82" s="24">
        <f t="shared" si="66"/>
        <v>22.504841399075747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215.46880000000002</v>
      </c>
      <c r="O83" s="14">
        <f>N83*VLOOKUP('Données projet'!$B$9,Paramètres!$A$1:$I$89,3,0)*VLOOKUP('Données projet'!$B$9,Paramètres!$A$1:$I$89,5,0)</f>
        <v>100.83939840000001</v>
      </c>
      <c r="P83" s="14">
        <f t="shared" si="87"/>
        <v>27.161875252139833</v>
      </c>
      <c r="Q83" s="22">
        <f t="shared" si="54"/>
        <v>222.93555161081022</v>
      </c>
      <c r="R83" s="62">
        <f t="shared" si="55"/>
        <v>493.66416324949637</v>
      </c>
      <c r="S83" s="62">
        <f ca="1">AVERAGE(OFFSET($R$3,0,0,'Données projet'!$E$9+1,1))-AVERAGE(OFFSET($H$3,0,0,'Données projet'!$E$9+1,1))</f>
        <v>180.76388336802839</v>
      </c>
      <c r="T83" s="62">
        <f t="shared" si="88"/>
        <v>225.35030757566537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13.871726259879477</v>
      </c>
      <c r="AA83" s="23">
        <f>EXP(-LN(2)/25)*AA82+(1-EXP(-LN(2)/25))/(LN(2)/25)*Calculateur!V83*Calculateur!X83*VLOOKUP('Données projet'!$B$9,Paramètres!$A$1:$I$89,3,0)*0.475*44/12</f>
        <v>5.7159315000048645</v>
      </c>
      <c r="AB83" s="23">
        <f>EXP(-LN(2)/2)*AB82+(1-EXP(-LN(2)/2))/(LN(2)/2)*V83*Y83*VLOOKUP('Données projet'!$B$9,Paramètres!$A$1:$I$89,3,0)*0.475*44/12</f>
        <v>8.5985077877861558E-3</v>
      </c>
      <c r="AC83" s="24">
        <f t="shared" si="57"/>
        <v>19.596256267672128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243.99999999999989</v>
      </c>
      <c r="AJ83" s="14">
        <f>AI83*VLOOKUP('Données projet'!$B$10,Paramètres!$A$1:$I$89,3,0)*VLOOKUP('Données projet'!$B$10,Paramètres!$A$1:$I$89,5,0)</f>
        <v>190.31999999999991</v>
      </c>
      <c r="AK83" s="14">
        <f t="shared" si="89"/>
        <v>47.61069337740188</v>
      </c>
      <c r="AL83" s="22">
        <f t="shared" si="58"/>
        <v>414.39595763230813</v>
      </c>
      <c r="AM83" s="62">
        <f t="shared" si="59"/>
        <v>685.12456927099424</v>
      </c>
      <c r="AN83" s="62">
        <f ca="1">AVERAGE(OFFSET($AM$3,0,0,'Données projet'!$E$10+1,1))-AVERAGE(OFFSET($H$3,0,0,'Données projet'!$E$10+1,1))</f>
        <v>252.45744983674379</v>
      </c>
      <c r="AO83" s="62">
        <f t="shared" si="90"/>
        <v>283.28099819802776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19.094580023984996</v>
      </c>
      <c r="AV83" s="23">
        <f>EXP(-LN(2)/25)*AV82+(1-EXP(-LN(2)/25))/(LN(2)/25)*Calculateur!AQ83*Calculateur!AS83*VLOOKUP('Données projet'!$B$10,Paramètres!$A$1:$I$89,3,0)*0.475*44/12</f>
        <v>2.9405688214051415</v>
      </c>
      <c r="AW83" s="23">
        <f>EXP(-LN(2)/2)*AW82+(1-EXP(-LN(2)/2))/(LN(2)/2)*AQ83*AT83*VLOOKUP('Données projet'!$B$10,Paramètres!$A$1:$I$89,3,0)*0.475*44/12</f>
        <v>3.6059475064414369E-3</v>
      </c>
      <c r="AX83" s="23">
        <f t="shared" si="60"/>
        <v>22.038754792896576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243.99999999999989</v>
      </c>
      <c r="BE83" s="14">
        <f>BD83*VLOOKUP('Données projet'!$B$11,Paramètres!$A$1:$I$89,3,0)*VLOOKUP('Données projet'!$B$11,Paramètres!$A$1:$I$89,5,0)</f>
        <v>190.31999999999991</v>
      </c>
      <c r="BF83" s="14">
        <f t="shared" si="91"/>
        <v>47.61069337740188</v>
      </c>
      <c r="BG83" s="22">
        <f t="shared" si="61"/>
        <v>414.39595763230813</v>
      </c>
      <c r="BH83" s="62">
        <f t="shared" si="62"/>
        <v>685.12456927099424</v>
      </c>
      <c r="BI83" s="62">
        <f ca="1">AVERAGE(OFFSET($BH$3,0,0,'Données projet'!$E$11+1,1))-AVERAGE(OFFSET($H$3,0,0,'Données projet'!$E$11+1,1))</f>
        <v>252.45744983674379</v>
      </c>
      <c r="BJ83" s="62">
        <f t="shared" si="92"/>
        <v>283.28099819802776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19.094580023984996</v>
      </c>
      <c r="BQ83" s="23">
        <f>EXP(-LN(2)/25)*BQ82+(1-EXP(-LN(2)/25))/(LN(2)/25)*Calculateur!BL83*Calculateur!BN83*VLOOKUP('Données projet'!$B$11,Paramètres!$A$1:$I$89,3,0)*0.475*44/12</f>
        <v>2.9405688214051415</v>
      </c>
      <c r="BR83" s="23">
        <f>EXP(-LN(2)/2)*BR82+(1-EXP(-LN(2)/2))/(LN(2)/2)*BL83*BO83*VLOOKUP('Données projet'!$B$11,Paramètres!$A$1:$I$89,3,0)*0.475*44/12</f>
        <v>3.6059475064414369E-3</v>
      </c>
      <c r="BS83" s="24">
        <f t="shared" si="63"/>
        <v>22.038754792896576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243.99999999999989</v>
      </c>
      <c r="BZ83" s="14">
        <f>BY83*VLOOKUP('Données projet'!$B$12,Paramètres!$A$1:$I$89,3,0)*VLOOKUP('Données projet'!$B$12,Paramètres!$A$1:$I$89,5,0)</f>
        <v>190.31999999999991</v>
      </c>
      <c r="CA83" s="14">
        <f t="shared" si="93"/>
        <v>47.61069337740188</v>
      </c>
      <c r="CB83" s="22">
        <f t="shared" si="64"/>
        <v>414.39595763230813</v>
      </c>
      <c r="CC83" s="62">
        <f t="shared" si="65"/>
        <v>685.12456927099424</v>
      </c>
      <c r="CD83" s="62">
        <f ca="1">AVERAGE(OFFSET($CC$3,0,0,'Données projet'!$E$12+1,1))-AVERAGE(OFFSET($H$3,0,0,'Données projet'!$E$12+1,1))</f>
        <v>252.45744983674379</v>
      </c>
      <c r="CE83" s="62">
        <f t="shared" si="94"/>
        <v>283.28099819802776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19.094580023984996</v>
      </c>
      <c r="CL83" s="23">
        <f>EXP(-LN(2)/25)*CL82+(1-EXP(-LN(2)/25))/(LN(2)/25)*Calculateur!CG83*Calculateur!CI83*VLOOKUP('Données projet'!$B$12,Paramètres!$A$1:$I$89,3,0)*0.475*44/12</f>
        <v>2.9405688214051415</v>
      </c>
      <c r="CM83" s="23">
        <f>EXP(-LN(2)/2)*CM82+(1-EXP(-LN(2)/2))/(LN(2)/2)*CG83*CJ83*VLOOKUP('Données projet'!$B$12,Paramètres!$A$1:$I$89,3,0)*0.475*44/12</f>
        <v>3.6059475064414369E-3</v>
      </c>
      <c r="CN83" s="24">
        <f t="shared" si="66"/>
        <v>22.038754792896576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215.46880000000002</v>
      </c>
      <c r="O84" s="14">
        <f>N84*VLOOKUP('Données projet'!$B$9,Paramètres!$A$1:$I$89,3,0)*VLOOKUP('Données projet'!$B$9,Paramètres!$A$1:$I$89,5,0)</f>
        <v>100.83939840000001</v>
      </c>
      <c r="P84" s="14">
        <f t="shared" si="87"/>
        <v>27.161875252139833</v>
      </c>
      <c r="Q84" s="22">
        <f t="shared" si="54"/>
        <v>222.93555161081022</v>
      </c>
      <c r="R84" s="62">
        <f t="shared" si="55"/>
        <v>494.05630463431169</v>
      </c>
      <c r="S84" s="62">
        <f ca="1">AVERAGE(OFFSET($R$3,0,0,'Données projet'!$E$9+1,1))-AVERAGE(OFFSET($H$3,0,0,'Données projet'!$E$9+1,1))</f>
        <v>180.76388336802839</v>
      </c>
      <c r="T84" s="62">
        <f t="shared" si="88"/>
        <v>225.35030757566537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13.599710168840813</v>
      </c>
      <c r="AA84" s="23">
        <f>EXP(-LN(2)/25)*AA83+(1-EXP(-LN(2)/25))/(LN(2)/25)*Calculateur!V84*Calculateur!X84*VLOOKUP('Données projet'!$B$9,Paramètres!$A$1:$I$89,3,0)*0.475*44/12</f>
        <v>5.5596290525494583</v>
      </c>
      <c r="AB84" s="23">
        <f>EXP(-LN(2)/2)*AB83+(1-EXP(-LN(2)/2))/(LN(2)/2)*V84*Y84*VLOOKUP('Données projet'!$B$9,Paramètres!$A$1:$I$89,3,0)*0.475*44/12</f>
        <v>6.0800631648289302E-3</v>
      </c>
      <c r="AC84" s="24">
        <f t="shared" si="57"/>
        <v>19.165419284555103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243.99999999999989</v>
      </c>
      <c r="AJ84" s="14">
        <f>AI84*VLOOKUP('Données projet'!$B$10,Paramètres!$A$1:$I$89,3,0)*VLOOKUP('Données projet'!$B$10,Paramètres!$A$1:$I$89,5,0)</f>
        <v>190.31999999999991</v>
      </c>
      <c r="AK84" s="14">
        <f t="shared" si="89"/>
        <v>47.61069337740188</v>
      </c>
      <c r="AL84" s="22">
        <f t="shared" si="58"/>
        <v>414.39595763230813</v>
      </c>
      <c r="AM84" s="62">
        <f t="shared" si="59"/>
        <v>685.51671065580956</v>
      </c>
      <c r="AN84" s="62">
        <f ca="1">AVERAGE(OFFSET($AM$3,0,0,'Données projet'!$E$10+1,1))-AVERAGE(OFFSET($H$3,0,0,'Données projet'!$E$10+1,1))</f>
        <v>252.45744983674379</v>
      </c>
      <c r="AO84" s="62">
        <f t="shared" si="90"/>
        <v>283.28099819802776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18.720146956258464</v>
      </c>
      <c r="AV84" s="23">
        <f>EXP(-LN(2)/25)*AV83+(1-EXP(-LN(2)/25))/(LN(2)/25)*Calculateur!AQ84*Calculateur!AS84*VLOOKUP('Données projet'!$B$10,Paramètres!$A$1:$I$89,3,0)*0.475*44/12</f>
        <v>2.8601588123460244</v>
      </c>
      <c r="AW84" s="23">
        <f>EXP(-LN(2)/2)*AW83+(1-EXP(-LN(2)/2))/(LN(2)/2)*AQ84*AT84*VLOOKUP('Données projet'!$B$10,Paramètres!$A$1:$I$89,3,0)*0.475*44/12</f>
        <v>2.5497899344074618E-3</v>
      </c>
      <c r="AX84" s="23">
        <f t="shared" si="60"/>
        <v>21.582855558538895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243.99999999999989</v>
      </c>
      <c r="BE84" s="14">
        <f>BD84*VLOOKUP('Données projet'!$B$11,Paramètres!$A$1:$I$89,3,0)*VLOOKUP('Données projet'!$B$11,Paramètres!$A$1:$I$89,5,0)</f>
        <v>190.31999999999991</v>
      </c>
      <c r="BF84" s="14">
        <f t="shared" si="91"/>
        <v>47.61069337740188</v>
      </c>
      <c r="BG84" s="22">
        <f t="shared" si="61"/>
        <v>414.39595763230813</v>
      </c>
      <c r="BH84" s="62">
        <f t="shared" si="62"/>
        <v>685.51671065580956</v>
      </c>
      <c r="BI84" s="62">
        <f ca="1">AVERAGE(OFFSET($BH$3,0,0,'Données projet'!$E$11+1,1))-AVERAGE(OFFSET($H$3,0,0,'Données projet'!$E$11+1,1))</f>
        <v>252.45744983674379</v>
      </c>
      <c r="BJ84" s="62">
        <f t="shared" si="92"/>
        <v>283.28099819802776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18.720146956258464</v>
      </c>
      <c r="BQ84" s="23">
        <f>EXP(-LN(2)/25)*BQ83+(1-EXP(-LN(2)/25))/(LN(2)/25)*Calculateur!BL84*Calculateur!BN84*VLOOKUP('Données projet'!$B$11,Paramètres!$A$1:$I$89,3,0)*0.475*44/12</f>
        <v>2.8601588123460244</v>
      </c>
      <c r="BR84" s="23">
        <f>EXP(-LN(2)/2)*BR83+(1-EXP(-LN(2)/2))/(LN(2)/2)*BL84*BO84*VLOOKUP('Données projet'!$B$11,Paramètres!$A$1:$I$89,3,0)*0.475*44/12</f>
        <v>2.5497899344074618E-3</v>
      </c>
      <c r="BS84" s="24">
        <f t="shared" si="63"/>
        <v>21.582855558538895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243.99999999999989</v>
      </c>
      <c r="BZ84" s="14">
        <f>BY84*VLOOKUP('Données projet'!$B$12,Paramètres!$A$1:$I$89,3,0)*VLOOKUP('Données projet'!$B$12,Paramètres!$A$1:$I$89,5,0)</f>
        <v>190.31999999999991</v>
      </c>
      <c r="CA84" s="14">
        <f t="shared" si="93"/>
        <v>47.61069337740188</v>
      </c>
      <c r="CB84" s="22">
        <f t="shared" si="64"/>
        <v>414.39595763230813</v>
      </c>
      <c r="CC84" s="62">
        <f t="shared" si="65"/>
        <v>685.51671065580956</v>
      </c>
      <c r="CD84" s="62">
        <f ca="1">AVERAGE(OFFSET($CC$3,0,0,'Données projet'!$E$12+1,1))-AVERAGE(OFFSET($H$3,0,0,'Données projet'!$E$12+1,1))</f>
        <v>252.45744983674379</v>
      </c>
      <c r="CE84" s="62">
        <f t="shared" si="94"/>
        <v>283.28099819802776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18.720146956258464</v>
      </c>
      <c r="CL84" s="23">
        <f>EXP(-LN(2)/25)*CL83+(1-EXP(-LN(2)/25))/(LN(2)/25)*Calculateur!CG84*Calculateur!CI84*VLOOKUP('Données projet'!$B$12,Paramètres!$A$1:$I$89,3,0)*0.475*44/12</f>
        <v>2.8601588123460244</v>
      </c>
      <c r="CM84" s="23">
        <f>EXP(-LN(2)/2)*CM83+(1-EXP(-LN(2)/2))/(LN(2)/2)*CG84*CJ84*VLOOKUP('Données projet'!$B$12,Paramètres!$A$1:$I$89,3,0)*0.475*44/12</f>
        <v>2.5497899344074618E-3</v>
      </c>
      <c r="CN84" s="24">
        <f t="shared" si="66"/>
        <v>21.582855558538895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215.46880000000002</v>
      </c>
      <c r="O85" s="14">
        <f>N85*VLOOKUP('Données projet'!$B$9,Paramètres!$A$1:$I$89,3,0)*VLOOKUP('Données projet'!$B$9,Paramètres!$A$1:$I$89,5,0)</f>
        <v>100.83939840000001</v>
      </c>
      <c r="P85" s="14">
        <f t="shared" si="87"/>
        <v>27.161875252139833</v>
      </c>
      <c r="Q85" s="22">
        <f t="shared" si="54"/>
        <v>222.93555161081022</v>
      </c>
      <c r="R85" s="62">
        <f t="shared" si="55"/>
        <v>494.44164324279723</v>
      </c>
      <c r="S85" s="62">
        <f ca="1">AVERAGE(OFFSET($R$3,0,0,'Données projet'!$E$9+1,1))-AVERAGE(OFFSET($H$3,0,0,'Données projet'!$E$9+1,1))</f>
        <v>180.76388336802839</v>
      </c>
      <c r="T85" s="62">
        <f t="shared" si="88"/>
        <v>225.35030757566537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13.333028147433984</v>
      </c>
      <c r="AA85" s="23">
        <f>EXP(-LN(2)/25)*AA84+(1-EXP(-LN(2)/25))/(LN(2)/25)*Calculateur!V85*Calculateur!X85*VLOOKUP('Données projet'!$B$9,Paramètres!$A$1:$I$89,3,0)*0.475*44/12</f>
        <v>5.4076007037393081</v>
      </c>
      <c r="AB85" s="23">
        <f>EXP(-LN(2)/2)*AB84+(1-EXP(-LN(2)/2))/(LN(2)/2)*V85*Y85*VLOOKUP('Données projet'!$B$9,Paramètres!$A$1:$I$89,3,0)*0.475*44/12</f>
        <v>4.2992538938930779E-3</v>
      </c>
      <c r="AC85" s="24">
        <f t="shared" si="57"/>
        <v>18.744928105067185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243.99999999999989</v>
      </c>
      <c r="AJ85" s="14">
        <f>AI85*VLOOKUP('Données projet'!$B$10,Paramètres!$A$1:$I$89,3,0)*VLOOKUP('Données projet'!$B$10,Paramètres!$A$1:$I$89,5,0)</f>
        <v>190.31999999999991</v>
      </c>
      <c r="AK85" s="14">
        <f t="shared" si="89"/>
        <v>47.61069337740188</v>
      </c>
      <c r="AL85" s="22">
        <f t="shared" si="58"/>
        <v>414.39595763230813</v>
      </c>
      <c r="AM85" s="62">
        <f t="shared" si="59"/>
        <v>685.9020492642951</v>
      </c>
      <c r="AN85" s="62">
        <f ca="1">AVERAGE(OFFSET($AM$3,0,0,'Données projet'!$E$10+1,1))-AVERAGE(OFFSET($H$3,0,0,'Données projet'!$E$10+1,1))</f>
        <v>252.45744983674379</v>
      </c>
      <c r="AO85" s="62">
        <f t="shared" si="90"/>
        <v>283.28099819802776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18.353056292608429</v>
      </c>
      <c r="AV85" s="23">
        <f>EXP(-LN(2)/25)*AV84+(1-EXP(-LN(2)/25))/(LN(2)/25)*Calculateur!AQ85*Calculateur!AS85*VLOOKUP('Données projet'!$B$10,Paramètres!$A$1:$I$89,3,0)*0.475*44/12</f>
        <v>2.7819476192132075</v>
      </c>
      <c r="AW85" s="23">
        <f>EXP(-LN(2)/2)*AW84+(1-EXP(-LN(2)/2))/(LN(2)/2)*AQ85*AT85*VLOOKUP('Données projet'!$B$10,Paramètres!$A$1:$I$89,3,0)*0.475*44/12</f>
        <v>1.8029737532207185E-3</v>
      </c>
      <c r="AX85" s="23">
        <f t="shared" si="60"/>
        <v>21.136806885574856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243.99999999999989</v>
      </c>
      <c r="BE85" s="14">
        <f>BD85*VLOOKUP('Données projet'!$B$11,Paramètres!$A$1:$I$89,3,0)*VLOOKUP('Données projet'!$B$11,Paramètres!$A$1:$I$89,5,0)</f>
        <v>190.31999999999991</v>
      </c>
      <c r="BF85" s="14">
        <f t="shared" si="91"/>
        <v>47.61069337740188</v>
      </c>
      <c r="BG85" s="22">
        <f t="shared" si="61"/>
        <v>414.39595763230813</v>
      </c>
      <c r="BH85" s="62">
        <f t="shared" si="62"/>
        <v>685.9020492642951</v>
      </c>
      <c r="BI85" s="62">
        <f ca="1">AVERAGE(OFFSET($BH$3,0,0,'Données projet'!$E$11+1,1))-AVERAGE(OFFSET($H$3,0,0,'Données projet'!$E$11+1,1))</f>
        <v>252.45744983674379</v>
      </c>
      <c r="BJ85" s="62">
        <f t="shared" si="92"/>
        <v>283.28099819802776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18.353056292608429</v>
      </c>
      <c r="BQ85" s="23">
        <f>EXP(-LN(2)/25)*BQ84+(1-EXP(-LN(2)/25))/(LN(2)/25)*Calculateur!BL85*Calculateur!BN85*VLOOKUP('Données projet'!$B$11,Paramètres!$A$1:$I$89,3,0)*0.475*44/12</f>
        <v>2.7819476192132075</v>
      </c>
      <c r="BR85" s="23">
        <f>EXP(-LN(2)/2)*BR84+(1-EXP(-LN(2)/2))/(LN(2)/2)*BL85*BO85*VLOOKUP('Données projet'!$B$11,Paramètres!$A$1:$I$89,3,0)*0.475*44/12</f>
        <v>1.8029737532207185E-3</v>
      </c>
      <c r="BS85" s="24">
        <f t="shared" si="63"/>
        <v>21.136806885574856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243.99999999999989</v>
      </c>
      <c r="BZ85" s="14">
        <f>BY85*VLOOKUP('Données projet'!$B$12,Paramètres!$A$1:$I$89,3,0)*VLOOKUP('Données projet'!$B$12,Paramètres!$A$1:$I$89,5,0)</f>
        <v>190.31999999999991</v>
      </c>
      <c r="CA85" s="14">
        <f t="shared" si="93"/>
        <v>47.61069337740188</v>
      </c>
      <c r="CB85" s="22">
        <f t="shared" si="64"/>
        <v>414.39595763230813</v>
      </c>
      <c r="CC85" s="62">
        <f t="shared" si="65"/>
        <v>685.9020492642951</v>
      </c>
      <c r="CD85" s="62">
        <f ca="1">AVERAGE(OFFSET($CC$3,0,0,'Données projet'!$E$12+1,1))-AVERAGE(OFFSET($H$3,0,0,'Données projet'!$E$12+1,1))</f>
        <v>252.45744983674379</v>
      </c>
      <c r="CE85" s="62">
        <f t="shared" si="94"/>
        <v>283.28099819802776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18.353056292608429</v>
      </c>
      <c r="CL85" s="23">
        <f>EXP(-LN(2)/25)*CL84+(1-EXP(-LN(2)/25))/(LN(2)/25)*Calculateur!CG85*Calculateur!CI85*VLOOKUP('Données projet'!$B$12,Paramètres!$A$1:$I$89,3,0)*0.475*44/12</f>
        <v>2.7819476192132075</v>
      </c>
      <c r="CM85" s="23">
        <f>EXP(-LN(2)/2)*CM84+(1-EXP(-LN(2)/2))/(LN(2)/2)*CG85*CJ85*VLOOKUP('Données projet'!$B$12,Paramètres!$A$1:$I$89,3,0)*0.475*44/12</f>
        <v>1.8029737532207185E-3</v>
      </c>
      <c r="CN85" s="24">
        <f t="shared" si="66"/>
        <v>21.136806885574856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215.46880000000002</v>
      </c>
      <c r="O86" s="14">
        <f>N86*VLOOKUP('Données projet'!$B$9,Paramètres!$A$1:$I$89,3,0)*VLOOKUP('Données projet'!$B$9,Paramètres!$A$1:$I$89,5,0)</f>
        <v>100.83939840000001</v>
      </c>
      <c r="P86" s="14">
        <f t="shared" si="87"/>
        <v>27.161875252139833</v>
      </c>
      <c r="Q86" s="22">
        <f t="shared" si="54"/>
        <v>222.93555161081022</v>
      </c>
      <c r="R86" s="62">
        <f t="shared" si="55"/>
        <v>494.82029708791367</v>
      </c>
      <c r="S86" s="62">
        <f ca="1">AVERAGE(OFFSET($R$3,0,0,'Données projet'!$E$9+1,1))-AVERAGE(OFFSET($H$3,0,0,'Données projet'!$E$9+1,1))</f>
        <v>180.76388336802839</v>
      </c>
      <c r="T86" s="62">
        <f t="shared" si="88"/>
        <v>225.35030757566537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13.071575597806971</v>
      </c>
      <c r="AA86" s="23">
        <f>EXP(-LN(2)/25)*AA85+(1-EXP(-LN(2)/25))/(LN(2)/25)*Calculateur!V86*Calculateur!X86*VLOOKUP('Données projet'!$B$9,Paramètres!$A$1:$I$89,3,0)*0.475*44/12</f>
        <v>5.2597295781221947</v>
      </c>
      <c r="AB86" s="23">
        <f>EXP(-LN(2)/2)*AB85+(1-EXP(-LN(2)/2))/(LN(2)/2)*V86*Y86*VLOOKUP('Données projet'!$B$9,Paramètres!$A$1:$I$89,3,0)*0.475*44/12</f>
        <v>3.0400315824144651E-3</v>
      </c>
      <c r="AC86" s="24">
        <f t="shared" si="57"/>
        <v>18.334345207511582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243.99999999999989</v>
      </c>
      <c r="AJ86" s="14">
        <f>AI86*VLOOKUP('Données projet'!$B$10,Paramètres!$A$1:$I$89,3,0)*VLOOKUP('Données projet'!$B$10,Paramètres!$A$1:$I$89,5,0)</f>
        <v>190.31999999999991</v>
      </c>
      <c r="AK86" s="14">
        <f t="shared" si="89"/>
        <v>47.61069337740188</v>
      </c>
      <c r="AL86" s="22">
        <f t="shared" si="58"/>
        <v>414.39595763230813</v>
      </c>
      <c r="AM86" s="62">
        <f t="shared" si="59"/>
        <v>686.28070310941166</v>
      </c>
      <c r="AN86" s="62">
        <f ca="1">AVERAGE(OFFSET($AM$3,0,0,'Données projet'!$E$10+1,1))-AVERAGE(OFFSET($H$3,0,0,'Données projet'!$E$10+1,1))</f>
        <v>252.45744983674379</v>
      </c>
      <c r="AO86" s="62">
        <f t="shared" si="90"/>
        <v>283.28099819802776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17.993164052969373</v>
      </c>
      <c r="AV86" s="23">
        <f>EXP(-LN(2)/25)*AV85+(1-EXP(-LN(2)/25))/(LN(2)/25)*Calculateur!AQ86*Calculateur!AS86*VLOOKUP('Données projet'!$B$10,Paramètres!$A$1:$I$89,3,0)*0.475*44/12</f>
        <v>2.7058751152695555</v>
      </c>
      <c r="AW86" s="23">
        <f>EXP(-LN(2)/2)*AW85+(1-EXP(-LN(2)/2))/(LN(2)/2)*AQ86*AT86*VLOOKUP('Données projet'!$B$10,Paramètres!$A$1:$I$89,3,0)*0.475*44/12</f>
        <v>1.2748949672037309E-3</v>
      </c>
      <c r="AX86" s="23">
        <f t="shared" si="60"/>
        <v>20.700314063206132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243.99999999999989</v>
      </c>
      <c r="BE86" s="14">
        <f>BD86*VLOOKUP('Données projet'!$B$11,Paramètres!$A$1:$I$89,3,0)*VLOOKUP('Données projet'!$B$11,Paramètres!$A$1:$I$89,5,0)</f>
        <v>190.31999999999991</v>
      </c>
      <c r="BF86" s="14">
        <f t="shared" si="91"/>
        <v>47.61069337740188</v>
      </c>
      <c r="BG86" s="22">
        <f t="shared" si="61"/>
        <v>414.39595763230813</v>
      </c>
      <c r="BH86" s="62">
        <f t="shared" si="62"/>
        <v>686.28070310941166</v>
      </c>
      <c r="BI86" s="62">
        <f ca="1">AVERAGE(OFFSET($BH$3,0,0,'Données projet'!$E$11+1,1))-AVERAGE(OFFSET($H$3,0,0,'Données projet'!$E$11+1,1))</f>
        <v>252.45744983674379</v>
      </c>
      <c r="BJ86" s="62">
        <f t="shared" si="92"/>
        <v>283.28099819802776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17.993164052969373</v>
      </c>
      <c r="BQ86" s="23">
        <f>EXP(-LN(2)/25)*BQ85+(1-EXP(-LN(2)/25))/(LN(2)/25)*Calculateur!BL86*Calculateur!BN86*VLOOKUP('Données projet'!$B$11,Paramètres!$A$1:$I$89,3,0)*0.475*44/12</f>
        <v>2.7058751152695555</v>
      </c>
      <c r="BR86" s="23">
        <f>EXP(-LN(2)/2)*BR85+(1-EXP(-LN(2)/2))/(LN(2)/2)*BL86*BO86*VLOOKUP('Données projet'!$B$11,Paramètres!$A$1:$I$89,3,0)*0.475*44/12</f>
        <v>1.2748949672037309E-3</v>
      </c>
      <c r="BS86" s="24">
        <f t="shared" si="63"/>
        <v>20.700314063206132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243.99999999999989</v>
      </c>
      <c r="BZ86" s="14">
        <f>BY86*VLOOKUP('Données projet'!$B$12,Paramètres!$A$1:$I$89,3,0)*VLOOKUP('Données projet'!$B$12,Paramètres!$A$1:$I$89,5,0)</f>
        <v>190.31999999999991</v>
      </c>
      <c r="CA86" s="14">
        <f t="shared" si="93"/>
        <v>47.61069337740188</v>
      </c>
      <c r="CB86" s="22">
        <f t="shared" si="64"/>
        <v>414.39595763230813</v>
      </c>
      <c r="CC86" s="62">
        <f t="shared" si="65"/>
        <v>686.28070310941166</v>
      </c>
      <c r="CD86" s="62">
        <f ca="1">AVERAGE(OFFSET($CC$3,0,0,'Données projet'!$E$12+1,1))-AVERAGE(OFFSET($H$3,0,0,'Données projet'!$E$12+1,1))</f>
        <v>252.45744983674379</v>
      </c>
      <c r="CE86" s="62">
        <f t="shared" si="94"/>
        <v>283.28099819802776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17.993164052969373</v>
      </c>
      <c r="CL86" s="23">
        <f>EXP(-LN(2)/25)*CL85+(1-EXP(-LN(2)/25))/(LN(2)/25)*Calculateur!CG86*Calculateur!CI86*VLOOKUP('Données projet'!$B$12,Paramètres!$A$1:$I$89,3,0)*0.475*44/12</f>
        <v>2.7058751152695555</v>
      </c>
      <c r="CM86" s="23">
        <f>EXP(-LN(2)/2)*CM85+(1-EXP(-LN(2)/2))/(LN(2)/2)*CG86*CJ86*VLOOKUP('Données projet'!$B$12,Paramètres!$A$1:$I$89,3,0)*0.475*44/12</f>
        <v>1.2748949672037309E-3</v>
      </c>
      <c r="CN86" s="24">
        <f t="shared" si="66"/>
        <v>20.700314063206132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215.46880000000002</v>
      </c>
      <c r="O87" s="14">
        <f>N87*VLOOKUP('Données projet'!$B$9,Paramètres!$A$1:$I$89,3,0)*VLOOKUP('Données projet'!$B$9,Paramètres!$A$1:$I$89,5,0)</f>
        <v>100.83939840000001</v>
      </c>
      <c r="P87" s="14">
        <f t="shared" si="87"/>
        <v>27.161875252139833</v>
      </c>
      <c r="Q87" s="22">
        <f t="shared" si="54"/>
        <v>222.93555161081022</v>
      </c>
      <c r="R87" s="62">
        <f t="shared" si="55"/>
        <v>495.1923821353605</v>
      </c>
      <c r="S87" s="62">
        <f ca="1">AVERAGE(OFFSET($R$3,0,0,'Données projet'!$E$9+1,1))-AVERAGE(OFFSET($H$3,0,0,'Données projet'!$E$9+1,1))</f>
        <v>180.76388336802839</v>
      </c>
      <c r="T87" s="62">
        <f t="shared" si="88"/>
        <v>225.35030757566537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12.815249973207836</v>
      </c>
      <c r="AA87" s="23">
        <f>EXP(-LN(2)/25)*AA86+(1-EXP(-LN(2)/25))/(LN(2)/25)*Calculateur!V87*Calculateur!X87*VLOOKUP('Données projet'!$B$9,Paramètres!$A$1:$I$89,3,0)*0.475*44/12</f>
        <v>5.1159019962112859</v>
      </c>
      <c r="AB87" s="23">
        <f>EXP(-LN(2)/2)*AB86+(1-EXP(-LN(2)/2))/(LN(2)/2)*V87*Y87*VLOOKUP('Données projet'!$B$9,Paramètres!$A$1:$I$89,3,0)*0.475*44/12</f>
        <v>2.1496269469465389E-3</v>
      </c>
      <c r="AC87" s="24">
        <f t="shared" si="57"/>
        <v>17.933301596366068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243.99999999999989</v>
      </c>
      <c r="AJ87" s="14">
        <f>AI87*VLOOKUP('Données projet'!$B$10,Paramètres!$A$1:$I$89,3,0)*VLOOKUP('Données projet'!$B$10,Paramètres!$A$1:$I$89,5,0)</f>
        <v>190.31999999999991</v>
      </c>
      <c r="AK87" s="14">
        <f t="shared" si="89"/>
        <v>47.61069337740188</v>
      </c>
      <c r="AL87" s="22">
        <f t="shared" si="58"/>
        <v>414.39595763230813</v>
      </c>
      <c r="AM87" s="62">
        <f t="shared" si="59"/>
        <v>686.65278815685838</v>
      </c>
      <c r="AN87" s="62">
        <f ca="1">AVERAGE(OFFSET($AM$3,0,0,'Données projet'!$E$10+1,1))-AVERAGE(OFFSET($H$3,0,0,'Données projet'!$E$10+1,1))</f>
        <v>252.45744983674379</v>
      </c>
      <c r="AO87" s="62">
        <f t="shared" si="90"/>
        <v>283.28099819802776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17.640329080637049</v>
      </c>
      <c r="AV87" s="23">
        <f>EXP(-LN(2)/25)*AV86+(1-EXP(-LN(2)/25))/(LN(2)/25)*Calculateur!AQ87*Calculateur!AS87*VLOOKUP('Données projet'!$B$10,Paramètres!$A$1:$I$89,3,0)*0.475*44/12</f>
        <v>2.6318828179467215</v>
      </c>
      <c r="AW87" s="23">
        <f>EXP(-LN(2)/2)*AW86+(1-EXP(-LN(2)/2))/(LN(2)/2)*AQ87*AT87*VLOOKUP('Données projet'!$B$10,Paramètres!$A$1:$I$89,3,0)*0.475*44/12</f>
        <v>9.0148687661035923E-4</v>
      </c>
      <c r="AX87" s="23">
        <f t="shared" si="60"/>
        <v>20.27311338546038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243.99999999999989</v>
      </c>
      <c r="BE87" s="14">
        <f>BD87*VLOOKUP('Données projet'!$B$11,Paramètres!$A$1:$I$89,3,0)*VLOOKUP('Données projet'!$B$11,Paramètres!$A$1:$I$89,5,0)</f>
        <v>190.31999999999991</v>
      </c>
      <c r="BF87" s="14">
        <f t="shared" si="91"/>
        <v>47.61069337740188</v>
      </c>
      <c r="BG87" s="22">
        <f t="shared" si="61"/>
        <v>414.39595763230813</v>
      </c>
      <c r="BH87" s="62">
        <f t="shared" si="62"/>
        <v>686.65278815685838</v>
      </c>
      <c r="BI87" s="62">
        <f ca="1">AVERAGE(OFFSET($BH$3,0,0,'Données projet'!$E$11+1,1))-AVERAGE(OFFSET($H$3,0,0,'Données projet'!$E$11+1,1))</f>
        <v>252.45744983674379</v>
      </c>
      <c r="BJ87" s="62">
        <f t="shared" si="92"/>
        <v>283.28099819802776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17.640329080637049</v>
      </c>
      <c r="BQ87" s="23">
        <f>EXP(-LN(2)/25)*BQ86+(1-EXP(-LN(2)/25))/(LN(2)/25)*Calculateur!BL87*Calculateur!BN87*VLOOKUP('Données projet'!$B$11,Paramètres!$A$1:$I$89,3,0)*0.475*44/12</f>
        <v>2.6318828179467215</v>
      </c>
      <c r="BR87" s="23">
        <f>EXP(-LN(2)/2)*BR86+(1-EXP(-LN(2)/2))/(LN(2)/2)*BL87*BO87*VLOOKUP('Données projet'!$B$11,Paramètres!$A$1:$I$89,3,0)*0.475*44/12</f>
        <v>9.0148687661035923E-4</v>
      </c>
      <c r="BS87" s="24">
        <f t="shared" si="63"/>
        <v>20.27311338546038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243.99999999999989</v>
      </c>
      <c r="BZ87" s="14">
        <f>BY87*VLOOKUP('Données projet'!$B$12,Paramètres!$A$1:$I$89,3,0)*VLOOKUP('Données projet'!$B$12,Paramètres!$A$1:$I$89,5,0)</f>
        <v>190.31999999999991</v>
      </c>
      <c r="CA87" s="14">
        <f t="shared" si="93"/>
        <v>47.61069337740188</v>
      </c>
      <c r="CB87" s="22">
        <f t="shared" si="64"/>
        <v>414.39595763230813</v>
      </c>
      <c r="CC87" s="62">
        <f t="shared" si="65"/>
        <v>686.65278815685838</v>
      </c>
      <c r="CD87" s="62">
        <f ca="1">AVERAGE(OFFSET($CC$3,0,0,'Données projet'!$E$12+1,1))-AVERAGE(OFFSET($H$3,0,0,'Données projet'!$E$12+1,1))</f>
        <v>252.45744983674379</v>
      </c>
      <c r="CE87" s="62">
        <f t="shared" si="94"/>
        <v>283.28099819802776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17.640329080637049</v>
      </c>
      <c r="CL87" s="23">
        <f>EXP(-LN(2)/25)*CL86+(1-EXP(-LN(2)/25))/(LN(2)/25)*Calculateur!CG87*Calculateur!CI87*VLOOKUP('Données projet'!$B$12,Paramètres!$A$1:$I$89,3,0)*0.475*44/12</f>
        <v>2.6318828179467215</v>
      </c>
      <c r="CM87" s="23">
        <f>EXP(-LN(2)/2)*CM86+(1-EXP(-LN(2)/2))/(LN(2)/2)*CG87*CJ87*VLOOKUP('Données projet'!$B$12,Paramètres!$A$1:$I$89,3,0)*0.475*44/12</f>
        <v>9.0148687661035923E-4</v>
      </c>
      <c r="CN87" s="24">
        <f t="shared" si="66"/>
        <v>20.27311338546038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215.46880000000002</v>
      </c>
      <c r="O88" s="14">
        <f>N88*VLOOKUP('Données projet'!$B$9,Paramètres!$A$1:$I$89,3,0)*VLOOKUP('Données projet'!$B$9,Paramètres!$A$1:$I$89,5,0)</f>
        <v>100.83939840000001</v>
      </c>
      <c r="P88" s="14">
        <f t="shared" si="87"/>
        <v>27.161875252139833</v>
      </c>
      <c r="Q88" s="22">
        <f t="shared" si="54"/>
        <v>222.93555161081022</v>
      </c>
      <c r="R88" s="62">
        <f t="shared" si="55"/>
        <v>495.55801233909176</v>
      </c>
      <c r="S88" s="62">
        <f ca="1">AVERAGE(OFFSET($R$3,0,0,'Données projet'!$E$9+1,1))-AVERAGE(OFFSET($H$3,0,0,'Données projet'!$E$9+1,1))</f>
        <v>180.76388336802839</v>
      </c>
      <c r="T88" s="62">
        <f t="shared" si="88"/>
        <v>225.35030757566537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12.563950737763895</v>
      </c>
      <c r="AA88" s="23">
        <f>EXP(-LN(2)/25)*AA87+(1-EXP(-LN(2)/25))/(LN(2)/25)*Calculateur!V88*Calculateur!X88*VLOOKUP('Données projet'!$B$9,Paramètres!$A$1:$I$89,3,0)*0.475*44/12</f>
        <v>4.9760073870912951</v>
      </c>
      <c r="AB88" s="23">
        <f>EXP(-LN(2)/2)*AB87+(1-EXP(-LN(2)/2))/(LN(2)/2)*V88*Y88*VLOOKUP('Données projet'!$B$9,Paramètres!$A$1:$I$89,3,0)*0.475*44/12</f>
        <v>1.5200157912072325E-3</v>
      </c>
      <c r="AC88" s="24">
        <f t="shared" si="57"/>
        <v>17.541478140646397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243.99999999999989</v>
      </c>
      <c r="AJ88" s="14">
        <f>AI88*VLOOKUP('Données projet'!$B$10,Paramètres!$A$1:$I$89,3,0)*VLOOKUP('Données projet'!$B$10,Paramètres!$A$1:$I$89,5,0)</f>
        <v>190.31999999999991</v>
      </c>
      <c r="AK88" s="14">
        <f t="shared" si="89"/>
        <v>47.61069337740188</v>
      </c>
      <c r="AL88" s="22">
        <f t="shared" si="58"/>
        <v>414.39595763230813</v>
      </c>
      <c r="AM88" s="62">
        <f t="shared" si="59"/>
        <v>687.01841836058964</v>
      </c>
      <c r="AN88" s="62">
        <f ca="1">AVERAGE(OFFSET($AM$3,0,0,'Données projet'!$E$10+1,1))-AVERAGE(OFFSET($H$3,0,0,'Données projet'!$E$10+1,1))</f>
        <v>252.45744983674379</v>
      </c>
      <c r="AO88" s="62">
        <f t="shared" si="90"/>
        <v>283.28099819802776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17.294412986904078</v>
      </c>
      <c r="AV88" s="23">
        <f>EXP(-LN(2)/25)*AV87+(1-EXP(-LN(2)/25))/(LN(2)/25)*Calculateur!AQ88*Calculateur!AS88*VLOOKUP('Données projet'!$B$10,Paramètres!$A$1:$I$89,3,0)*0.475*44/12</f>
        <v>2.5599138438852664</v>
      </c>
      <c r="AW88" s="23">
        <f>EXP(-LN(2)/2)*AW87+(1-EXP(-LN(2)/2))/(LN(2)/2)*AQ88*AT88*VLOOKUP('Données projet'!$B$10,Paramètres!$A$1:$I$89,3,0)*0.475*44/12</f>
        <v>6.3744748360186545E-4</v>
      </c>
      <c r="AX88" s="23">
        <f t="shared" si="60"/>
        <v>19.854964278272945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243.99999999999989</v>
      </c>
      <c r="BE88" s="14">
        <f>BD88*VLOOKUP('Données projet'!$B$11,Paramètres!$A$1:$I$89,3,0)*VLOOKUP('Données projet'!$B$11,Paramètres!$A$1:$I$89,5,0)</f>
        <v>190.31999999999991</v>
      </c>
      <c r="BF88" s="14">
        <f t="shared" si="91"/>
        <v>47.61069337740188</v>
      </c>
      <c r="BG88" s="22">
        <f t="shared" si="61"/>
        <v>414.39595763230813</v>
      </c>
      <c r="BH88" s="62">
        <f t="shared" si="62"/>
        <v>687.01841836058964</v>
      </c>
      <c r="BI88" s="62">
        <f ca="1">AVERAGE(OFFSET($BH$3,0,0,'Données projet'!$E$11+1,1))-AVERAGE(OFFSET($H$3,0,0,'Données projet'!$E$11+1,1))</f>
        <v>252.45744983674379</v>
      </c>
      <c r="BJ88" s="62">
        <f t="shared" si="92"/>
        <v>283.28099819802776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17.294412986904078</v>
      </c>
      <c r="BQ88" s="23">
        <f>EXP(-LN(2)/25)*BQ87+(1-EXP(-LN(2)/25))/(LN(2)/25)*Calculateur!BL88*Calculateur!BN88*VLOOKUP('Données projet'!$B$11,Paramètres!$A$1:$I$89,3,0)*0.475*44/12</f>
        <v>2.5599138438852664</v>
      </c>
      <c r="BR88" s="23">
        <f>EXP(-LN(2)/2)*BR87+(1-EXP(-LN(2)/2))/(LN(2)/2)*BL88*BO88*VLOOKUP('Données projet'!$B$11,Paramètres!$A$1:$I$89,3,0)*0.475*44/12</f>
        <v>6.3744748360186545E-4</v>
      </c>
      <c r="BS88" s="24">
        <f t="shared" si="63"/>
        <v>19.854964278272945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243.99999999999989</v>
      </c>
      <c r="BZ88" s="14">
        <f>BY88*VLOOKUP('Données projet'!$B$12,Paramètres!$A$1:$I$89,3,0)*VLOOKUP('Données projet'!$B$12,Paramètres!$A$1:$I$89,5,0)</f>
        <v>190.31999999999991</v>
      </c>
      <c r="CA88" s="14">
        <f t="shared" si="93"/>
        <v>47.61069337740188</v>
      </c>
      <c r="CB88" s="22">
        <f t="shared" si="64"/>
        <v>414.39595763230813</v>
      </c>
      <c r="CC88" s="62">
        <f t="shared" si="65"/>
        <v>687.01841836058964</v>
      </c>
      <c r="CD88" s="62">
        <f ca="1">AVERAGE(OFFSET($CC$3,0,0,'Données projet'!$E$12+1,1))-AVERAGE(OFFSET($H$3,0,0,'Données projet'!$E$12+1,1))</f>
        <v>252.45744983674379</v>
      </c>
      <c r="CE88" s="62">
        <f t="shared" si="94"/>
        <v>283.28099819802776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17.294412986904078</v>
      </c>
      <c r="CL88" s="23">
        <f>EXP(-LN(2)/25)*CL87+(1-EXP(-LN(2)/25))/(LN(2)/25)*Calculateur!CG88*Calculateur!CI88*VLOOKUP('Données projet'!$B$12,Paramètres!$A$1:$I$89,3,0)*0.475*44/12</f>
        <v>2.5599138438852664</v>
      </c>
      <c r="CM88" s="23">
        <f>EXP(-LN(2)/2)*CM87+(1-EXP(-LN(2)/2))/(LN(2)/2)*CG88*CJ88*VLOOKUP('Données projet'!$B$12,Paramètres!$A$1:$I$89,3,0)*0.475*44/12</f>
        <v>6.3744748360186545E-4</v>
      </c>
      <c r="CN88" s="24">
        <f t="shared" si="66"/>
        <v>19.854964278272945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215.46880000000002</v>
      </c>
      <c r="O89" s="14">
        <f>N89*VLOOKUP('Données projet'!$B$9,Paramètres!$A$1:$I$89,3,0)*VLOOKUP('Données projet'!$B$9,Paramètres!$A$1:$I$89,5,0)</f>
        <v>100.83939840000001</v>
      </c>
      <c r="P89" s="14">
        <f t="shared" si="87"/>
        <v>27.161875252139833</v>
      </c>
      <c r="Q89" s="22">
        <f t="shared" si="54"/>
        <v>222.93555161081022</v>
      </c>
      <c r="R89" s="62">
        <f t="shared" si="55"/>
        <v>495.91729967621495</v>
      </c>
      <c r="S89" s="62">
        <f ca="1">AVERAGE(OFFSET($R$3,0,0,'Données projet'!$E$9+1,1))-AVERAGE(OFFSET($H$3,0,0,'Données projet'!$E$9+1,1))</f>
        <v>180.76388336802839</v>
      </c>
      <c r="T89" s="62">
        <f t="shared" si="88"/>
        <v>225.35030757566537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12.317579327049611</v>
      </c>
      <c r="AA89" s="23">
        <f>EXP(-LN(2)/25)*AA88+(1-EXP(-LN(2)/25))/(LN(2)/25)*Calculateur!V89*Calculateur!X89*VLOOKUP('Données projet'!$B$9,Paramètres!$A$1:$I$89,3,0)*0.475*44/12</f>
        <v>4.8399382034144276</v>
      </c>
      <c r="AB89" s="23">
        <f>EXP(-LN(2)/2)*AB88+(1-EXP(-LN(2)/2))/(LN(2)/2)*V89*Y89*VLOOKUP('Données projet'!$B$9,Paramètres!$A$1:$I$89,3,0)*0.475*44/12</f>
        <v>1.0748134734732695E-3</v>
      </c>
      <c r="AC89" s="24">
        <f t="shared" si="57"/>
        <v>17.15859234393751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243.99999999999989</v>
      </c>
      <c r="AJ89" s="14">
        <f>AI89*VLOOKUP('Données projet'!$B$10,Paramètres!$A$1:$I$89,3,0)*VLOOKUP('Données projet'!$B$10,Paramètres!$A$1:$I$89,5,0)</f>
        <v>190.31999999999991</v>
      </c>
      <c r="AK89" s="14">
        <f t="shared" si="89"/>
        <v>47.61069337740188</v>
      </c>
      <c r="AL89" s="22">
        <f t="shared" si="58"/>
        <v>414.39595763230813</v>
      </c>
      <c r="AM89" s="62">
        <f t="shared" si="59"/>
        <v>687.37770569771283</v>
      </c>
      <c r="AN89" s="62">
        <f ca="1">AVERAGE(OFFSET($AM$3,0,0,'Données projet'!$E$10+1,1))-AVERAGE(OFFSET($H$3,0,0,'Données projet'!$E$10+1,1))</f>
        <v>252.45744983674379</v>
      </c>
      <c r="AO89" s="62">
        <f t="shared" si="90"/>
        <v>283.28099819802776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16.955280096781227</v>
      </c>
      <c r="AV89" s="23">
        <f>EXP(-LN(2)/25)*AV88+(1-EXP(-LN(2)/25))/(LN(2)/25)*Calculateur!AQ89*Calculateur!AS89*VLOOKUP('Données projet'!$B$10,Paramètres!$A$1:$I$89,3,0)*0.475*44/12</f>
        <v>2.4899128652042055</v>
      </c>
      <c r="AW89" s="23">
        <f>EXP(-LN(2)/2)*AW88+(1-EXP(-LN(2)/2))/(LN(2)/2)*AQ89*AT89*VLOOKUP('Données projet'!$B$10,Paramètres!$A$1:$I$89,3,0)*0.475*44/12</f>
        <v>4.5074343830517962E-4</v>
      </c>
      <c r="AX89" s="23">
        <f t="shared" si="60"/>
        <v>19.445643705423738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243.99999999999989</v>
      </c>
      <c r="BE89" s="14">
        <f>BD89*VLOOKUP('Données projet'!$B$11,Paramètres!$A$1:$I$89,3,0)*VLOOKUP('Données projet'!$B$11,Paramètres!$A$1:$I$89,5,0)</f>
        <v>190.31999999999991</v>
      </c>
      <c r="BF89" s="14">
        <f t="shared" si="91"/>
        <v>47.61069337740188</v>
      </c>
      <c r="BG89" s="22">
        <f t="shared" si="61"/>
        <v>414.39595763230813</v>
      </c>
      <c r="BH89" s="62">
        <f t="shared" si="62"/>
        <v>687.37770569771283</v>
      </c>
      <c r="BI89" s="62">
        <f ca="1">AVERAGE(OFFSET($BH$3,0,0,'Données projet'!$E$11+1,1))-AVERAGE(OFFSET($H$3,0,0,'Données projet'!$E$11+1,1))</f>
        <v>252.45744983674379</v>
      </c>
      <c r="BJ89" s="62">
        <f t="shared" si="92"/>
        <v>283.28099819802776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16.955280096781227</v>
      </c>
      <c r="BQ89" s="23">
        <f>EXP(-LN(2)/25)*BQ88+(1-EXP(-LN(2)/25))/(LN(2)/25)*Calculateur!BL89*Calculateur!BN89*VLOOKUP('Données projet'!$B$11,Paramètres!$A$1:$I$89,3,0)*0.475*44/12</f>
        <v>2.4899128652042055</v>
      </c>
      <c r="BR89" s="23">
        <f>EXP(-LN(2)/2)*BR88+(1-EXP(-LN(2)/2))/(LN(2)/2)*BL89*BO89*VLOOKUP('Données projet'!$B$11,Paramètres!$A$1:$I$89,3,0)*0.475*44/12</f>
        <v>4.5074343830517962E-4</v>
      </c>
      <c r="BS89" s="24">
        <f t="shared" si="63"/>
        <v>19.445643705423738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243.99999999999989</v>
      </c>
      <c r="BZ89" s="14">
        <f>BY89*VLOOKUP('Données projet'!$B$12,Paramètres!$A$1:$I$89,3,0)*VLOOKUP('Données projet'!$B$12,Paramètres!$A$1:$I$89,5,0)</f>
        <v>190.31999999999991</v>
      </c>
      <c r="CA89" s="14">
        <f t="shared" si="93"/>
        <v>47.61069337740188</v>
      </c>
      <c r="CB89" s="22">
        <f t="shared" si="64"/>
        <v>414.39595763230813</v>
      </c>
      <c r="CC89" s="62">
        <f t="shared" si="65"/>
        <v>687.37770569771283</v>
      </c>
      <c r="CD89" s="62">
        <f ca="1">AVERAGE(OFFSET($CC$3,0,0,'Données projet'!$E$12+1,1))-AVERAGE(OFFSET($H$3,0,0,'Données projet'!$E$12+1,1))</f>
        <v>252.45744983674379</v>
      </c>
      <c r="CE89" s="62">
        <f t="shared" si="94"/>
        <v>283.28099819802776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16.955280096781227</v>
      </c>
      <c r="CL89" s="23">
        <f>EXP(-LN(2)/25)*CL88+(1-EXP(-LN(2)/25))/(LN(2)/25)*Calculateur!CG89*Calculateur!CI89*VLOOKUP('Données projet'!$B$12,Paramètres!$A$1:$I$89,3,0)*0.475*44/12</f>
        <v>2.4899128652042055</v>
      </c>
      <c r="CM89" s="23">
        <f>EXP(-LN(2)/2)*CM88+(1-EXP(-LN(2)/2))/(LN(2)/2)*CG89*CJ89*VLOOKUP('Données projet'!$B$12,Paramètres!$A$1:$I$89,3,0)*0.475*44/12</f>
        <v>4.5074343830517962E-4</v>
      </c>
      <c r="CN89" s="24">
        <f t="shared" si="66"/>
        <v>19.445643705423738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215.46880000000002</v>
      </c>
      <c r="O90" s="14">
        <f>N90*VLOOKUP('Données projet'!$B$9,Paramètres!$A$1:$I$89,3,0)*VLOOKUP('Données projet'!$B$9,Paramètres!$A$1:$I$89,5,0)</f>
        <v>100.83939840000001</v>
      </c>
      <c r="P90" s="14">
        <f t="shared" si="87"/>
        <v>27.161875252139833</v>
      </c>
      <c r="Q90" s="22">
        <f t="shared" si="54"/>
        <v>222.93555161081022</v>
      </c>
      <c r="R90" s="62">
        <f t="shared" si="55"/>
        <v>496.27035418128503</v>
      </c>
      <c r="S90" s="62">
        <f ca="1">AVERAGE(OFFSET($R$3,0,0,'Données projet'!$E$9+1,1))-AVERAGE(OFFSET($H$3,0,0,'Données projet'!$E$9+1,1))</f>
        <v>180.76388336802839</v>
      </c>
      <c r="T90" s="62">
        <f t="shared" si="88"/>
        <v>225.35030757566537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12.076039109427713</v>
      </c>
      <c r="AA90" s="23">
        <f>EXP(-LN(2)/25)*AA89+(1-EXP(-LN(2)/25))/(LN(2)/25)*Calculateur!V90*Calculateur!X90*VLOOKUP('Données projet'!$B$9,Paramètres!$A$1:$I$89,3,0)*0.475*44/12</f>
        <v>4.7075898387207715</v>
      </c>
      <c r="AB90" s="23">
        <f>EXP(-LN(2)/2)*AB89+(1-EXP(-LN(2)/2))/(LN(2)/2)*V90*Y90*VLOOKUP('Données projet'!$B$9,Paramètres!$A$1:$I$89,3,0)*0.475*44/12</f>
        <v>7.6000789560361627E-4</v>
      </c>
      <c r="AC90" s="24">
        <f t="shared" si="57"/>
        <v>16.784388956044086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243.99999999999989</v>
      </c>
      <c r="AJ90" s="14">
        <f>AI90*VLOOKUP('Données projet'!$B$10,Paramètres!$A$1:$I$89,3,0)*VLOOKUP('Données projet'!$B$10,Paramètres!$A$1:$I$89,5,0)</f>
        <v>190.31999999999991</v>
      </c>
      <c r="AK90" s="14">
        <f t="shared" si="89"/>
        <v>47.61069337740188</v>
      </c>
      <c r="AL90" s="22">
        <f t="shared" si="58"/>
        <v>414.39595763230813</v>
      </c>
      <c r="AM90" s="62">
        <f t="shared" si="59"/>
        <v>687.7307602027829</v>
      </c>
      <c r="AN90" s="62">
        <f ca="1">AVERAGE(OFFSET($AM$3,0,0,'Données projet'!$E$10+1,1))-AVERAGE(OFFSET($H$3,0,0,'Données projet'!$E$10+1,1))</f>
        <v>252.45744983674379</v>
      </c>
      <c r="AO90" s="62">
        <f t="shared" si="90"/>
        <v>283.28099819802776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16.622797395783049</v>
      </c>
      <c r="AV90" s="23">
        <f>EXP(-LN(2)/25)*AV89+(1-EXP(-LN(2)/25))/(LN(2)/25)*Calculateur!AQ90*Calculateur!AS90*VLOOKUP('Données projet'!$B$10,Paramètres!$A$1:$I$89,3,0)*0.475*44/12</f>
        <v>2.4218260669663696</v>
      </c>
      <c r="AW90" s="23">
        <f>EXP(-LN(2)/2)*AW89+(1-EXP(-LN(2)/2))/(LN(2)/2)*AQ90*AT90*VLOOKUP('Données projet'!$B$10,Paramètres!$A$1:$I$89,3,0)*0.475*44/12</f>
        <v>3.1872374180093272E-4</v>
      </c>
      <c r="AX90" s="23">
        <f t="shared" si="60"/>
        <v>19.044942186491223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243.99999999999989</v>
      </c>
      <c r="BE90" s="14">
        <f>BD90*VLOOKUP('Données projet'!$B$11,Paramètres!$A$1:$I$89,3,0)*VLOOKUP('Données projet'!$B$11,Paramètres!$A$1:$I$89,5,0)</f>
        <v>190.31999999999991</v>
      </c>
      <c r="BF90" s="14">
        <f t="shared" si="91"/>
        <v>47.61069337740188</v>
      </c>
      <c r="BG90" s="22">
        <f t="shared" si="61"/>
        <v>414.39595763230813</v>
      </c>
      <c r="BH90" s="62">
        <f t="shared" si="62"/>
        <v>687.7307602027829</v>
      </c>
      <c r="BI90" s="62">
        <f ca="1">AVERAGE(OFFSET($BH$3,0,0,'Données projet'!$E$11+1,1))-AVERAGE(OFFSET($H$3,0,0,'Données projet'!$E$11+1,1))</f>
        <v>252.45744983674379</v>
      </c>
      <c r="BJ90" s="62">
        <f t="shared" si="92"/>
        <v>283.28099819802776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16.622797395783049</v>
      </c>
      <c r="BQ90" s="23">
        <f>EXP(-LN(2)/25)*BQ89+(1-EXP(-LN(2)/25))/(LN(2)/25)*Calculateur!BL90*Calculateur!BN90*VLOOKUP('Données projet'!$B$11,Paramètres!$A$1:$I$89,3,0)*0.475*44/12</f>
        <v>2.4218260669663696</v>
      </c>
      <c r="BR90" s="23">
        <f>EXP(-LN(2)/2)*BR89+(1-EXP(-LN(2)/2))/(LN(2)/2)*BL90*BO90*VLOOKUP('Données projet'!$B$11,Paramètres!$A$1:$I$89,3,0)*0.475*44/12</f>
        <v>3.1872374180093272E-4</v>
      </c>
      <c r="BS90" s="24">
        <f t="shared" si="63"/>
        <v>19.044942186491223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243.99999999999989</v>
      </c>
      <c r="BZ90" s="14">
        <f>BY90*VLOOKUP('Données projet'!$B$12,Paramètres!$A$1:$I$89,3,0)*VLOOKUP('Données projet'!$B$12,Paramètres!$A$1:$I$89,5,0)</f>
        <v>190.31999999999991</v>
      </c>
      <c r="CA90" s="14">
        <f t="shared" si="93"/>
        <v>47.61069337740188</v>
      </c>
      <c r="CB90" s="22">
        <f t="shared" si="64"/>
        <v>414.39595763230813</v>
      </c>
      <c r="CC90" s="62">
        <f t="shared" si="65"/>
        <v>687.7307602027829</v>
      </c>
      <c r="CD90" s="62">
        <f ca="1">AVERAGE(OFFSET($CC$3,0,0,'Données projet'!$E$12+1,1))-AVERAGE(OFFSET($H$3,0,0,'Données projet'!$E$12+1,1))</f>
        <v>252.45744983674379</v>
      </c>
      <c r="CE90" s="62">
        <f t="shared" si="94"/>
        <v>283.28099819802776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16.622797395783049</v>
      </c>
      <c r="CL90" s="23">
        <f>EXP(-LN(2)/25)*CL89+(1-EXP(-LN(2)/25))/(LN(2)/25)*Calculateur!CG90*Calculateur!CI90*VLOOKUP('Données projet'!$B$12,Paramètres!$A$1:$I$89,3,0)*0.475*44/12</f>
        <v>2.4218260669663696</v>
      </c>
      <c r="CM90" s="23">
        <f>EXP(-LN(2)/2)*CM89+(1-EXP(-LN(2)/2))/(LN(2)/2)*CG90*CJ90*VLOOKUP('Données projet'!$B$12,Paramètres!$A$1:$I$89,3,0)*0.475*44/12</f>
        <v>3.1872374180093272E-4</v>
      </c>
      <c r="CN90" s="24">
        <f t="shared" si="66"/>
        <v>19.044942186491223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215.46880000000002</v>
      </c>
      <c r="O91" s="14">
        <f>N91*VLOOKUP('Données projet'!$B$9,Paramètres!$A$1:$I$89,3,0)*VLOOKUP('Données projet'!$B$9,Paramètres!$A$1:$I$89,5,0)</f>
        <v>100.83939840000001</v>
      </c>
      <c r="P91" s="14">
        <f t="shared" si="87"/>
        <v>27.161875252139833</v>
      </c>
      <c r="Q91" s="22">
        <f t="shared" si="54"/>
        <v>222.93555161081022</v>
      </c>
      <c r="R91" s="62">
        <f t="shared" si="55"/>
        <v>496.61728398000389</v>
      </c>
      <c r="S91" s="62">
        <f ca="1">AVERAGE(OFFSET($R$3,0,0,'Données projet'!$E$9+1,1))-AVERAGE(OFFSET($H$3,0,0,'Données projet'!$E$9+1,1))</f>
        <v>180.76388336802839</v>
      </c>
      <c r="T91" s="62">
        <f t="shared" si="88"/>
        <v>225.35030757566537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11.839235348148394</v>
      </c>
      <c r="AA91" s="23">
        <f>EXP(-LN(2)/25)*AA90+(1-EXP(-LN(2)/25))/(LN(2)/25)*Calculateur!V91*Calculateur!X91*VLOOKUP('Données projet'!$B$9,Paramètres!$A$1:$I$89,3,0)*0.475*44/12</f>
        <v>4.5788605470195618</v>
      </c>
      <c r="AB91" s="23">
        <f>EXP(-LN(2)/2)*AB90+(1-EXP(-LN(2)/2))/(LN(2)/2)*V91*Y91*VLOOKUP('Données projet'!$B$9,Paramètres!$A$1:$I$89,3,0)*0.475*44/12</f>
        <v>5.3740673673663474E-4</v>
      </c>
      <c r="AC91" s="24">
        <f t="shared" si="57"/>
        <v>16.418633301904691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243.99999999999989</v>
      </c>
      <c r="AJ91" s="14">
        <f>AI91*VLOOKUP('Données projet'!$B$10,Paramètres!$A$1:$I$89,3,0)*VLOOKUP('Données projet'!$B$10,Paramètres!$A$1:$I$89,5,0)</f>
        <v>190.31999999999991</v>
      </c>
      <c r="AK91" s="14">
        <f t="shared" si="89"/>
        <v>47.61069337740188</v>
      </c>
      <c r="AL91" s="22">
        <f t="shared" si="58"/>
        <v>414.39595763230813</v>
      </c>
      <c r="AM91" s="62">
        <f t="shared" si="59"/>
        <v>688.07769000150188</v>
      </c>
      <c r="AN91" s="62">
        <f ca="1">AVERAGE(OFFSET($AM$3,0,0,'Données projet'!$E$10+1,1))-AVERAGE(OFFSET($H$3,0,0,'Données projet'!$E$10+1,1))</f>
        <v>252.45744983674379</v>
      </c>
      <c r="AO91" s="62">
        <f t="shared" si="90"/>
        <v>283.28099819802776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16.29683447775702</v>
      </c>
      <c r="AV91" s="23">
        <f>EXP(-LN(2)/25)*AV90+(1-EXP(-LN(2)/25))/(LN(2)/25)*Calculateur!AQ91*Calculateur!AS91*VLOOKUP('Données projet'!$B$10,Paramètres!$A$1:$I$89,3,0)*0.475*44/12</f>
        <v>2.3556011058068766</v>
      </c>
      <c r="AW91" s="23">
        <f>EXP(-LN(2)/2)*AW90+(1-EXP(-LN(2)/2))/(LN(2)/2)*AQ91*AT91*VLOOKUP('Données projet'!$B$10,Paramètres!$A$1:$I$89,3,0)*0.475*44/12</f>
        <v>2.2537171915258981E-4</v>
      </c>
      <c r="AX91" s="23">
        <f t="shared" si="60"/>
        <v>18.65266095528305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243.99999999999989</v>
      </c>
      <c r="BE91" s="14">
        <f>BD91*VLOOKUP('Données projet'!$B$11,Paramètres!$A$1:$I$89,3,0)*VLOOKUP('Données projet'!$B$11,Paramètres!$A$1:$I$89,5,0)</f>
        <v>190.31999999999991</v>
      </c>
      <c r="BF91" s="14">
        <f t="shared" si="91"/>
        <v>47.61069337740188</v>
      </c>
      <c r="BG91" s="22">
        <f t="shared" si="61"/>
        <v>414.39595763230813</v>
      </c>
      <c r="BH91" s="62">
        <f t="shared" si="62"/>
        <v>688.07769000150188</v>
      </c>
      <c r="BI91" s="62">
        <f ca="1">AVERAGE(OFFSET($BH$3,0,0,'Données projet'!$E$11+1,1))-AVERAGE(OFFSET($H$3,0,0,'Données projet'!$E$11+1,1))</f>
        <v>252.45744983674379</v>
      </c>
      <c r="BJ91" s="62">
        <f t="shared" si="92"/>
        <v>283.28099819802776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16.29683447775702</v>
      </c>
      <c r="BQ91" s="23">
        <f>EXP(-LN(2)/25)*BQ90+(1-EXP(-LN(2)/25))/(LN(2)/25)*Calculateur!BL91*Calculateur!BN91*VLOOKUP('Données projet'!$B$11,Paramètres!$A$1:$I$89,3,0)*0.475*44/12</f>
        <v>2.3556011058068766</v>
      </c>
      <c r="BR91" s="23">
        <f>EXP(-LN(2)/2)*BR90+(1-EXP(-LN(2)/2))/(LN(2)/2)*BL91*BO91*VLOOKUP('Données projet'!$B$11,Paramètres!$A$1:$I$89,3,0)*0.475*44/12</f>
        <v>2.2537171915258981E-4</v>
      </c>
      <c r="BS91" s="24">
        <f t="shared" si="63"/>
        <v>18.65266095528305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243.99999999999989</v>
      </c>
      <c r="BZ91" s="14">
        <f>BY91*VLOOKUP('Données projet'!$B$12,Paramètres!$A$1:$I$89,3,0)*VLOOKUP('Données projet'!$B$12,Paramètres!$A$1:$I$89,5,0)</f>
        <v>190.31999999999991</v>
      </c>
      <c r="CA91" s="14">
        <f t="shared" si="93"/>
        <v>47.61069337740188</v>
      </c>
      <c r="CB91" s="22">
        <f t="shared" si="64"/>
        <v>414.39595763230813</v>
      </c>
      <c r="CC91" s="62">
        <f t="shared" si="65"/>
        <v>688.07769000150188</v>
      </c>
      <c r="CD91" s="62">
        <f ca="1">AVERAGE(OFFSET($CC$3,0,0,'Données projet'!$E$12+1,1))-AVERAGE(OFFSET($H$3,0,0,'Données projet'!$E$12+1,1))</f>
        <v>252.45744983674379</v>
      </c>
      <c r="CE91" s="62">
        <f t="shared" si="94"/>
        <v>283.28099819802776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16.29683447775702</v>
      </c>
      <c r="CL91" s="23">
        <f>EXP(-LN(2)/25)*CL90+(1-EXP(-LN(2)/25))/(LN(2)/25)*Calculateur!CG91*Calculateur!CI91*VLOOKUP('Données projet'!$B$12,Paramètres!$A$1:$I$89,3,0)*0.475*44/12</f>
        <v>2.3556011058068766</v>
      </c>
      <c r="CM91" s="23">
        <f>EXP(-LN(2)/2)*CM90+(1-EXP(-LN(2)/2))/(LN(2)/2)*CG91*CJ91*VLOOKUP('Données projet'!$B$12,Paramètres!$A$1:$I$89,3,0)*0.475*44/12</f>
        <v>2.2537171915258981E-4</v>
      </c>
      <c r="CN91" s="24">
        <f t="shared" si="66"/>
        <v>18.65266095528305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215.46880000000002</v>
      </c>
      <c r="O92" s="14">
        <f>N92*VLOOKUP('Données projet'!$B$9,Paramètres!$A$1:$I$89,3,0)*VLOOKUP('Données projet'!$B$9,Paramètres!$A$1:$I$89,5,0)</f>
        <v>100.83939840000001</v>
      </c>
      <c r="P92" s="14">
        <f t="shared" si="87"/>
        <v>27.161875252139833</v>
      </c>
      <c r="Q92" s="22">
        <f t="shared" si="54"/>
        <v>222.93555161081022</v>
      </c>
      <c r="R92" s="62">
        <f t="shared" si="55"/>
        <v>496.95819532233384</v>
      </c>
      <c r="S92" s="62">
        <f ca="1">AVERAGE(OFFSET($R$3,0,0,'Données projet'!$E$9+1,1))-AVERAGE(OFFSET($H$3,0,0,'Données projet'!$E$9+1,1))</f>
        <v>180.76388336802839</v>
      </c>
      <c r="T92" s="62">
        <f t="shared" si="88"/>
        <v>225.35030757566537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11.60707516419173</v>
      </c>
      <c r="AA92" s="23">
        <f>EXP(-LN(2)/25)*AA91+(1-EXP(-LN(2)/25))/(LN(2)/25)*Calculateur!V92*Calculateur!X92*VLOOKUP('Données projet'!$B$9,Paramètres!$A$1:$I$89,3,0)*0.475*44/12</f>
        <v>4.4536513645695006</v>
      </c>
      <c r="AB92" s="23">
        <f>EXP(-LN(2)/2)*AB91+(1-EXP(-LN(2)/2))/(LN(2)/2)*V92*Y92*VLOOKUP('Données projet'!$B$9,Paramètres!$A$1:$I$89,3,0)*0.475*44/12</f>
        <v>3.8000394780180813E-4</v>
      </c>
      <c r="AC92" s="24">
        <f t="shared" si="57"/>
        <v>16.061106532709029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243.99999999999989</v>
      </c>
      <c r="AJ92" s="14">
        <f>AI92*VLOOKUP('Données projet'!$B$10,Paramètres!$A$1:$I$89,3,0)*VLOOKUP('Données projet'!$B$10,Paramètres!$A$1:$I$89,5,0)</f>
        <v>190.31999999999991</v>
      </c>
      <c r="AK92" s="14">
        <f t="shared" si="89"/>
        <v>47.61069337740188</v>
      </c>
      <c r="AL92" s="22">
        <f t="shared" si="58"/>
        <v>414.39595763230813</v>
      </c>
      <c r="AM92" s="62">
        <f t="shared" si="59"/>
        <v>688.41860134383171</v>
      </c>
      <c r="AN92" s="62">
        <f ca="1">AVERAGE(OFFSET($AM$3,0,0,'Données projet'!$E$10+1,1))-AVERAGE(OFFSET($H$3,0,0,'Données projet'!$E$10+1,1))</f>
        <v>252.45744983674379</v>
      </c>
      <c r="AO92" s="62">
        <f t="shared" si="90"/>
        <v>283.28099819802776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15.977263493735734</v>
      </c>
      <c r="AV92" s="23">
        <f>EXP(-LN(2)/25)*AV91+(1-EXP(-LN(2)/25))/(LN(2)/25)*Calculateur!AQ92*Calculateur!AS92*VLOOKUP('Données projet'!$B$10,Paramètres!$A$1:$I$89,3,0)*0.475*44/12</f>
        <v>2.2911870696929091</v>
      </c>
      <c r="AW92" s="23">
        <f>EXP(-LN(2)/2)*AW91+(1-EXP(-LN(2)/2))/(LN(2)/2)*AQ92*AT92*VLOOKUP('Données projet'!$B$10,Paramètres!$A$1:$I$89,3,0)*0.475*44/12</f>
        <v>1.5936187090046636E-4</v>
      </c>
      <c r="AX92" s="23">
        <f t="shared" si="60"/>
        <v>18.268609925299543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243.99999999999989</v>
      </c>
      <c r="BE92" s="14">
        <f>BD92*VLOOKUP('Données projet'!$B$11,Paramètres!$A$1:$I$89,3,0)*VLOOKUP('Données projet'!$B$11,Paramètres!$A$1:$I$89,5,0)</f>
        <v>190.31999999999991</v>
      </c>
      <c r="BF92" s="14">
        <f t="shared" si="91"/>
        <v>47.61069337740188</v>
      </c>
      <c r="BG92" s="22">
        <f t="shared" si="61"/>
        <v>414.39595763230813</v>
      </c>
      <c r="BH92" s="62">
        <f t="shared" si="62"/>
        <v>688.41860134383171</v>
      </c>
      <c r="BI92" s="62">
        <f ca="1">AVERAGE(OFFSET($BH$3,0,0,'Données projet'!$E$11+1,1))-AVERAGE(OFFSET($H$3,0,0,'Données projet'!$E$11+1,1))</f>
        <v>252.45744983674379</v>
      </c>
      <c r="BJ92" s="62">
        <f t="shared" si="92"/>
        <v>283.28099819802776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15.977263493735734</v>
      </c>
      <c r="BQ92" s="23">
        <f>EXP(-LN(2)/25)*BQ91+(1-EXP(-LN(2)/25))/(LN(2)/25)*Calculateur!BL92*Calculateur!BN92*VLOOKUP('Données projet'!$B$11,Paramètres!$A$1:$I$89,3,0)*0.475*44/12</f>
        <v>2.2911870696929091</v>
      </c>
      <c r="BR92" s="23">
        <f>EXP(-LN(2)/2)*BR91+(1-EXP(-LN(2)/2))/(LN(2)/2)*BL92*BO92*VLOOKUP('Données projet'!$B$11,Paramètres!$A$1:$I$89,3,0)*0.475*44/12</f>
        <v>1.5936187090046636E-4</v>
      </c>
      <c r="BS92" s="24">
        <f t="shared" si="63"/>
        <v>18.268609925299543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243.99999999999989</v>
      </c>
      <c r="BZ92" s="14">
        <f>BY92*VLOOKUP('Données projet'!$B$12,Paramètres!$A$1:$I$89,3,0)*VLOOKUP('Données projet'!$B$12,Paramètres!$A$1:$I$89,5,0)</f>
        <v>190.31999999999991</v>
      </c>
      <c r="CA92" s="14">
        <f t="shared" si="93"/>
        <v>47.61069337740188</v>
      </c>
      <c r="CB92" s="22">
        <f t="shared" si="64"/>
        <v>414.39595763230813</v>
      </c>
      <c r="CC92" s="62">
        <f t="shared" si="65"/>
        <v>688.41860134383171</v>
      </c>
      <c r="CD92" s="62">
        <f ca="1">AVERAGE(OFFSET($CC$3,0,0,'Données projet'!$E$12+1,1))-AVERAGE(OFFSET($H$3,0,0,'Données projet'!$E$12+1,1))</f>
        <v>252.45744983674379</v>
      </c>
      <c r="CE92" s="62">
        <f t="shared" si="94"/>
        <v>283.28099819802776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15.977263493735734</v>
      </c>
      <c r="CL92" s="23">
        <f>EXP(-LN(2)/25)*CL91+(1-EXP(-LN(2)/25))/(LN(2)/25)*Calculateur!CG92*Calculateur!CI92*VLOOKUP('Données projet'!$B$12,Paramètres!$A$1:$I$89,3,0)*0.475*44/12</f>
        <v>2.2911870696929091</v>
      </c>
      <c r="CM92" s="23">
        <f>EXP(-LN(2)/2)*CM91+(1-EXP(-LN(2)/2))/(LN(2)/2)*CG92*CJ92*VLOOKUP('Données projet'!$B$12,Paramètres!$A$1:$I$89,3,0)*0.475*44/12</f>
        <v>1.5936187090046636E-4</v>
      </c>
      <c r="CN92" s="24">
        <f t="shared" si="66"/>
        <v>18.268609925299543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215.46880000000002</v>
      </c>
      <c r="O93" s="14">
        <f>N93*VLOOKUP('Données projet'!$B$9,Paramètres!$A$1:$I$89,3,0)*VLOOKUP('Données projet'!$B$9,Paramètres!$A$1:$I$89,5,0)</f>
        <v>100.83939840000001</v>
      </c>
      <c r="P93" s="14">
        <f t="shared" si="87"/>
        <v>27.161875252139833</v>
      </c>
      <c r="Q93" s="22">
        <f t="shared" si="54"/>
        <v>222.93555161081022</v>
      </c>
      <c r="R93" s="62">
        <f t="shared" si="55"/>
        <v>497.29319261503792</v>
      </c>
      <c r="S93" s="62">
        <f ca="1">AVERAGE(OFFSET($R$3,0,0,'Données projet'!$E$9+1,1))-AVERAGE(OFFSET($H$3,0,0,'Données projet'!$E$9+1,1))</f>
        <v>180.76388336802839</v>
      </c>
      <c r="T93" s="62">
        <f t="shared" si="88"/>
        <v>225.35030757566537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11.379467499838727</v>
      </c>
      <c r="AA93" s="23">
        <f>EXP(-LN(2)/25)*AA92+(1-EXP(-LN(2)/25))/(LN(2)/25)*Calculateur!V93*Calculateur!X93*VLOOKUP('Données projet'!$B$9,Paramètres!$A$1:$I$89,3,0)*0.475*44/12</f>
        <v>4.3318660337980015</v>
      </c>
      <c r="AB93" s="23">
        <f>EXP(-LN(2)/2)*AB92+(1-EXP(-LN(2)/2))/(LN(2)/2)*V93*Y93*VLOOKUP('Données projet'!$B$9,Paramètres!$A$1:$I$89,3,0)*0.475*44/12</f>
        <v>2.6870336836831737E-4</v>
      </c>
      <c r="AC93" s="24">
        <f t="shared" si="57"/>
        <v>15.711602237005097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243.99999999999989</v>
      </c>
      <c r="AJ93" s="14">
        <f>AI93*VLOOKUP('Données projet'!$B$10,Paramètres!$A$1:$I$89,3,0)*VLOOKUP('Données projet'!$B$10,Paramètres!$A$1:$I$89,5,0)</f>
        <v>190.31999999999991</v>
      </c>
      <c r="AK93" s="14">
        <f t="shared" si="89"/>
        <v>47.61069337740188</v>
      </c>
      <c r="AL93" s="22">
        <f t="shared" si="58"/>
        <v>414.39595763230813</v>
      </c>
      <c r="AM93" s="62">
        <f t="shared" si="59"/>
        <v>688.7535986365358</v>
      </c>
      <c r="AN93" s="62">
        <f ca="1">AVERAGE(OFFSET($AM$3,0,0,'Données projet'!$E$10+1,1))-AVERAGE(OFFSET($H$3,0,0,'Données projet'!$E$10+1,1))</f>
        <v>252.45744983674379</v>
      </c>
      <c r="AO93" s="62">
        <f t="shared" si="90"/>
        <v>283.28099819802776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15.663959101792052</v>
      </c>
      <c r="AV93" s="23">
        <f>EXP(-LN(2)/25)*AV92+(1-EXP(-LN(2)/25))/(LN(2)/25)*Calculateur!AQ93*Calculateur!AS93*VLOOKUP('Données projet'!$B$10,Paramètres!$A$1:$I$89,3,0)*0.475*44/12</f>
        <v>2.228534438783865</v>
      </c>
      <c r="AW93" s="23">
        <f>EXP(-LN(2)/2)*AW92+(1-EXP(-LN(2)/2))/(LN(2)/2)*AQ93*AT93*VLOOKUP('Données projet'!$B$10,Paramètres!$A$1:$I$89,3,0)*0.475*44/12</f>
        <v>1.126858595762949E-4</v>
      </c>
      <c r="AX93" s="23">
        <f t="shared" si="60"/>
        <v>17.892606226435493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243.99999999999989</v>
      </c>
      <c r="BE93" s="14">
        <f>BD93*VLOOKUP('Données projet'!$B$11,Paramètres!$A$1:$I$89,3,0)*VLOOKUP('Données projet'!$B$11,Paramètres!$A$1:$I$89,5,0)</f>
        <v>190.31999999999991</v>
      </c>
      <c r="BF93" s="14">
        <f t="shared" si="91"/>
        <v>47.61069337740188</v>
      </c>
      <c r="BG93" s="22">
        <f t="shared" si="61"/>
        <v>414.39595763230813</v>
      </c>
      <c r="BH93" s="62">
        <f t="shared" si="62"/>
        <v>688.7535986365358</v>
      </c>
      <c r="BI93" s="62">
        <f ca="1">AVERAGE(OFFSET($BH$3,0,0,'Données projet'!$E$11+1,1))-AVERAGE(OFFSET($H$3,0,0,'Données projet'!$E$11+1,1))</f>
        <v>252.45744983674379</v>
      </c>
      <c r="BJ93" s="62">
        <f t="shared" si="92"/>
        <v>283.28099819802776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15.663959101792052</v>
      </c>
      <c r="BQ93" s="23">
        <f>EXP(-LN(2)/25)*BQ92+(1-EXP(-LN(2)/25))/(LN(2)/25)*Calculateur!BL93*Calculateur!BN93*VLOOKUP('Données projet'!$B$11,Paramètres!$A$1:$I$89,3,0)*0.475*44/12</f>
        <v>2.228534438783865</v>
      </c>
      <c r="BR93" s="23">
        <f>EXP(-LN(2)/2)*BR92+(1-EXP(-LN(2)/2))/(LN(2)/2)*BL93*BO93*VLOOKUP('Données projet'!$B$11,Paramètres!$A$1:$I$89,3,0)*0.475*44/12</f>
        <v>1.126858595762949E-4</v>
      </c>
      <c r="BS93" s="24">
        <f t="shared" si="63"/>
        <v>17.892606226435493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243.99999999999989</v>
      </c>
      <c r="BZ93" s="14">
        <f>BY93*VLOOKUP('Données projet'!$B$12,Paramètres!$A$1:$I$89,3,0)*VLOOKUP('Données projet'!$B$12,Paramètres!$A$1:$I$89,5,0)</f>
        <v>190.31999999999991</v>
      </c>
      <c r="CA93" s="14">
        <f t="shared" si="93"/>
        <v>47.61069337740188</v>
      </c>
      <c r="CB93" s="22">
        <f t="shared" si="64"/>
        <v>414.39595763230813</v>
      </c>
      <c r="CC93" s="62">
        <f t="shared" si="65"/>
        <v>688.7535986365358</v>
      </c>
      <c r="CD93" s="62">
        <f ca="1">AVERAGE(OFFSET($CC$3,0,0,'Données projet'!$E$12+1,1))-AVERAGE(OFFSET($H$3,0,0,'Données projet'!$E$12+1,1))</f>
        <v>252.45744983674379</v>
      </c>
      <c r="CE93" s="62">
        <f t="shared" si="94"/>
        <v>283.28099819802776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15.663959101792052</v>
      </c>
      <c r="CL93" s="23">
        <f>EXP(-LN(2)/25)*CL92+(1-EXP(-LN(2)/25))/(LN(2)/25)*Calculateur!CG93*Calculateur!CI93*VLOOKUP('Données projet'!$B$12,Paramètres!$A$1:$I$89,3,0)*0.475*44/12</f>
        <v>2.228534438783865</v>
      </c>
      <c r="CM93" s="23">
        <f>EXP(-LN(2)/2)*CM92+(1-EXP(-LN(2)/2))/(LN(2)/2)*CG93*CJ93*VLOOKUP('Données projet'!$B$12,Paramètres!$A$1:$I$89,3,0)*0.475*44/12</f>
        <v>1.126858595762949E-4</v>
      </c>
      <c r="CN93" s="24">
        <f t="shared" si="66"/>
        <v>17.892606226435493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215.46880000000002</v>
      </c>
      <c r="O94" s="14">
        <f>N94*VLOOKUP('Données projet'!$B$9,Paramètres!$A$1:$I$89,3,0)*VLOOKUP('Données projet'!$B$9,Paramètres!$A$1:$I$89,5,0)</f>
        <v>100.83939840000001</v>
      </c>
      <c r="P94" s="14">
        <f t="shared" si="87"/>
        <v>27.161875252139833</v>
      </c>
      <c r="Q94" s="22">
        <f t="shared" si="54"/>
        <v>222.93555161081022</v>
      </c>
      <c r="R94" s="62">
        <f t="shared" si="55"/>
        <v>497.6223784536553</v>
      </c>
      <c r="S94" s="62">
        <f ca="1">AVERAGE(OFFSET($R$3,0,0,'Données projet'!$E$9+1,1))-AVERAGE(OFFSET($H$3,0,0,'Données projet'!$E$9+1,1))</f>
        <v>180.76388336802839</v>
      </c>
      <c r="T94" s="62">
        <f t="shared" si="88"/>
        <v>225.35030757566537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11.156323082956717</v>
      </c>
      <c r="AA94" s="23">
        <f>EXP(-LN(2)/25)*AA93+(1-EXP(-LN(2)/25))/(LN(2)/25)*Calculateur!V94*Calculateur!X94*VLOOKUP('Données projet'!$B$9,Paramètres!$A$1:$I$89,3,0)*0.475*44/12</f>
        <v>4.2134109293008608</v>
      </c>
      <c r="AB94" s="23">
        <f>EXP(-LN(2)/2)*AB93+(1-EXP(-LN(2)/2))/(LN(2)/2)*V94*Y94*VLOOKUP('Données projet'!$B$9,Paramètres!$A$1:$I$89,3,0)*0.475*44/12</f>
        <v>1.9000197390090407E-4</v>
      </c>
      <c r="AC94" s="24">
        <f t="shared" si="57"/>
        <v>15.369924014231477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243.99999999999989</v>
      </c>
      <c r="AJ94" s="14">
        <f>AI94*VLOOKUP('Données projet'!$B$10,Paramètres!$A$1:$I$89,3,0)*VLOOKUP('Données projet'!$B$10,Paramètres!$A$1:$I$89,5,0)</f>
        <v>190.31999999999991</v>
      </c>
      <c r="AK94" s="14">
        <f t="shared" si="89"/>
        <v>47.61069337740188</v>
      </c>
      <c r="AL94" s="22">
        <f t="shared" si="58"/>
        <v>414.39595763230813</v>
      </c>
      <c r="AM94" s="62">
        <f t="shared" si="59"/>
        <v>689.08278447515318</v>
      </c>
      <c r="AN94" s="62">
        <f ca="1">AVERAGE(OFFSET($AM$3,0,0,'Données projet'!$E$10+1,1))-AVERAGE(OFFSET($H$3,0,0,'Données projet'!$E$10+1,1))</f>
        <v>252.45744983674379</v>
      </c>
      <c r="AO94" s="62">
        <f t="shared" si="90"/>
        <v>283.28099819802776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15.356798417877576</v>
      </c>
      <c r="AV94" s="23">
        <f>EXP(-LN(2)/25)*AV93+(1-EXP(-LN(2)/25))/(LN(2)/25)*Calculateur!AQ94*Calculateur!AS94*VLOOKUP('Données projet'!$B$10,Paramètres!$A$1:$I$89,3,0)*0.475*44/12</f>
        <v>2.1675950473617873</v>
      </c>
      <c r="AW94" s="23">
        <f>EXP(-LN(2)/2)*AW93+(1-EXP(-LN(2)/2))/(LN(2)/2)*AQ94*AT94*VLOOKUP('Données projet'!$B$10,Paramètres!$A$1:$I$89,3,0)*0.475*44/12</f>
        <v>7.9680935450233181E-5</v>
      </c>
      <c r="AX94" s="23">
        <f t="shared" si="60"/>
        <v>17.524473146174813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243.99999999999989</v>
      </c>
      <c r="BE94" s="14">
        <f>BD94*VLOOKUP('Données projet'!$B$11,Paramètres!$A$1:$I$89,3,0)*VLOOKUP('Données projet'!$B$11,Paramètres!$A$1:$I$89,5,0)</f>
        <v>190.31999999999991</v>
      </c>
      <c r="BF94" s="14">
        <f t="shared" si="91"/>
        <v>47.61069337740188</v>
      </c>
      <c r="BG94" s="22">
        <f t="shared" si="61"/>
        <v>414.39595763230813</v>
      </c>
      <c r="BH94" s="62">
        <f t="shared" si="62"/>
        <v>689.08278447515318</v>
      </c>
      <c r="BI94" s="62">
        <f ca="1">AVERAGE(OFFSET($BH$3,0,0,'Données projet'!$E$11+1,1))-AVERAGE(OFFSET($H$3,0,0,'Données projet'!$E$11+1,1))</f>
        <v>252.45744983674379</v>
      </c>
      <c r="BJ94" s="62">
        <f t="shared" si="92"/>
        <v>283.28099819802776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15.356798417877576</v>
      </c>
      <c r="BQ94" s="23">
        <f>EXP(-LN(2)/25)*BQ93+(1-EXP(-LN(2)/25))/(LN(2)/25)*Calculateur!BL94*Calculateur!BN94*VLOOKUP('Données projet'!$B$11,Paramètres!$A$1:$I$89,3,0)*0.475*44/12</f>
        <v>2.1675950473617873</v>
      </c>
      <c r="BR94" s="23">
        <f>EXP(-LN(2)/2)*BR93+(1-EXP(-LN(2)/2))/(LN(2)/2)*BL94*BO94*VLOOKUP('Données projet'!$B$11,Paramètres!$A$1:$I$89,3,0)*0.475*44/12</f>
        <v>7.9680935450233181E-5</v>
      </c>
      <c r="BS94" s="24">
        <f t="shared" si="63"/>
        <v>17.524473146174813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243.99999999999989</v>
      </c>
      <c r="BZ94" s="14">
        <f>BY94*VLOOKUP('Données projet'!$B$12,Paramètres!$A$1:$I$89,3,0)*VLOOKUP('Données projet'!$B$12,Paramètres!$A$1:$I$89,5,0)</f>
        <v>190.31999999999991</v>
      </c>
      <c r="CA94" s="14">
        <f t="shared" si="93"/>
        <v>47.61069337740188</v>
      </c>
      <c r="CB94" s="22">
        <f t="shared" si="64"/>
        <v>414.39595763230813</v>
      </c>
      <c r="CC94" s="62">
        <f t="shared" si="65"/>
        <v>689.08278447515318</v>
      </c>
      <c r="CD94" s="62">
        <f ca="1">AVERAGE(OFFSET($CC$3,0,0,'Données projet'!$E$12+1,1))-AVERAGE(OFFSET($H$3,0,0,'Données projet'!$E$12+1,1))</f>
        <v>252.45744983674379</v>
      </c>
      <c r="CE94" s="62">
        <f t="shared" si="94"/>
        <v>283.28099819802776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15.356798417877576</v>
      </c>
      <c r="CL94" s="23">
        <f>EXP(-LN(2)/25)*CL93+(1-EXP(-LN(2)/25))/(LN(2)/25)*Calculateur!CG94*Calculateur!CI94*VLOOKUP('Données projet'!$B$12,Paramètres!$A$1:$I$89,3,0)*0.475*44/12</f>
        <v>2.1675950473617873</v>
      </c>
      <c r="CM94" s="23">
        <f>EXP(-LN(2)/2)*CM93+(1-EXP(-LN(2)/2))/(LN(2)/2)*CG94*CJ94*VLOOKUP('Données projet'!$B$12,Paramètres!$A$1:$I$89,3,0)*0.475*44/12</f>
        <v>7.9680935450233181E-5</v>
      </c>
      <c r="CN94" s="24">
        <f t="shared" si="66"/>
        <v>17.524473146174813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215.46880000000002</v>
      </c>
      <c r="O95" s="14">
        <f>N95*VLOOKUP('Données projet'!$B$9,Paramètres!$A$1:$I$89,3,0)*VLOOKUP('Données projet'!$B$9,Paramètres!$A$1:$I$89,5,0)</f>
        <v>100.83939840000001</v>
      </c>
      <c r="P95" s="14">
        <f t="shared" si="87"/>
        <v>27.161875252139833</v>
      </c>
      <c r="Q95" s="22">
        <f t="shared" si="54"/>
        <v>222.93555161081022</v>
      </c>
      <c r="R95" s="62">
        <f t="shared" si="55"/>
        <v>497.94585365392197</v>
      </c>
      <c r="S95" s="62">
        <f ca="1">AVERAGE(OFFSET($R$3,0,0,'Données projet'!$E$9+1,1))-AVERAGE(OFFSET($H$3,0,0,'Données projet'!$E$9+1,1))</f>
        <v>180.76388336802839</v>
      </c>
      <c r="T95" s="62">
        <f t="shared" si="88"/>
        <v>225.35030757566537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10.93755439198511</v>
      </c>
      <c r="AA95" s="23">
        <f>EXP(-LN(2)/25)*AA94+(1-EXP(-LN(2)/25))/(LN(2)/25)*Calculateur!V95*Calculateur!X95*VLOOKUP('Données projet'!$B$9,Paramètres!$A$1:$I$89,3,0)*0.475*44/12</f>
        <v>4.0981949858654776</v>
      </c>
      <c r="AB95" s="23">
        <f>EXP(-LN(2)/2)*AB94+(1-EXP(-LN(2)/2))/(LN(2)/2)*V95*Y95*VLOOKUP('Données projet'!$B$9,Paramètres!$A$1:$I$89,3,0)*0.475*44/12</f>
        <v>1.3435168418415868E-4</v>
      </c>
      <c r="AC95" s="24">
        <f t="shared" si="57"/>
        <v>15.035883729534772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243.99999999999989</v>
      </c>
      <c r="AJ95" s="14">
        <f>AI95*VLOOKUP('Données projet'!$B$10,Paramètres!$A$1:$I$89,3,0)*VLOOKUP('Données projet'!$B$10,Paramètres!$A$1:$I$89,5,0)</f>
        <v>190.31999999999991</v>
      </c>
      <c r="AK95" s="14">
        <f t="shared" si="89"/>
        <v>47.61069337740188</v>
      </c>
      <c r="AL95" s="22">
        <f t="shared" si="58"/>
        <v>414.39595763230813</v>
      </c>
      <c r="AM95" s="62">
        <f t="shared" si="59"/>
        <v>689.40625967541985</v>
      </c>
      <c r="AN95" s="62">
        <f ca="1">AVERAGE(OFFSET($AM$3,0,0,'Données projet'!$E$10+1,1))-AVERAGE(OFFSET($H$3,0,0,'Données projet'!$E$10+1,1))</f>
        <v>252.45744983674379</v>
      </c>
      <c r="AO95" s="62">
        <f t="shared" si="90"/>
        <v>283.28099819802776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15.055660967625144</v>
      </c>
      <c r="AV95" s="23">
        <f>EXP(-LN(2)/25)*AV94+(1-EXP(-LN(2)/25))/(LN(2)/25)*Calculateur!AQ95*Calculateur!AS95*VLOOKUP('Données projet'!$B$10,Paramètres!$A$1:$I$89,3,0)*0.475*44/12</f>
        <v>2.1083220468028099</v>
      </c>
      <c r="AW95" s="23">
        <f>EXP(-LN(2)/2)*AW94+(1-EXP(-LN(2)/2))/(LN(2)/2)*AQ95*AT95*VLOOKUP('Données projet'!$B$10,Paramètres!$A$1:$I$89,3,0)*0.475*44/12</f>
        <v>5.6342929788147452E-5</v>
      </c>
      <c r="AX95" s="23">
        <f t="shared" si="60"/>
        <v>17.164039357357744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243.99999999999989</v>
      </c>
      <c r="BE95" s="14">
        <f>BD95*VLOOKUP('Données projet'!$B$11,Paramètres!$A$1:$I$89,3,0)*VLOOKUP('Données projet'!$B$11,Paramètres!$A$1:$I$89,5,0)</f>
        <v>190.31999999999991</v>
      </c>
      <c r="BF95" s="14">
        <f t="shared" si="91"/>
        <v>47.61069337740188</v>
      </c>
      <c r="BG95" s="22">
        <f t="shared" si="61"/>
        <v>414.39595763230813</v>
      </c>
      <c r="BH95" s="62">
        <f t="shared" si="62"/>
        <v>689.40625967541985</v>
      </c>
      <c r="BI95" s="62">
        <f ca="1">AVERAGE(OFFSET($BH$3,0,0,'Données projet'!$E$11+1,1))-AVERAGE(OFFSET($H$3,0,0,'Données projet'!$E$11+1,1))</f>
        <v>252.45744983674379</v>
      </c>
      <c r="BJ95" s="62">
        <f t="shared" si="92"/>
        <v>283.28099819802776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15.055660967625144</v>
      </c>
      <c r="BQ95" s="23">
        <f>EXP(-LN(2)/25)*BQ94+(1-EXP(-LN(2)/25))/(LN(2)/25)*Calculateur!BL95*Calculateur!BN95*VLOOKUP('Données projet'!$B$11,Paramètres!$A$1:$I$89,3,0)*0.475*44/12</f>
        <v>2.1083220468028099</v>
      </c>
      <c r="BR95" s="23">
        <f>EXP(-LN(2)/2)*BR94+(1-EXP(-LN(2)/2))/(LN(2)/2)*BL95*BO95*VLOOKUP('Données projet'!$B$11,Paramètres!$A$1:$I$89,3,0)*0.475*44/12</f>
        <v>5.6342929788147452E-5</v>
      </c>
      <c r="BS95" s="24">
        <f t="shared" si="63"/>
        <v>17.164039357357744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243.99999999999989</v>
      </c>
      <c r="BZ95" s="14">
        <f>BY95*VLOOKUP('Données projet'!$B$12,Paramètres!$A$1:$I$89,3,0)*VLOOKUP('Données projet'!$B$12,Paramètres!$A$1:$I$89,5,0)</f>
        <v>190.31999999999991</v>
      </c>
      <c r="CA95" s="14">
        <f t="shared" si="93"/>
        <v>47.61069337740188</v>
      </c>
      <c r="CB95" s="22">
        <f t="shared" si="64"/>
        <v>414.39595763230813</v>
      </c>
      <c r="CC95" s="62">
        <f t="shared" si="65"/>
        <v>689.40625967541985</v>
      </c>
      <c r="CD95" s="62">
        <f ca="1">AVERAGE(OFFSET($CC$3,0,0,'Données projet'!$E$12+1,1))-AVERAGE(OFFSET($H$3,0,0,'Données projet'!$E$12+1,1))</f>
        <v>252.45744983674379</v>
      </c>
      <c r="CE95" s="62">
        <f t="shared" si="94"/>
        <v>283.28099819802776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15.055660967625144</v>
      </c>
      <c r="CL95" s="23">
        <f>EXP(-LN(2)/25)*CL94+(1-EXP(-LN(2)/25))/(LN(2)/25)*Calculateur!CG95*Calculateur!CI95*VLOOKUP('Données projet'!$B$12,Paramètres!$A$1:$I$89,3,0)*0.475*44/12</f>
        <v>2.1083220468028099</v>
      </c>
      <c r="CM95" s="23">
        <f>EXP(-LN(2)/2)*CM94+(1-EXP(-LN(2)/2))/(LN(2)/2)*CG95*CJ95*VLOOKUP('Données projet'!$B$12,Paramètres!$A$1:$I$89,3,0)*0.475*44/12</f>
        <v>5.6342929788147452E-5</v>
      </c>
      <c r="CN95" s="24">
        <f t="shared" si="66"/>
        <v>17.164039357357744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215.46880000000002</v>
      </c>
      <c r="O96" s="14">
        <f>N96*VLOOKUP('Données projet'!$B$9,Paramètres!$A$1:$I$89,3,0)*VLOOKUP('Données projet'!$B$9,Paramètres!$A$1:$I$89,5,0)</f>
        <v>100.83939840000001</v>
      </c>
      <c r="P96" s="14">
        <f t="shared" si="87"/>
        <v>27.161875252139833</v>
      </c>
      <c r="Q96" s="22">
        <f t="shared" si="54"/>
        <v>222.93555161081022</v>
      </c>
      <c r="R96" s="62">
        <f t="shared" si="55"/>
        <v>498.26371728264621</v>
      </c>
      <c r="S96" s="62">
        <f ca="1">AVERAGE(OFFSET($R$3,0,0,'Données projet'!$E$9+1,1))-AVERAGE(OFFSET($H$3,0,0,'Données projet'!$E$9+1,1))</f>
        <v>180.76388336802839</v>
      </c>
      <c r="T96" s="62">
        <f t="shared" si="88"/>
        <v>225.35030757566537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10.72307562160773</v>
      </c>
      <c r="AA96" s="23">
        <f>EXP(-LN(2)/25)*AA95+(1-EXP(-LN(2)/25))/(LN(2)/25)*Calculateur!V96*Calculateur!X96*VLOOKUP('Données projet'!$B$9,Paramètres!$A$1:$I$89,3,0)*0.475*44/12</f>
        <v>3.9861296284622783</v>
      </c>
      <c r="AB96" s="23">
        <f>EXP(-LN(2)/2)*AB95+(1-EXP(-LN(2)/2))/(LN(2)/2)*V96*Y96*VLOOKUP('Données projet'!$B$9,Paramètres!$A$1:$I$89,3,0)*0.475*44/12</f>
        <v>9.5000986950452034E-5</v>
      </c>
      <c r="AC96" s="24">
        <f t="shared" si="57"/>
        <v>14.709300251056959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243.99999999999989</v>
      </c>
      <c r="AJ96" s="14">
        <f>AI96*VLOOKUP('Données projet'!$B$10,Paramètres!$A$1:$I$89,3,0)*VLOOKUP('Données projet'!$B$10,Paramètres!$A$1:$I$89,5,0)</f>
        <v>190.31999999999991</v>
      </c>
      <c r="AK96" s="14">
        <f t="shared" si="89"/>
        <v>47.61069337740188</v>
      </c>
      <c r="AL96" s="22">
        <f t="shared" si="58"/>
        <v>414.39595763230813</v>
      </c>
      <c r="AM96" s="62">
        <f t="shared" si="59"/>
        <v>689.72412330414409</v>
      </c>
      <c r="AN96" s="62">
        <f ca="1">AVERAGE(OFFSET($AM$3,0,0,'Données projet'!$E$10+1,1))-AVERAGE(OFFSET($H$3,0,0,'Données projet'!$E$10+1,1))</f>
        <v>252.45744983674379</v>
      </c>
      <c r="AO96" s="62">
        <f t="shared" si="90"/>
        <v>283.28099819802776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14.760428639096455</v>
      </c>
      <c r="AV96" s="23">
        <f>EXP(-LN(2)/25)*AV95+(1-EXP(-LN(2)/25))/(LN(2)/25)*Calculateur!AQ96*Calculateur!AS96*VLOOKUP('Données projet'!$B$10,Paramètres!$A$1:$I$89,3,0)*0.475*44/12</f>
        <v>2.0506698695611494</v>
      </c>
      <c r="AW96" s="23">
        <f>EXP(-LN(2)/2)*AW95+(1-EXP(-LN(2)/2))/(LN(2)/2)*AQ96*AT96*VLOOKUP('Données projet'!$B$10,Paramètres!$A$1:$I$89,3,0)*0.475*44/12</f>
        <v>3.984046772511659E-5</v>
      </c>
      <c r="AX96" s="23">
        <f t="shared" si="60"/>
        <v>16.811138349125329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243.99999999999989</v>
      </c>
      <c r="BE96" s="14">
        <f>BD96*VLOOKUP('Données projet'!$B$11,Paramètres!$A$1:$I$89,3,0)*VLOOKUP('Données projet'!$B$11,Paramètres!$A$1:$I$89,5,0)</f>
        <v>190.31999999999991</v>
      </c>
      <c r="BF96" s="14">
        <f t="shared" si="91"/>
        <v>47.61069337740188</v>
      </c>
      <c r="BG96" s="22">
        <f t="shared" si="61"/>
        <v>414.39595763230813</v>
      </c>
      <c r="BH96" s="62">
        <f t="shared" si="62"/>
        <v>689.72412330414409</v>
      </c>
      <c r="BI96" s="62">
        <f ca="1">AVERAGE(OFFSET($BH$3,0,0,'Données projet'!$E$11+1,1))-AVERAGE(OFFSET($H$3,0,0,'Données projet'!$E$11+1,1))</f>
        <v>252.45744983674379</v>
      </c>
      <c r="BJ96" s="62">
        <f t="shared" si="92"/>
        <v>283.28099819802776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14.760428639096455</v>
      </c>
      <c r="BQ96" s="23">
        <f>EXP(-LN(2)/25)*BQ95+(1-EXP(-LN(2)/25))/(LN(2)/25)*Calculateur!BL96*Calculateur!BN96*VLOOKUP('Données projet'!$B$11,Paramètres!$A$1:$I$89,3,0)*0.475*44/12</f>
        <v>2.0506698695611494</v>
      </c>
      <c r="BR96" s="23">
        <f>EXP(-LN(2)/2)*BR95+(1-EXP(-LN(2)/2))/(LN(2)/2)*BL96*BO96*VLOOKUP('Données projet'!$B$11,Paramètres!$A$1:$I$89,3,0)*0.475*44/12</f>
        <v>3.984046772511659E-5</v>
      </c>
      <c r="BS96" s="24">
        <f t="shared" si="63"/>
        <v>16.811138349125329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243.99999999999989</v>
      </c>
      <c r="BZ96" s="14">
        <f>BY96*VLOOKUP('Données projet'!$B$12,Paramètres!$A$1:$I$89,3,0)*VLOOKUP('Données projet'!$B$12,Paramètres!$A$1:$I$89,5,0)</f>
        <v>190.31999999999991</v>
      </c>
      <c r="CA96" s="14">
        <f t="shared" si="93"/>
        <v>47.61069337740188</v>
      </c>
      <c r="CB96" s="22">
        <f t="shared" si="64"/>
        <v>414.39595763230813</v>
      </c>
      <c r="CC96" s="62">
        <f t="shared" si="65"/>
        <v>689.72412330414409</v>
      </c>
      <c r="CD96" s="62">
        <f ca="1">AVERAGE(OFFSET($CC$3,0,0,'Données projet'!$E$12+1,1))-AVERAGE(OFFSET($H$3,0,0,'Données projet'!$E$12+1,1))</f>
        <v>252.45744983674379</v>
      </c>
      <c r="CE96" s="62">
        <f t="shared" si="94"/>
        <v>283.28099819802776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14.760428639096455</v>
      </c>
      <c r="CL96" s="23">
        <f>EXP(-LN(2)/25)*CL95+(1-EXP(-LN(2)/25))/(LN(2)/25)*Calculateur!CG96*Calculateur!CI96*VLOOKUP('Données projet'!$B$12,Paramètres!$A$1:$I$89,3,0)*0.475*44/12</f>
        <v>2.0506698695611494</v>
      </c>
      <c r="CM96" s="23">
        <f>EXP(-LN(2)/2)*CM95+(1-EXP(-LN(2)/2))/(LN(2)/2)*CG96*CJ96*VLOOKUP('Données projet'!$B$12,Paramètres!$A$1:$I$89,3,0)*0.475*44/12</f>
        <v>3.984046772511659E-5</v>
      </c>
      <c r="CN96" s="24">
        <f t="shared" si="66"/>
        <v>16.811138349125329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215.46880000000002</v>
      </c>
      <c r="O97" s="14">
        <f>N97*VLOOKUP('Données projet'!$B$9,Paramètres!$A$1:$I$89,3,0)*VLOOKUP('Données projet'!$B$9,Paramètres!$A$1:$I$89,5,0)</f>
        <v>100.83939840000001</v>
      </c>
      <c r="P97" s="14">
        <f t="shared" si="87"/>
        <v>27.161875252139833</v>
      </c>
      <c r="Q97" s="22">
        <f t="shared" si="54"/>
        <v>222.93555161081022</v>
      </c>
      <c r="R97" s="62">
        <f t="shared" si="55"/>
        <v>498.57606668804874</v>
      </c>
      <c r="S97" s="62">
        <f ca="1">AVERAGE(OFFSET($R$3,0,0,'Données projet'!$E$9+1,1))-AVERAGE(OFFSET($H$3,0,0,'Données projet'!$E$9+1,1))</f>
        <v>180.76388336802839</v>
      </c>
      <c r="T97" s="62">
        <f t="shared" si="88"/>
        <v>225.35030757566537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10.512802649098319</v>
      </c>
      <c r="AA97" s="23">
        <f>EXP(-LN(2)/25)*AA96+(1-EXP(-LN(2)/25))/(LN(2)/25)*Calculateur!V97*Calculateur!X97*VLOOKUP('Données projet'!$B$9,Paramètres!$A$1:$I$89,3,0)*0.475*44/12</f>
        <v>3.8771287041505307</v>
      </c>
      <c r="AB97" s="23">
        <f>EXP(-LN(2)/2)*AB96+(1-EXP(-LN(2)/2))/(LN(2)/2)*V97*Y97*VLOOKUP('Données projet'!$B$9,Paramètres!$A$1:$I$89,3,0)*0.475*44/12</f>
        <v>6.7175842092079342E-5</v>
      </c>
      <c r="AC97" s="24">
        <f t="shared" si="57"/>
        <v>14.389998529090942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243.99999999999989</v>
      </c>
      <c r="AJ97" s="14">
        <f>AI97*VLOOKUP('Données projet'!$B$10,Paramètres!$A$1:$I$89,3,0)*VLOOKUP('Données projet'!$B$10,Paramètres!$A$1:$I$89,5,0)</f>
        <v>190.31999999999991</v>
      </c>
      <c r="AK97" s="14">
        <f t="shared" si="89"/>
        <v>47.61069337740188</v>
      </c>
      <c r="AL97" s="22">
        <f t="shared" si="58"/>
        <v>414.39595763230813</v>
      </c>
      <c r="AM97" s="62">
        <f t="shared" si="59"/>
        <v>690.03647270954662</v>
      </c>
      <c r="AN97" s="62">
        <f ca="1">AVERAGE(OFFSET($AM$3,0,0,'Données projet'!$E$10+1,1))-AVERAGE(OFFSET($H$3,0,0,'Données projet'!$E$10+1,1))</f>
        <v>252.45744983674379</v>
      </c>
      <c r="AO97" s="62">
        <f t="shared" si="90"/>
        <v>283.28099819802776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14.470985636456273</v>
      </c>
      <c r="AV97" s="23">
        <f>EXP(-LN(2)/25)*AV96+(1-EXP(-LN(2)/25))/(LN(2)/25)*Calculateur!AQ97*Calculateur!AS97*VLOOKUP('Données projet'!$B$10,Paramètres!$A$1:$I$89,3,0)*0.475*44/12</f>
        <v>1.9945941941379581</v>
      </c>
      <c r="AW97" s="23">
        <f>EXP(-LN(2)/2)*AW96+(1-EXP(-LN(2)/2))/(LN(2)/2)*AQ97*AT97*VLOOKUP('Données projet'!$B$10,Paramètres!$A$1:$I$89,3,0)*0.475*44/12</f>
        <v>2.8171464894073726E-5</v>
      </c>
      <c r="AX97" s="23">
        <f t="shared" si="60"/>
        <v>16.465608002059124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243.99999999999989</v>
      </c>
      <c r="BE97" s="14">
        <f>BD97*VLOOKUP('Données projet'!$B$11,Paramètres!$A$1:$I$89,3,0)*VLOOKUP('Données projet'!$B$11,Paramètres!$A$1:$I$89,5,0)</f>
        <v>190.31999999999991</v>
      </c>
      <c r="BF97" s="14">
        <f t="shared" si="91"/>
        <v>47.61069337740188</v>
      </c>
      <c r="BG97" s="22">
        <f t="shared" si="61"/>
        <v>414.39595763230813</v>
      </c>
      <c r="BH97" s="62">
        <f t="shared" si="62"/>
        <v>690.03647270954662</v>
      </c>
      <c r="BI97" s="62">
        <f ca="1">AVERAGE(OFFSET($BH$3,0,0,'Données projet'!$E$11+1,1))-AVERAGE(OFFSET($H$3,0,0,'Données projet'!$E$11+1,1))</f>
        <v>252.45744983674379</v>
      </c>
      <c r="BJ97" s="62">
        <f t="shared" si="92"/>
        <v>283.28099819802776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14.470985636456273</v>
      </c>
      <c r="BQ97" s="23">
        <f>EXP(-LN(2)/25)*BQ96+(1-EXP(-LN(2)/25))/(LN(2)/25)*Calculateur!BL97*Calculateur!BN97*VLOOKUP('Données projet'!$B$11,Paramètres!$A$1:$I$89,3,0)*0.475*44/12</f>
        <v>1.9945941941379581</v>
      </c>
      <c r="BR97" s="23">
        <f>EXP(-LN(2)/2)*BR96+(1-EXP(-LN(2)/2))/(LN(2)/2)*BL97*BO97*VLOOKUP('Données projet'!$B$11,Paramètres!$A$1:$I$89,3,0)*0.475*44/12</f>
        <v>2.8171464894073726E-5</v>
      </c>
      <c r="BS97" s="24">
        <f t="shared" si="63"/>
        <v>16.465608002059124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243.99999999999989</v>
      </c>
      <c r="BZ97" s="14">
        <f>BY97*VLOOKUP('Données projet'!$B$12,Paramètres!$A$1:$I$89,3,0)*VLOOKUP('Données projet'!$B$12,Paramètres!$A$1:$I$89,5,0)</f>
        <v>190.31999999999991</v>
      </c>
      <c r="CA97" s="14">
        <f t="shared" si="93"/>
        <v>47.61069337740188</v>
      </c>
      <c r="CB97" s="22">
        <f t="shared" si="64"/>
        <v>414.39595763230813</v>
      </c>
      <c r="CC97" s="62">
        <f t="shared" si="65"/>
        <v>690.03647270954662</v>
      </c>
      <c r="CD97" s="62">
        <f ca="1">AVERAGE(OFFSET($CC$3,0,0,'Données projet'!$E$12+1,1))-AVERAGE(OFFSET($H$3,0,0,'Données projet'!$E$12+1,1))</f>
        <v>252.45744983674379</v>
      </c>
      <c r="CE97" s="62">
        <f t="shared" si="94"/>
        <v>283.28099819802776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14.470985636456273</v>
      </c>
      <c r="CL97" s="23">
        <f>EXP(-LN(2)/25)*CL96+(1-EXP(-LN(2)/25))/(LN(2)/25)*Calculateur!CG97*Calculateur!CI97*VLOOKUP('Données projet'!$B$12,Paramètres!$A$1:$I$89,3,0)*0.475*44/12</f>
        <v>1.9945941941379581</v>
      </c>
      <c r="CM97" s="23">
        <f>EXP(-LN(2)/2)*CM96+(1-EXP(-LN(2)/2))/(LN(2)/2)*CG97*CJ97*VLOOKUP('Données projet'!$B$12,Paramètres!$A$1:$I$89,3,0)*0.475*44/12</f>
        <v>2.8171464894073726E-5</v>
      </c>
      <c r="CN97" s="24">
        <f t="shared" si="66"/>
        <v>16.465608002059124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215.46880000000002</v>
      </c>
      <c r="O98" s="14">
        <f>N98*VLOOKUP('Données projet'!$B$9,Paramètres!$A$1:$I$89,3,0)*VLOOKUP('Données projet'!$B$9,Paramètres!$A$1:$I$89,5,0)</f>
        <v>100.83939840000001</v>
      </c>
      <c r="P98" s="14">
        <f t="shared" si="87"/>
        <v>27.161875252139833</v>
      </c>
      <c r="Q98" s="22">
        <f t="shared" si="54"/>
        <v>222.93555161081022</v>
      </c>
      <c r="R98" s="62">
        <f t="shared" si="55"/>
        <v>498.88299752957619</v>
      </c>
      <c r="S98" s="62">
        <f ca="1">AVERAGE(OFFSET($R$3,0,0,'Données projet'!$E$9+1,1))-AVERAGE(OFFSET($H$3,0,0,'Données projet'!$E$9+1,1))</f>
        <v>180.76388336802839</v>
      </c>
      <c r="T98" s="62">
        <f t="shared" si="88"/>
        <v>225.35030757566537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10.306653001325968</v>
      </c>
      <c r="AA98" s="23">
        <f>EXP(-LN(2)/25)*AA97+(1-EXP(-LN(2)/25))/(LN(2)/25)*Calculateur!V98*Calculateur!X98*VLOOKUP('Données projet'!$B$9,Paramètres!$A$1:$I$89,3,0)*0.475*44/12</f>
        <v>3.7711084158461974</v>
      </c>
      <c r="AB98" s="23">
        <f>EXP(-LN(2)/2)*AB97+(1-EXP(-LN(2)/2))/(LN(2)/2)*V98*Y98*VLOOKUP('Données projet'!$B$9,Paramètres!$A$1:$I$89,3,0)*0.475*44/12</f>
        <v>4.7500493475226017E-5</v>
      </c>
      <c r="AC98" s="24">
        <f t="shared" si="57"/>
        <v>14.07780891766564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243.99999999999989</v>
      </c>
      <c r="AJ98" s="14">
        <f>AI98*VLOOKUP('Données projet'!$B$10,Paramètres!$A$1:$I$89,3,0)*VLOOKUP('Données projet'!$B$10,Paramètres!$A$1:$I$89,5,0)</f>
        <v>190.31999999999991</v>
      </c>
      <c r="AK98" s="14">
        <f t="shared" si="89"/>
        <v>47.61069337740188</v>
      </c>
      <c r="AL98" s="22">
        <f t="shared" si="58"/>
        <v>414.39595763230813</v>
      </c>
      <c r="AM98" s="62">
        <f t="shared" si="59"/>
        <v>690.34340355107406</v>
      </c>
      <c r="AN98" s="62">
        <f ca="1">AVERAGE(OFFSET($AM$3,0,0,'Données projet'!$E$10+1,1))-AVERAGE(OFFSET($H$3,0,0,'Données projet'!$E$10+1,1))</f>
        <v>252.45744983674379</v>
      </c>
      <c r="AO98" s="62">
        <f t="shared" si="90"/>
        <v>283.28099819802776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14.187218434555067</v>
      </c>
      <c r="AV98" s="23">
        <f>EXP(-LN(2)/25)*AV97+(1-EXP(-LN(2)/25))/(LN(2)/25)*Calculateur!AQ98*Calculateur!AS98*VLOOKUP('Données projet'!$B$10,Paramètres!$A$1:$I$89,3,0)*0.475*44/12</f>
        <v>1.9400519110081058</v>
      </c>
      <c r="AW98" s="23">
        <f>EXP(-LN(2)/2)*AW97+(1-EXP(-LN(2)/2))/(LN(2)/2)*AQ98*AT98*VLOOKUP('Données projet'!$B$10,Paramètres!$A$1:$I$89,3,0)*0.475*44/12</f>
        <v>1.9920233862558295E-5</v>
      </c>
      <c r="AX98" s="23">
        <f t="shared" si="60"/>
        <v>16.127290265797036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243.99999999999989</v>
      </c>
      <c r="BE98" s="14">
        <f>BD98*VLOOKUP('Données projet'!$B$11,Paramètres!$A$1:$I$89,3,0)*VLOOKUP('Données projet'!$B$11,Paramètres!$A$1:$I$89,5,0)</f>
        <v>190.31999999999991</v>
      </c>
      <c r="BF98" s="14">
        <f t="shared" si="91"/>
        <v>47.61069337740188</v>
      </c>
      <c r="BG98" s="22">
        <f t="shared" si="61"/>
        <v>414.39595763230813</v>
      </c>
      <c r="BH98" s="62">
        <f t="shared" si="62"/>
        <v>690.34340355107406</v>
      </c>
      <c r="BI98" s="62">
        <f ca="1">AVERAGE(OFFSET($BH$3,0,0,'Données projet'!$E$11+1,1))-AVERAGE(OFFSET($H$3,0,0,'Données projet'!$E$11+1,1))</f>
        <v>252.45744983674379</v>
      </c>
      <c r="BJ98" s="62">
        <f t="shared" si="92"/>
        <v>283.28099819802776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14.187218434555067</v>
      </c>
      <c r="BQ98" s="23">
        <f>EXP(-LN(2)/25)*BQ97+(1-EXP(-LN(2)/25))/(LN(2)/25)*Calculateur!BL98*Calculateur!BN98*VLOOKUP('Données projet'!$B$11,Paramètres!$A$1:$I$89,3,0)*0.475*44/12</f>
        <v>1.9400519110081058</v>
      </c>
      <c r="BR98" s="23">
        <f>EXP(-LN(2)/2)*BR97+(1-EXP(-LN(2)/2))/(LN(2)/2)*BL98*BO98*VLOOKUP('Données projet'!$B$11,Paramètres!$A$1:$I$89,3,0)*0.475*44/12</f>
        <v>1.9920233862558295E-5</v>
      </c>
      <c r="BS98" s="24">
        <f t="shared" si="63"/>
        <v>16.127290265797036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243.99999999999989</v>
      </c>
      <c r="BZ98" s="14">
        <f>BY98*VLOOKUP('Données projet'!$B$12,Paramètres!$A$1:$I$89,3,0)*VLOOKUP('Données projet'!$B$12,Paramètres!$A$1:$I$89,5,0)</f>
        <v>190.31999999999991</v>
      </c>
      <c r="CA98" s="14">
        <f t="shared" si="93"/>
        <v>47.61069337740188</v>
      </c>
      <c r="CB98" s="22">
        <f t="shared" si="64"/>
        <v>414.39595763230813</v>
      </c>
      <c r="CC98" s="62">
        <f t="shared" si="65"/>
        <v>690.34340355107406</v>
      </c>
      <c r="CD98" s="62">
        <f ca="1">AVERAGE(OFFSET($CC$3,0,0,'Données projet'!$E$12+1,1))-AVERAGE(OFFSET($H$3,0,0,'Données projet'!$E$12+1,1))</f>
        <v>252.45744983674379</v>
      </c>
      <c r="CE98" s="62">
        <f t="shared" si="94"/>
        <v>283.28099819802776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14.187218434555067</v>
      </c>
      <c r="CL98" s="23">
        <f>EXP(-LN(2)/25)*CL97+(1-EXP(-LN(2)/25))/(LN(2)/25)*Calculateur!CG98*Calculateur!CI98*VLOOKUP('Données projet'!$B$12,Paramètres!$A$1:$I$89,3,0)*0.475*44/12</f>
        <v>1.9400519110081058</v>
      </c>
      <c r="CM98" s="23">
        <f>EXP(-LN(2)/2)*CM97+(1-EXP(-LN(2)/2))/(LN(2)/2)*CG98*CJ98*VLOOKUP('Données projet'!$B$12,Paramètres!$A$1:$I$89,3,0)*0.475*44/12</f>
        <v>1.9920233862558295E-5</v>
      </c>
      <c r="CN98" s="24">
        <f t="shared" si="66"/>
        <v>16.127290265797036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215.46880000000002</v>
      </c>
      <c r="O99" s="14">
        <f>N99*VLOOKUP('Données projet'!$B$9,Paramètres!$A$1:$I$89,3,0)*VLOOKUP('Données projet'!$B$9,Paramètres!$A$1:$I$89,5,0)</f>
        <v>100.83939840000001</v>
      </c>
      <c r="P99" s="14">
        <f t="shared" si="87"/>
        <v>27.161875252139833</v>
      </c>
      <c r="Q99" s="22">
        <f t="shared" ref="Q99:Q130" si="107">(O99+P99)*0.475*44/12</f>
        <v>222.93555161081022</v>
      </c>
      <c r="R99" s="62">
        <f t="shared" si="55"/>
        <v>499.18460380719762</v>
      </c>
      <c r="S99" s="62">
        <f ca="1">AVERAGE(OFFSET($R$3,0,0,'Données projet'!$E$9+1,1))-AVERAGE(OFFSET($H$3,0,0,'Données projet'!$E$9+1,1))</f>
        <v>180.76388336802839</v>
      </c>
      <c r="T99" s="62">
        <f t="shared" si="88"/>
        <v>225.35030757566537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10.104545822407562</v>
      </c>
      <c r="AA99" s="23">
        <f>EXP(-LN(2)/25)*AA98+(1-EXP(-LN(2)/25))/(LN(2)/25)*Calculateur!V99*Calculateur!X99*VLOOKUP('Données projet'!$B$9,Paramètres!$A$1:$I$89,3,0)*0.475*44/12</f>
        <v>3.6679872579009105</v>
      </c>
      <c r="AB99" s="23">
        <f>EXP(-LN(2)/2)*AB98+(1-EXP(-LN(2)/2))/(LN(2)/2)*V99*Y99*VLOOKUP('Données projet'!$B$9,Paramètres!$A$1:$I$89,3,0)*0.475*44/12</f>
        <v>3.3587921046039671E-5</v>
      </c>
      <c r="AC99" s="24">
        <f t="shared" si="57"/>
        <v>13.772566668229519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243.99999999999989</v>
      </c>
      <c r="AJ99" s="14">
        <f>AI99*VLOOKUP('Données projet'!$B$10,Paramètres!$A$1:$I$89,3,0)*VLOOKUP('Données projet'!$B$10,Paramètres!$A$1:$I$89,5,0)</f>
        <v>190.31999999999991</v>
      </c>
      <c r="AK99" s="14">
        <f t="shared" si="89"/>
        <v>47.61069337740188</v>
      </c>
      <c r="AL99" s="22">
        <f t="shared" si="58"/>
        <v>414.39595763230813</v>
      </c>
      <c r="AM99" s="62">
        <f t="shared" si="59"/>
        <v>690.64500982869549</v>
      </c>
      <c r="AN99" s="62">
        <f ca="1">AVERAGE(OFFSET($AM$3,0,0,'Données projet'!$E$10+1,1))-AVERAGE(OFFSET($H$3,0,0,'Données projet'!$E$10+1,1))</f>
        <v>252.45744983674379</v>
      </c>
      <c r="AO99" s="62">
        <f t="shared" si="90"/>
        <v>283.28099819802776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13.90901573440224</v>
      </c>
      <c r="AV99" s="23">
        <f>EXP(-LN(2)/25)*AV98+(1-EXP(-LN(2)/25))/(LN(2)/25)*Calculateur!AQ99*Calculateur!AS99*VLOOKUP('Données projet'!$B$10,Paramètres!$A$1:$I$89,3,0)*0.475*44/12</f>
        <v>1.8870010894786933</v>
      </c>
      <c r="AW99" s="23">
        <f>EXP(-LN(2)/2)*AW98+(1-EXP(-LN(2)/2))/(LN(2)/2)*AQ99*AT99*VLOOKUP('Données projet'!$B$10,Paramètres!$A$1:$I$89,3,0)*0.475*44/12</f>
        <v>1.4085732447036863E-5</v>
      </c>
      <c r="AX99" s="23">
        <f t="shared" si="60"/>
        <v>15.79603090961338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243.99999999999989</v>
      </c>
      <c r="BE99" s="14">
        <f>BD99*VLOOKUP('Données projet'!$B$11,Paramètres!$A$1:$I$89,3,0)*VLOOKUP('Données projet'!$B$11,Paramètres!$A$1:$I$89,5,0)</f>
        <v>190.31999999999991</v>
      </c>
      <c r="BF99" s="14">
        <f t="shared" si="91"/>
        <v>47.61069337740188</v>
      </c>
      <c r="BG99" s="22">
        <f t="shared" si="61"/>
        <v>414.39595763230813</v>
      </c>
      <c r="BH99" s="62">
        <f t="shared" si="62"/>
        <v>690.64500982869549</v>
      </c>
      <c r="BI99" s="62">
        <f ca="1">AVERAGE(OFFSET($BH$3,0,0,'Données projet'!$E$11+1,1))-AVERAGE(OFFSET($H$3,0,0,'Données projet'!$E$11+1,1))</f>
        <v>252.45744983674379</v>
      </c>
      <c r="BJ99" s="62">
        <f t="shared" si="92"/>
        <v>283.28099819802776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13.90901573440224</v>
      </c>
      <c r="BQ99" s="23">
        <f>EXP(-LN(2)/25)*BQ98+(1-EXP(-LN(2)/25))/(LN(2)/25)*Calculateur!BL99*Calculateur!BN99*VLOOKUP('Données projet'!$B$11,Paramètres!$A$1:$I$89,3,0)*0.475*44/12</f>
        <v>1.8870010894786933</v>
      </c>
      <c r="BR99" s="23">
        <f>EXP(-LN(2)/2)*BR98+(1-EXP(-LN(2)/2))/(LN(2)/2)*BL99*BO99*VLOOKUP('Données projet'!$B$11,Paramètres!$A$1:$I$89,3,0)*0.475*44/12</f>
        <v>1.4085732447036863E-5</v>
      </c>
      <c r="BS99" s="24">
        <f t="shared" si="63"/>
        <v>15.79603090961338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243.99999999999989</v>
      </c>
      <c r="BZ99" s="14">
        <f>BY99*VLOOKUP('Données projet'!$B$12,Paramètres!$A$1:$I$89,3,0)*VLOOKUP('Données projet'!$B$12,Paramètres!$A$1:$I$89,5,0)</f>
        <v>190.31999999999991</v>
      </c>
      <c r="CA99" s="14">
        <f t="shared" si="93"/>
        <v>47.61069337740188</v>
      </c>
      <c r="CB99" s="22">
        <f t="shared" si="64"/>
        <v>414.39595763230813</v>
      </c>
      <c r="CC99" s="62">
        <f t="shared" si="65"/>
        <v>690.64500982869549</v>
      </c>
      <c r="CD99" s="62">
        <f ca="1">AVERAGE(OFFSET($CC$3,0,0,'Données projet'!$E$12+1,1))-AVERAGE(OFFSET($H$3,0,0,'Données projet'!$E$12+1,1))</f>
        <v>252.45744983674379</v>
      </c>
      <c r="CE99" s="62">
        <f t="shared" si="94"/>
        <v>283.28099819802776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13.90901573440224</v>
      </c>
      <c r="CL99" s="23">
        <f>EXP(-LN(2)/25)*CL98+(1-EXP(-LN(2)/25))/(LN(2)/25)*Calculateur!CG99*Calculateur!CI99*VLOOKUP('Données projet'!$B$12,Paramètres!$A$1:$I$89,3,0)*0.475*44/12</f>
        <v>1.8870010894786933</v>
      </c>
      <c r="CM99" s="23">
        <f>EXP(-LN(2)/2)*CM98+(1-EXP(-LN(2)/2))/(LN(2)/2)*CG99*CJ99*VLOOKUP('Données projet'!$B$12,Paramètres!$A$1:$I$89,3,0)*0.475*44/12</f>
        <v>1.4085732447036863E-5</v>
      </c>
      <c r="CN99" s="24">
        <f t="shared" si="66"/>
        <v>15.79603090961338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215.46880000000002</v>
      </c>
      <c r="O100" s="14">
        <f>N100*VLOOKUP('Données projet'!$B$9,Paramètres!$A$1:$I$89,3,0)*VLOOKUP('Données projet'!$B$9,Paramètres!$A$1:$I$89,5,0)</f>
        <v>100.83939840000001</v>
      </c>
      <c r="P100" s="14">
        <f t="shared" si="87"/>
        <v>27.161875252139833</v>
      </c>
      <c r="Q100" s="22">
        <f t="shared" si="107"/>
        <v>222.93555161081022</v>
      </c>
      <c r="R100" s="62">
        <f t="shared" si="55"/>
        <v>499.480977890193</v>
      </c>
      <c r="S100" s="62">
        <f ca="1">AVERAGE(OFFSET($R$3,0,0,'Données projet'!$E$9+1,1))-AVERAGE(OFFSET($H$3,0,0,'Données projet'!$E$9+1,1))</f>
        <v>180.76388336802839</v>
      </c>
      <c r="T100" s="62">
        <f t="shared" si="88"/>
        <v>225.35030757566537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9.9064018419945405</v>
      </c>
      <c r="AA100" s="23">
        <f>EXP(-LN(2)/25)*AA99+(1-EXP(-LN(2)/25))/(LN(2)/25)*Calculateur!V100*Calculateur!X100*VLOOKUP('Données projet'!$B$9,Paramètres!$A$1:$I$89,3,0)*0.475*44/12</f>
        <v>3.5676859534425436</v>
      </c>
      <c r="AB100" s="23">
        <f>EXP(-LN(2)/2)*AB99+(1-EXP(-LN(2)/2))/(LN(2)/2)*V100*Y100*VLOOKUP('Données projet'!$B$9,Paramètres!$A$1:$I$89,3,0)*0.475*44/12</f>
        <v>2.3750246737613008E-5</v>
      </c>
      <c r="AC100" s="24">
        <f t="shared" si="57"/>
        <v>13.474111545683822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243.99999999999989</v>
      </c>
      <c r="AJ100" s="14">
        <f>AI100*VLOOKUP('Données projet'!$B$10,Paramètres!$A$1:$I$89,3,0)*VLOOKUP('Données projet'!$B$10,Paramètres!$A$1:$I$89,5,0)</f>
        <v>190.31999999999991</v>
      </c>
      <c r="AK100" s="14">
        <f t="shared" si="89"/>
        <v>47.61069337740188</v>
      </c>
      <c r="AL100" s="22">
        <f t="shared" si="58"/>
        <v>414.39595763230813</v>
      </c>
      <c r="AM100" s="62">
        <f t="shared" si="59"/>
        <v>690.94138391169099</v>
      </c>
      <c r="AN100" s="62">
        <f ca="1">AVERAGE(OFFSET($AM$3,0,0,'Données projet'!$E$10+1,1))-AVERAGE(OFFSET($H$3,0,0,'Données projet'!$E$10+1,1))</f>
        <v>252.45744983674379</v>
      </c>
      <c r="AO100" s="62">
        <f t="shared" si="90"/>
        <v>283.28099819802776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13.636268419512518</v>
      </c>
      <c r="AV100" s="23">
        <f>EXP(-LN(2)/25)*AV99+(1-EXP(-LN(2)/25))/(LN(2)/25)*Calculateur!AQ100*Calculateur!AS100*VLOOKUP('Données projet'!$B$10,Paramètres!$A$1:$I$89,3,0)*0.475*44/12</f>
        <v>1.8354009454538238</v>
      </c>
      <c r="AW100" s="23">
        <f>EXP(-LN(2)/2)*AW99+(1-EXP(-LN(2)/2))/(LN(2)/2)*AQ100*AT100*VLOOKUP('Données projet'!$B$10,Paramètres!$A$1:$I$89,3,0)*0.475*44/12</f>
        <v>9.9601169312791476E-6</v>
      </c>
      <c r="AX100" s="23">
        <f t="shared" si="60"/>
        <v>15.471679325083274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243.99999999999989</v>
      </c>
      <c r="BE100" s="14">
        <f>BD100*VLOOKUP('Données projet'!$B$11,Paramètres!$A$1:$I$89,3,0)*VLOOKUP('Données projet'!$B$11,Paramètres!$A$1:$I$89,5,0)</f>
        <v>190.31999999999991</v>
      </c>
      <c r="BF100" s="14">
        <f t="shared" si="91"/>
        <v>47.61069337740188</v>
      </c>
      <c r="BG100" s="22">
        <f t="shared" si="61"/>
        <v>414.39595763230813</v>
      </c>
      <c r="BH100" s="62">
        <f t="shared" si="62"/>
        <v>690.94138391169099</v>
      </c>
      <c r="BI100" s="62">
        <f ca="1">AVERAGE(OFFSET($BH$3,0,0,'Données projet'!$E$11+1,1))-AVERAGE(OFFSET($H$3,0,0,'Données projet'!$E$11+1,1))</f>
        <v>252.45744983674379</v>
      </c>
      <c r="BJ100" s="62">
        <f t="shared" si="92"/>
        <v>283.28099819802776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13.636268419512518</v>
      </c>
      <c r="BQ100" s="23">
        <f>EXP(-LN(2)/25)*BQ99+(1-EXP(-LN(2)/25))/(LN(2)/25)*Calculateur!BL100*Calculateur!BN100*VLOOKUP('Données projet'!$B$11,Paramètres!$A$1:$I$89,3,0)*0.475*44/12</f>
        <v>1.8354009454538238</v>
      </c>
      <c r="BR100" s="23">
        <f>EXP(-LN(2)/2)*BR99+(1-EXP(-LN(2)/2))/(LN(2)/2)*BL100*BO100*VLOOKUP('Données projet'!$B$11,Paramètres!$A$1:$I$89,3,0)*0.475*44/12</f>
        <v>9.9601169312791476E-6</v>
      </c>
      <c r="BS100" s="24">
        <f t="shared" si="63"/>
        <v>15.471679325083274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243.99999999999989</v>
      </c>
      <c r="BZ100" s="14">
        <f>BY100*VLOOKUP('Données projet'!$B$12,Paramètres!$A$1:$I$89,3,0)*VLOOKUP('Données projet'!$B$12,Paramètres!$A$1:$I$89,5,0)</f>
        <v>190.31999999999991</v>
      </c>
      <c r="CA100" s="14">
        <f t="shared" si="93"/>
        <v>47.61069337740188</v>
      </c>
      <c r="CB100" s="22">
        <f t="shared" si="64"/>
        <v>414.39595763230813</v>
      </c>
      <c r="CC100" s="62">
        <f t="shared" si="65"/>
        <v>690.94138391169099</v>
      </c>
      <c r="CD100" s="62">
        <f ca="1">AVERAGE(OFFSET($CC$3,0,0,'Données projet'!$E$12+1,1))-AVERAGE(OFFSET($H$3,0,0,'Données projet'!$E$12+1,1))</f>
        <v>252.45744983674379</v>
      </c>
      <c r="CE100" s="62">
        <f t="shared" si="94"/>
        <v>283.28099819802776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13.636268419512518</v>
      </c>
      <c r="CL100" s="23">
        <f>EXP(-LN(2)/25)*CL99+(1-EXP(-LN(2)/25))/(LN(2)/25)*Calculateur!CG100*Calculateur!CI100*VLOOKUP('Données projet'!$B$12,Paramètres!$A$1:$I$89,3,0)*0.475*44/12</f>
        <v>1.8354009454538238</v>
      </c>
      <c r="CM100" s="23">
        <f>EXP(-LN(2)/2)*CM99+(1-EXP(-LN(2)/2))/(LN(2)/2)*CG100*CJ100*VLOOKUP('Données projet'!$B$12,Paramètres!$A$1:$I$89,3,0)*0.475*44/12</f>
        <v>9.9601169312791476E-6</v>
      </c>
      <c r="CN100" s="24">
        <f t="shared" si="66"/>
        <v>15.471679325083274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215.46880000000002</v>
      </c>
      <c r="O101" s="14">
        <f>N101*VLOOKUP('Données projet'!$B$9,Paramètres!$A$1:$I$89,3,0)*VLOOKUP('Données projet'!$B$9,Paramètres!$A$1:$I$89,5,0)</f>
        <v>100.83939840000001</v>
      </c>
      <c r="P101" s="14">
        <f t="shared" si="87"/>
        <v>27.161875252139833</v>
      </c>
      <c r="Q101" s="22">
        <f t="shared" si="107"/>
        <v>222.93555161081022</v>
      </c>
      <c r="R101" s="62">
        <f t="shared" si="55"/>
        <v>499.77221054544157</v>
      </c>
      <c r="S101" s="62">
        <f ca="1">AVERAGE(OFFSET($R$3,0,0,'Données projet'!$E$9+1,1))-AVERAGE(OFFSET($H$3,0,0,'Données projet'!$E$9+1,1))</f>
        <v>180.76388336802839</v>
      </c>
      <c r="T101" s="62">
        <f t="shared" si="88"/>
        <v>225.35030757566537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9.7121433441815235</v>
      </c>
      <c r="AA101" s="23">
        <f>EXP(-LN(2)/25)*AA100+(1-EXP(-LN(2)/25))/(LN(2)/25)*Calculateur!V101*Calculateur!X101*VLOOKUP('Données projet'!$B$9,Paramètres!$A$1:$I$89,3,0)*0.475*44/12</f>
        <v>3.4701273934292072</v>
      </c>
      <c r="AB101" s="23">
        <f>EXP(-LN(2)/2)*AB100+(1-EXP(-LN(2)/2))/(LN(2)/2)*V101*Y101*VLOOKUP('Données projet'!$B$9,Paramètres!$A$1:$I$89,3,0)*0.475*44/12</f>
        <v>1.6793960523019836E-5</v>
      </c>
      <c r="AC101" s="24">
        <f t="shared" si="57"/>
        <v>13.182287531571253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243.99999999999989</v>
      </c>
      <c r="AJ101" s="14">
        <f>AI101*VLOOKUP('Données projet'!$B$10,Paramètres!$A$1:$I$89,3,0)*VLOOKUP('Données projet'!$B$10,Paramètres!$A$1:$I$89,5,0)</f>
        <v>190.31999999999991</v>
      </c>
      <c r="AK101" s="14">
        <f t="shared" si="89"/>
        <v>47.61069337740188</v>
      </c>
      <c r="AL101" s="22">
        <f t="shared" si="58"/>
        <v>414.39595763230813</v>
      </c>
      <c r="AM101" s="62">
        <f t="shared" si="59"/>
        <v>691.23261656693944</v>
      </c>
      <c r="AN101" s="62">
        <f ca="1">AVERAGE(OFFSET($AM$3,0,0,'Données projet'!$E$10+1,1))-AVERAGE(OFFSET($H$3,0,0,'Données projet'!$E$10+1,1))</f>
        <v>252.45744983674379</v>
      </c>
      <c r="AO101" s="62">
        <f t="shared" si="90"/>
        <v>283.28099819802776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13.368869513108349</v>
      </c>
      <c r="AV101" s="23">
        <f>EXP(-LN(2)/25)*AV100+(1-EXP(-LN(2)/25))/(LN(2)/25)*Calculateur!AQ101*Calculateur!AS101*VLOOKUP('Données projet'!$B$10,Paramètres!$A$1:$I$89,3,0)*0.475*44/12</f>
        <v>1.7852118100808481</v>
      </c>
      <c r="AW101" s="23">
        <f>EXP(-LN(2)/2)*AW100+(1-EXP(-LN(2)/2))/(LN(2)/2)*AQ101*AT101*VLOOKUP('Données projet'!$B$10,Paramètres!$A$1:$I$89,3,0)*0.475*44/12</f>
        <v>7.0428662235184315E-6</v>
      </c>
      <c r="AX101" s="23">
        <f t="shared" si="60"/>
        <v>15.154088366055419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243.99999999999989</v>
      </c>
      <c r="BE101" s="14">
        <f>BD101*VLOOKUP('Données projet'!$B$11,Paramètres!$A$1:$I$89,3,0)*VLOOKUP('Données projet'!$B$11,Paramètres!$A$1:$I$89,5,0)</f>
        <v>190.31999999999991</v>
      </c>
      <c r="BF101" s="14">
        <f t="shared" si="91"/>
        <v>47.61069337740188</v>
      </c>
      <c r="BG101" s="22">
        <f t="shared" si="61"/>
        <v>414.39595763230813</v>
      </c>
      <c r="BH101" s="62">
        <f t="shared" si="62"/>
        <v>691.23261656693944</v>
      </c>
      <c r="BI101" s="62">
        <f ca="1">AVERAGE(OFFSET($BH$3,0,0,'Données projet'!$E$11+1,1))-AVERAGE(OFFSET($H$3,0,0,'Données projet'!$E$11+1,1))</f>
        <v>252.45744983674379</v>
      </c>
      <c r="BJ101" s="62">
        <f t="shared" si="92"/>
        <v>283.28099819802776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13.368869513108349</v>
      </c>
      <c r="BQ101" s="23">
        <f>EXP(-LN(2)/25)*BQ100+(1-EXP(-LN(2)/25))/(LN(2)/25)*Calculateur!BL101*Calculateur!BN101*VLOOKUP('Données projet'!$B$11,Paramètres!$A$1:$I$89,3,0)*0.475*44/12</f>
        <v>1.7852118100808481</v>
      </c>
      <c r="BR101" s="23">
        <f>EXP(-LN(2)/2)*BR100+(1-EXP(-LN(2)/2))/(LN(2)/2)*BL101*BO101*VLOOKUP('Données projet'!$B$11,Paramètres!$A$1:$I$89,3,0)*0.475*44/12</f>
        <v>7.0428662235184315E-6</v>
      </c>
      <c r="BS101" s="24">
        <f t="shared" si="63"/>
        <v>15.154088366055419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243.99999999999989</v>
      </c>
      <c r="BZ101" s="14">
        <f>BY101*VLOOKUP('Données projet'!$B$12,Paramètres!$A$1:$I$89,3,0)*VLOOKUP('Données projet'!$B$12,Paramètres!$A$1:$I$89,5,0)</f>
        <v>190.31999999999991</v>
      </c>
      <c r="CA101" s="14">
        <f t="shared" si="93"/>
        <v>47.61069337740188</v>
      </c>
      <c r="CB101" s="22">
        <f t="shared" si="64"/>
        <v>414.39595763230813</v>
      </c>
      <c r="CC101" s="62">
        <f t="shared" si="65"/>
        <v>691.23261656693944</v>
      </c>
      <c r="CD101" s="62">
        <f ca="1">AVERAGE(OFFSET($CC$3,0,0,'Données projet'!$E$12+1,1))-AVERAGE(OFFSET($H$3,0,0,'Données projet'!$E$12+1,1))</f>
        <v>252.45744983674379</v>
      </c>
      <c r="CE101" s="62">
        <f t="shared" si="94"/>
        <v>283.28099819802776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13.368869513108349</v>
      </c>
      <c r="CL101" s="23">
        <f>EXP(-LN(2)/25)*CL100+(1-EXP(-LN(2)/25))/(LN(2)/25)*Calculateur!CG101*Calculateur!CI101*VLOOKUP('Données projet'!$B$12,Paramètres!$A$1:$I$89,3,0)*0.475*44/12</f>
        <v>1.7852118100808481</v>
      </c>
      <c r="CM101" s="23">
        <f>EXP(-LN(2)/2)*CM100+(1-EXP(-LN(2)/2))/(LN(2)/2)*CG101*CJ101*VLOOKUP('Données projet'!$B$12,Paramètres!$A$1:$I$89,3,0)*0.475*44/12</f>
        <v>7.0428662235184315E-6</v>
      </c>
      <c r="CN101" s="24">
        <f t="shared" si="66"/>
        <v>15.154088366055419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215.46880000000002</v>
      </c>
      <c r="O102" s="14">
        <f>N102*VLOOKUP('Données projet'!$B$9,Paramètres!$A$1:$I$89,3,0)*VLOOKUP('Données projet'!$B$9,Paramètres!$A$1:$I$89,5,0)</f>
        <v>100.83939840000001</v>
      </c>
      <c r="P102" s="14">
        <f t="shared" si="87"/>
        <v>27.161875252139833</v>
      </c>
      <c r="Q102" s="22">
        <f t="shared" si="107"/>
        <v>222.93555161081022</v>
      </c>
      <c r="R102" s="62">
        <f t="shared" si="55"/>
        <v>500.05839096522038</v>
      </c>
      <c r="S102" s="62">
        <f ca="1">AVERAGE(OFFSET($R$3,0,0,'Données projet'!$E$9+1,1))-AVERAGE(OFFSET($H$3,0,0,'Données projet'!$E$9+1,1))</f>
        <v>180.76388336802839</v>
      </c>
      <c r="T102" s="62">
        <f t="shared" si="88"/>
        <v>225.35030757566537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9.5216941370246353</v>
      </c>
      <c r="AA102" s="23">
        <f>EXP(-LN(2)/25)*AA101+(1-EXP(-LN(2)/25))/(LN(2)/25)*Calculateur!V102*Calculateur!X102*VLOOKUP('Données projet'!$B$9,Paramètres!$A$1:$I$89,3,0)*0.475*44/12</f>
        <v>3.375236577369817</v>
      </c>
      <c r="AB102" s="23">
        <f>EXP(-LN(2)/2)*AB101+(1-EXP(-LN(2)/2))/(LN(2)/2)*V102*Y102*VLOOKUP('Données projet'!$B$9,Paramètres!$A$1:$I$89,3,0)*0.475*44/12</f>
        <v>1.1875123368806504E-5</v>
      </c>
      <c r="AC102" s="24">
        <f t="shared" si="57"/>
        <v>12.89694258951782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243.99999999999989</v>
      </c>
      <c r="AJ102" s="14">
        <f>AI102*VLOOKUP('Données projet'!$B$10,Paramètres!$A$1:$I$89,3,0)*VLOOKUP('Données projet'!$B$10,Paramètres!$A$1:$I$89,5,0)</f>
        <v>190.31999999999991</v>
      </c>
      <c r="AK102" s="14">
        <f t="shared" si="89"/>
        <v>47.61069337740188</v>
      </c>
      <c r="AL102" s="22">
        <f t="shared" si="58"/>
        <v>414.39595763230813</v>
      </c>
      <c r="AM102" s="62">
        <f t="shared" si="59"/>
        <v>691.51879698671826</v>
      </c>
      <c r="AN102" s="62">
        <f ca="1">AVERAGE(OFFSET($AM$3,0,0,'Données projet'!$E$10+1,1))-AVERAGE(OFFSET($H$3,0,0,'Données projet'!$E$10+1,1))</f>
        <v>252.45744983674379</v>
      </c>
      <c r="AO102" s="62">
        <f t="shared" si="90"/>
        <v>283.28099819802776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13.106714136161536</v>
      </c>
      <c r="AV102" s="23">
        <f>EXP(-LN(2)/25)*AV101+(1-EXP(-LN(2)/25))/(LN(2)/25)*Calculateur!AQ102*Calculateur!AS102*VLOOKUP('Données projet'!$B$10,Paramètres!$A$1:$I$89,3,0)*0.475*44/12</f>
        <v>1.7363950992539783</v>
      </c>
      <c r="AW102" s="23">
        <f>EXP(-LN(2)/2)*AW101+(1-EXP(-LN(2)/2))/(LN(2)/2)*AQ102*AT102*VLOOKUP('Données projet'!$B$10,Paramètres!$A$1:$I$89,3,0)*0.475*44/12</f>
        <v>4.9800584656395738E-6</v>
      </c>
      <c r="AX102" s="23">
        <f t="shared" si="60"/>
        <v>14.84311421547398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243.99999999999989</v>
      </c>
      <c r="BE102" s="14">
        <f>BD102*VLOOKUP('Données projet'!$B$11,Paramètres!$A$1:$I$89,3,0)*VLOOKUP('Données projet'!$B$11,Paramètres!$A$1:$I$89,5,0)</f>
        <v>190.31999999999991</v>
      </c>
      <c r="BF102" s="14">
        <f t="shared" si="91"/>
        <v>47.61069337740188</v>
      </c>
      <c r="BG102" s="22">
        <f t="shared" si="61"/>
        <v>414.39595763230813</v>
      </c>
      <c r="BH102" s="62">
        <f t="shared" si="62"/>
        <v>691.51879698671826</v>
      </c>
      <c r="BI102" s="62">
        <f ca="1">AVERAGE(OFFSET($BH$3,0,0,'Données projet'!$E$11+1,1))-AVERAGE(OFFSET($H$3,0,0,'Données projet'!$E$11+1,1))</f>
        <v>252.45744983674379</v>
      </c>
      <c r="BJ102" s="62">
        <f t="shared" si="92"/>
        <v>283.28099819802776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13.106714136161536</v>
      </c>
      <c r="BQ102" s="23">
        <f>EXP(-LN(2)/25)*BQ101+(1-EXP(-LN(2)/25))/(LN(2)/25)*Calculateur!BL102*Calculateur!BN102*VLOOKUP('Données projet'!$B$11,Paramètres!$A$1:$I$89,3,0)*0.475*44/12</f>
        <v>1.7363950992539783</v>
      </c>
      <c r="BR102" s="23">
        <f>EXP(-LN(2)/2)*BR101+(1-EXP(-LN(2)/2))/(LN(2)/2)*BL102*BO102*VLOOKUP('Données projet'!$B$11,Paramètres!$A$1:$I$89,3,0)*0.475*44/12</f>
        <v>4.9800584656395738E-6</v>
      </c>
      <c r="BS102" s="24">
        <f t="shared" si="63"/>
        <v>14.84311421547398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243.99999999999989</v>
      </c>
      <c r="BZ102" s="14">
        <f>BY102*VLOOKUP('Données projet'!$B$12,Paramètres!$A$1:$I$89,3,0)*VLOOKUP('Données projet'!$B$12,Paramètres!$A$1:$I$89,5,0)</f>
        <v>190.31999999999991</v>
      </c>
      <c r="CA102" s="14">
        <f t="shared" si="93"/>
        <v>47.61069337740188</v>
      </c>
      <c r="CB102" s="22">
        <f t="shared" si="64"/>
        <v>414.39595763230813</v>
      </c>
      <c r="CC102" s="62">
        <f t="shared" si="65"/>
        <v>691.51879698671826</v>
      </c>
      <c r="CD102" s="62">
        <f ca="1">AVERAGE(OFFSET($CC$3,0,0,'Données projet'!$E$12+1,1))-AVERAGE(OFFSET($H$3,0,0,'Données projet'!$E$12+1,1))</f>
        <v>252.45744983674379</v>
      </c>
      <c r="CE102" s="62">
        <f t="shared" si="94"/>
        <v>283.28099819802776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13.106714136161536</v>
      </c>
      <c r="CL102" s="23">
        <f>EXP(-LN(2)/25)*CL101+(1-EXP(-LN(2)/25))/(LN(2)/25)*Calculateur!CG102*Calculateur!CI102*VLOOKUP('Données projet'!$B$12,Paramètres!$A$1:$I$89,3,0)*0.475*44/12</f>
        <v>1.7363950992539783</v>
      </c>
      <c r="CM102" s="23">
        <f>EXP(-LN(2)/2)*CM101+(1-EXP(-LN(2)/2))/(LN(2)/2)*CG102*CJ102*VLOOKUP('Données projet'!$B$12,Paramètres!$A$1:$I$89,3,0)*0.475*44/12</f>
        <v>4.9800584656395738E-6</v>
      </c>
      <c r="CN102" s="24">
        <f t="shared" si="66"/>
        <v>14.84311421547398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215.46880000000002</v>
      </c>
      <c r="O103" s="14">
        <f>N103*VLOOKUP('Données projet'!$B$9,Paramètres!$A$1:$I$89,3,0)*VLOOKUP('Données projet'!$B$9,Paramètres!$A$1:$I$89,5,0)</f>
        <v>100.83939840000001</v>
      </c>
      <c r="P103" s="14">
        <f t="shared" si="87"/>
        <v>27.161875252139833</v>
      </c>
      <c r="Q103" s="22">
        <f t="shared" si="107"/>
        <v>222.93555161081022</v>
      </c>
      <c r="R103" s="62">
        <f t="shared" si="55"/>
        <v>500.33960679451945</v>
      </c>
      <c r="S103" s="62">
        <f ca="1">AVERAGE(OFFSET($R$3,0,0,'Données projet'!$E$9+1,1))-AVERAGE(OFFSET($H$3,0,0,'Données projet'!$E$9+1,1))</f>
        <v>180.76388336802839</v>
      </c>
      <c r="T103" s="62">
        <f t="shared" si="88"/>
        <v>225.35030757566537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9.3349795226575463</v>
      </c>
      <c r="AA103" s="23">
        <f>EXP(-LN(2)/25)*AA102+(1-EXP(-LN(2)/25))/(LN(2)/25)*Calculateur!V103*Calculateur!X103*VLOOKUP('Données projet'!$B$9,Paramètres!$A$1:$I$89,3,0)*0.475*44/12</f>
        <v>3.2829405556656619</v>
      </c>
      <c r="AB103" s="23">
        <f>EXP(-LN(2)/2)*AB102+(1-EXP(-LN(2)/2))/(LN(2)/2)*V103*Y103*VLOOKUP('Données projet'!$B$9,Paramètres!$A$1:$I$89,3,0)*0.475*44/12</f>
        <v>8.3969802615099178E-6</v>
      </c>
      <c r="AC103" s="24">
        <f t="shared" si="57"/>
        <v>12.61792847530347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243.99999999999989</v>
      </c>
      <c r="AJ103" s="14">
        <f>AI103*VLOOKUP('Données projet'!$B$10,Paramètres!$A$1:$I$89,3,0)*VLOOKUP('Données projet'!$B$10,Paramètres!$A$1:$I$89,5,0)</f>
        <v>190.31999999999991</v>
      </c>
      <c r="AK103" s="14">
        <f t="shared" si="89"/>
        <v>47.61069337740188</v>
      </c>
      <c r="AL103" s="22">
        <f t="shared" si="58"/>
        <v>414.39595763230813</v>
      </c>
      <c r="AM103" s="62">
        <f t="shared" si="59"/>
        <v>691.80001281601733</v>
      </c>
      <c r="AN103" s="62">
        <f ca="1">AVERAGE(OFFSET($AM$3,0,0,'Données projet'!$E$10+1,1))-AVERAGE(OFFSET($H$3,0,0,'Données projet'!$E$10+1,1))</f>
        <v>252.45744983674379</v>
      </c>
      <c r="AO103" s="62">
        <f t="shared" si="90"/>
        <v>283.28099819802776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12.849699466257659</v>
      </c>
      <c r="AV103" s="23">
        <f>EXP(-LN(2)/25)*AV102+(1-EXP(-LN(2)/25))/(LN(2)/25)*Calculateur!AQ103*Calculateur!AS103*VLOOKUP('Données projet'!$B$10,Paramètres!$A$1:$I$89,3,0)*0.475*44/12</f>
        <v>1.6889132839518286</v>
      </c>
      <c r="AW103" s="23">
        <f>EXP(-LN(2)/2)*AW102+(1-EXP(-LN(2)/2))/(LN(2)/2)*AQ103*AT103*VLOOKUP('Données projet'!$B$10,Paramètres!$A$1:$I$89,3,0)*0.475*44/12</f>
        <v>3.5214331117592158E-6</v>
      </c>
      <c r="AX103" s="23">
        <f t="shared" si="60"/>
        <v>14.538616271642599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243.99999999999989</v>
      </c>
      <c r="BE103" s="14">
        <f>BD103*VLOOKUP('Données projet'!$B$11,Paramètres!$A$1:$I$89,3,0)*VLOOKUP('Données projet'!$B$11,Paramètres!$A$1:$I$89,5,0)</f>
        <v>190.31999999999991</v>
      </c>
      <c r="BF103" s="14">
        <f t="shared" si="91"/>
        <v>47.61069337740188</v>
      </c>
      <c r="BG103" s="22">
        <f t="shared" si="61"/>
        <v>414.39595763230813</v>
      </c>
      <c r="BH103" s="62">
        <f t="shared" si="62"/>
        <v>691.80001281601733</v>
      </c>
      <c r="BI103" s="62">
        <f ca="1">AVERAGE(OFFSET($BH$3,0,0,'Données projet'!$E$11+1,1))-AVERAGE(OFFSET($H$3,0,0,'Données projet'!$E$11+1,1))</f>
        <v>252.45744983674379</v>
      </c>
      <c r="BJ103" s="62">
        <f t="shared" si="92"/>
        <v>283.28099819802776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12.849699466257659</v>
      </c>
      <c r="BQ103" s="23">
        <f>EXP(-LN(2)/25)*BQ102+(1-EXP(-LN(2)/25))/(LN(2)/25)*Calculateur!BL103*Calculateur!BN103*VLOOKUP('Données projet'!$B$11,Paramètres!$A$1:$I$89,3,0)*0.475*44/12</f>
        <v>1.6889132839518286</v>
      </c>
      <c r="BR103" s="23">
        <f>EXP(-LN(2)/2)*BR102+(1-EXP(-LN(2)/2))/(LN(2)/2)*BL103*BO103*VLOOKUP('Données projet'!$B$11,Paramètres!$A$1:$I$89,3,0)*0.475*44/12</f>
        <v>3.5214331117592158E-6</v>
      </c>
      <c r="BS103" s="24">
        <f t="shared" si="63"/>
        <v>14.538616271642599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243.99999999999989</v>
      </c>
      <c r="BZ103" s="14">
        <f>BY103*VLOOKUP('Données projet'!$B$12,Paramètres!$A$1:$I$89,3,0)*VLOOKUP('Données projet'!$B$12,Paramètres!$A$1:$I$89,5,0)</f>
        <v>190.31999999999991</v>
      </c>
      <c r="CA103" s="14">
        <f t="shared" si="93"/>
        <v>47.61069337740188</v>
      </c>
      <c r="CB103" s="22">
        <f t="shared" si="64"/>
        <v>414.39595763230813</v>
      </c>
      <c r="CC103" s="62">
        <f t="shared" si="65"/>
        <v>691.80001281601733</v>
      </c>
      <c r="CD103" s="62">
        <f ca="1">AVERAGE(OFFSET($CC$3,0,0,'Données projet'!$E$12+1,1))-AVERAGE(OFFSET($H$3,0,0,'Données projet'!$E$12+1,1))</f>
        <v>252.45744983674379</v>
      </c>
      <c r="CE103" s="62">
        <f t="shared" si="94"/>
        <v>283.28099819802776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12.849699466257659</v>
      </c>
      <c r="CL103" s="23">
        <f>EXP(-LN(2)/25)*CL102+(1-EXP(-LN(2)/25))/(LN(2)/25)*Calculateur!CG103*Calculateur!CI103*VLOOKUP('Données projet'!$B$12,Paramètres!$A$1:$I$89,3,0)*0.475*44/12</f>
        <v>1.6889132839518286</v>
      </c>
      <c r="CM103" s="23">
        <f>EXP(-LN(2)/2)*CM102+(1-EXP(-LN(2)/2))/(LN(2)/2)*CG103*CJ103*VLOOKUP('Données projet'!$B$12,Paramètres!$A$1:$I$89,3,0)*0.475*44/12</f>
        <v>3.5214331117592158E-6</v>
      </c>
      <c r="CN103" s="24">
        <f t="shared" si="66"/>
        <v>14.538616271642599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215.46880000000002</v>
      </c>
      <c r="O104" s="14">
        <f>N104*VLOOKUP('Données projet'!$B$9,Paramètres!$A$1:$I$89,3,0)*VLOOKUP('Données projet'!$B$9,Paramètres!$A$1:$I$89,5,0)</f>
        <v>100.83939840000001</v>
      </c>
      <c r="P104" s="14">
        <f t="shared" si="87"/>
        <v>27.161875252139833</v>
      </c>
      <c r="Q104" s="22">
        <f t="shared" si="107"/>
        <v>222.93555161081022</v>
      </c>
      <c r="R104" s="62">
        <f t="shared" si="55"/>
        <v>500.61594415788466</v>
      </c>
      <c r="S104" s="62">
        <f ca="1">AVERAGE(OFFSET($R$3,0,0,'Données projet'!$E$9+1,1))-AVERAGE(OFFSET($H$3,0,0,'Données projet'!$E$9+1,1))</f>
        <v>180.76388336802839</v>
      </c>
      <c r="T104" s="62">
        <f t="shared" si="88"/>
        <v>225.35030757566537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9.1519262679935274</v>
      </c>
      <c r="AA104" s="23">
        <f>EXP(-LN(2)/25)*AA103+(1-EXP(-LN(2)/25))/(LN(2)/25)*Calculateur!V104*Calculateur!X104*VLOOKUP('Données projet'!$B$9,Paramètres!$A$1:$I$89,3,0)*0.475*44/12</f>
        <v>3.193168373528644</v>
      </c>
      <c r="AB104" s="23">
        <f>EXP(-LN(2)/2)*AB103+(1-EXP(-LN(2)/2))/(LN(2)/2)*V104*Y104*VLOOKUP('Données projet'!$B$9,Paramètres!$A$1:$I$89,3,0)*0.475*44/12</f>
        <v>5.9375616844032521E-6</v>
      </c>
      <c r="AC104" s="24">
        <f t="shared" si="57"/>
        <v>12.345100579083857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243.99999999999989</v>
      </c>
      <c r="AJ104" s="14">
        <f>AI104*VLOOKUP('Données projet'!$B$10,Paramètres!$A$1:$I$89,3,0)*VLOOKUP('Données projet'!$B$10,Paramètres!$A$1:$I$89,5,0)</f>
        <v>190.31999999999991</v>
      </c>
      <c r="AK104" s="14">
        <f t="shared" si="89"/>
        <v>47.61069337740188</v>
      </c>
      <c r="AL104" s="22">
        <f t="shared" si="58"/>
        <v>414.39595763230813</v>
      </c>
      <c r="AM104" s="62">
        <f t="shared" si="59"/>
        <v>692.07635017938253</v>
      </c>
      <c r="AN104" s="62">
        <f ca="1">AVERAGE(OFFSET($AM$3,0,0,'Données projet'!$E$10+1,1))-AVERAGE(OFFSET($H$3,0,0,'Données projet'!$E$10+1,1))</f>
        <v>252.45744983674379</v>
      </c>
      <c r="AO104" s="62">
        <f t="shared" si="90"/>
        <v>283.28099819802776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12.597724697267129</v>
      </c>
      <c r="AV104" s="23">
        <f>EXP(-LN(2)/25)*AV103+(1-EXP(-LN(2)/25))/(LN(2)/25)*Calculateur!AQ104*Calculateur!AS104*VLOOKUP('Données projet'!$B$10,Paramètres!$A$1:$I$89,3,0)*0.475*44/12</f>
        <v>1.6427298613860764</v>
      </c>
      <c r="AW104" s="23">
        <f>EXP(-LN(2)/2)*AW103+(1-EXP(-LN(2)/2))/(LN(2)/2)*AQ104*AT104*VLOOKUP('Données projet'!$B$10,Paramètres!$A$1:$I$89,3,0)*0.475*44/12</f>
        <v>2.4900292328197869E-6</v>
      </c>
      <c r="AX104" s="23">
        <f t="shared" si="60"/>
        <v>14.240457048682439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243.99999999999989</v>
      </c>
      <c r="BE104" s="14">
        <f>BD104*VLOOKUP('Données projet'!$B$11,Paramètres!$A$1:$I$89,3,0)*VLOOKUP('Données projet'!$B$11,Paramètres!$A$1:$I$89,5,0)</f>
        <v>190.31999999999991</v>
      </c>
      <c r="BF104" s="14">
        <f t="shared" si="91"/>
        <v>47.61069337740188</v>
      </c>
      <c r="BG104" s="22">
        <f t="shared" si="61"/>
        <v>414.39595763230813</v>
      </c>
      <c r="BH104" s="62">
        <f t="shared" si="62"/>
        <v>692.07635017938253</v>
      </c>
      <c r="BI104" s="62">
        <f ca="1">AVERAGE(OFFSET($BH$3,0,0,'Données projet'!$E$11+1,1))-AVERAGE(OFFSET($H$3,0,0,'Données projet'!$E$11+1,1))</f>
        <v>252.45744983674379</v>
      </c>
      <c r="BJ104" s="62">
        <f t="shared" si="92"/>
        <v>283.28099819802776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12.597724697267129</v>
      </c>
      <c r="BQ104" s="23">
        <f>EXP(-LN(2)/25)*BQ103+(1-EXP(-LN(2)/25))/(LN(2)/25)*Calculateur!BL104*Calculateur!BN104*VLOOKUP('Données projet'!$B$11,Paramètres!$A$1:$I$89,3,0)*0.475*44/12</f>
        <v>1.6427298613860764</v>
      </c>
      <c r="BR104" s="23">
        <f>EXP(-LN(2)/2)*BR103+(1-EXP(-LN(2)/2))/(LN(2)/2)*BL104*BO104*VLOOKUP('Données projet'!$B$11,Paramètres!$A$1:$I$89,3,0)*0.475*44/12</f>
        <v>2.4900292328197869E-6</v>
      </c>
      <c r="BS104" s="24">
        <f t="shared" si="63"/>
        <v>14.240457048682439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243.99999999999989</v>
      </c>
      <c r="BZ104" s="14">
        <f>BY104*VLOOKUP('Données projet'!$B$12,Paramètres!$A$1:$I$89,3,0)*VLOOKUP('Données projet'!$B$12,Paramètres!$A$1:$I$89,5,0)</f>
        <v>190.31999999999991</v>
      </c>
      <c r="CA104" s="14">
        <f t="shared" si="93"/>
        <v>47.61069337740188</v>
      </c>
      <c r="CB104" s="22">
        <f t="shared" si="64"/>
        <v>414.39595763230813</v>
      </c>
      <c r="CC104" s="62">
        <f t="shared" si="65"/>
        <v>692.07635017938253</v>
      </c>
      <c r="CD104" s="62">
        <f ca="1">AVERAGE(OFFSET($CC$3,0,0,'Données projet'!$E$12+1,1))-AVERAGE(OFFSET($H$3,0,0,'Données projet'!$E$12+1,1))</f>
        <v>252.45744983674379</v>
      </c>
      <c r="CE104" s="62">
        <f t="shared" si="94"/>
        <v>283.28099819802776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12.597724697267129</v>
      </c>
      <c r="CL104" s="23">
        <f>EXP(-LN(2)/25)*CL103+(1-EXP(-LN(2)/25))/(LN(2)/25)*Calculateur!CG104*Calculateur!CI104*VLOOKUP('Données projet'!$B$12,Paramètres!$A$1:$I$89,3,0)*0.475*44/12</f>
        <v>1.6427298613860764</v>
      </c>
      <c r="CM104" s="23">
        <f>EXP(-LN(2)/2)*CM103+(1-EXP(-LN(2)/2))/(LN(2)/2)*CG104*CJ104*VLOOKUP('Données projet'!$B$12,Paramètres!$A$1:$I$89,3,0)*0.475*44/12</f>
        <v>2.4900292328197869E-6</v>
      </c>
      <c r="CN104" s="24">
        <f t="shared" si="66"/>
        <v>14.240457048682439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215.46880000000002</v>
      </c>
      <c r="O105" s="14">
        <f>N105*VLOOKUP('Données projet'!$B$9,Paramètres!$A$1:$I$89,3,0)*VLOOKUP('Données projet'!$B$9,Paramètres!$A$1:$I$89,5,0)</f>
        <v>100.83939840000001</v>
      </c>
      <c r="P105" s="14">
        <f t="shared" si="87"/>
        <v>27.161875252139833</v>
      </c>
      <c r="Q105" s="22">
        <f t="shared" si="107"/>
        <v>222.93555161081022</v>
      </c>
      <c r="R105" s="62">
        <f t="shared" si="55"/>
        <v>500.88748768579319</v>
      </c>
      <c r="S105" s="62">
        <f ca="1">AVERAGE(OFFSET($R$3,0,0,'Données projet'!$E$9+1,1))-AVERAGE(OFFSET($H$3,0,0,'Données projet'!$E$9+1,1))</f>
        <v>180.76388336802839</v>
      </c>
      <c r="T105" s="62">
        <f t="shared" si="88"/>
        <v>225.35030757566537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8.9724625760020089</v>
      </c>
      <c r="AA105" s="23">
        <f>EXP(-LN(2)/25)*AA104+(1-EXP(-LN(2)/25))/(LN(2)/25)*Calculateur!V105*Calculateur!X105*VLOOKUP('Données projet'!$B$9,Paramètres!$A$1:$I$89,3,0)*0.475*44/12</f>
        <v>3.1058510164330766</v>
      </c>
      <c r="AB105" s="23">
        <f>EXP(-LN(2)/2)*AB104+(1-EXP(-LN(2)/2))/(LN(2)/2)*V105*Y105*VLOOKUP('Données projet'!$B$9,Paramètres!$A$1:$I$89,3,0)*0.475*44/12</f>
        <v>4.1984901307549589E-6</v>
      </c>
      <c r="AC105" s="24">
        <f t="shared" si="57"/>
        <v>12.078317790925217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243.99999999999989</v>
      </c>
      <c r="AJ105" s="14">
        <f>AI105*VLOOKUP('Données projet'!$B$10,Paramètres!$A$1:$I$89,3,0)*VLOOKUP('Données projet'!$B$10,Paramètres!$A$1:$I$89,5,0)</f>
        <v>190.31999999999991</v>
      </c>
      <c r="AK105" s="14">
        <f t="shared" si="89"/>
        <v>47.61069337740188</v>
      </c>
      <c r="AL105" s="22">
        <f t="shared" si="58"/>
        <v>414.39595763230813</v>
      </c>
      <c r="AM105" s="62">
        <f t="shared" si="59"/>
        <v>692.34789370729106</v>
      </c>
      <c r="AN105" s="62">
        <f ca="1">AVERAGE(OFFSET($AM$3,0,0,'Données projet'!$E$10+1,1))-AVERAGE(OFFSET($H$3,0,0,'Données projet'!$E$10+1,1))</f>
        <v>252.45744983674379</v>
      </c>
      <c r="AO105" s="62">
        <f t="shared" si="90"/>
        <v>283.28099819802776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12.350690999807068</v>
      </c>
      <c r="AV105" s="23">
        <f>EXP(-LN(2)/25)*AV104+(1-EXP(-LN(2)/25))/(LN(2)/25)*Calculateur!AQ105*Calculateur!AS105*VLOOKUP('Données projet'!$B$10,Paramètres!$A$1:$I$89,3,0)*0.475*44/12</f>
        <v>1.5978093269390652</v>
      </c>
      <c r="AW105" s="23">
        <f>EXP(-LN(2)/2)*AW104+(1-EXP(-LN(2)/2))/(LN(2)/2)*AQ105*AT105*VLOOKUP('Données projet'!$B$10,Paramètres!$A$1:$I$89,3,0)*0.475*44/12</f>
        <v>1.7607165558796079E-6</v>
      </c>
      <c r="AX105" s="23">
        <f t="shared" si="60"/>
        <v>13.948502087462689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243.99999999999989</v>
      </c>
      <c r="BE105" s="14">
        <f>BD105*VLOOKUP('Données projet'!$B$11,Paramètres!$A$1:$I$89,3,0)*VLOOKUP('Données projet'!$B$11,Paramètres!$A$1:$I$89,5,0)</f>
        <v>190.31999999999991</v>
      </c>
      <c r="BF105" s="14">
        <f t="shared" si="91"/>
        <v>47.61069337740188</v>
      </c>
      <c r="BG105" s="22">
        <f t="shared" si="61"/>
        <v>414.39595763230813</v>
      </c>
      <c r="BH105" s="62">
        <f t="shared" si="62"/>
        <v>692.34789370729106</v>
      </c>
      <c r="BI105" s="62">
        <f ca="1">AVERAGE(OFFSET($BH$3,0,0,'Données projet'!$E$11+1,1))-AVERAGE(OFFSET($H$3,0,0,'Données projet'!$E$11+1,1))</f>
        <v>252.45744983674379</v>
      </c>
      <c r="BJ105" s="62">
        <f t="shared" si="92"/>
        <v>283.28099819802776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12.350690999807068</v>
      </c>
      <c r="BQ105" s="23">
        <f>EXP(-LN(2)/25)*BQ104+(1-EXP(-LN(2)/25))/(LN(2)/25)*Calculateur!BL105*Calculateur!BN105*VLOOKUP('Données projet'!$B$11,Paramètres!$A$1:$I$89,3,0)*0.475*44/12</f>
        <v>1.5978093269390652</v>
      </c>
      <c r="BR105" s="23">
        <f>EXP(-LN(2)/2)*BR104+(1-EXP(-LN(2)/2))/(LN(2)/2)*BL105*BO105*VLOOKUP('Données projet'!$B$11,Paramètres!$A$1:$I$89,3,0)*0.475*44/12</f>
        <v>1.7607165558796079E-6</v>
      </c>
      <c r="BS105" s="24">
        <f t="shared" si="63"/>
        <v>13.948502087462689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243.99999999999989</v>
      </c>
      <c r="BZ105" s="14">
        <f>BY105*VLOOKUP('Données projet'!$B$12,Paramètres!$A$1:$I$89,3,0)*VLOOKUP('Données projet'!$B$12,Paramètres!$A$1:$I$89,5,0)</f>
        <v>190.31999999999991</v>
      </c>
      <c r="CA105" s="14">
        <f t="shared" si="93"/>
        <v>47.61069337740188</v>
      </c>
      <c r="CB105" s="22">
        <f t="shared" si="64"/>
        <v>414.39595763230813</v>
      </c>
      <c r="CC105" s="62">
        <f t="shared" si="65"/>
        <v>692.34789370729106</v>
      </c>
      <c r="CD105" s="62">
        <f ca="1">AVERAGE(OFFSET($CC$3,0,0,'Données projet'!$E$12+1,1))-AVERAGE(OFFSET($H$3,0,0,'Données projet'!$E$12+1,1))</f>
        <v>252.45744983674379</v>
      </c>
      <c r="CE105" s="62">
        <f t="shared" si="94"/>
        <v>283.28099819802776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12.350690999807068</v>
      </c>
      <c r="CL105" s="23">
        <f>EXP(-LN(2)/25)*CL104+(1-EXP(-LN(2)/25))/(LN(2)/25)*Calculateur!CG105*Calculateur!CI105*VLOOKUP('Données projet'!$B$12,Paramètres!$A$1:$I$89,3,0)*0.475*44/12</f>
        <v>1.5978093269390652</v>
      </c>
      <c r="CM105" s="23">
        <f>EXP(-LN(2)/2)*CM104+(1-EXP(-LN(2)/2))/(LN(2)/2)*CG105*CJ105*VLOOKUP('Données projet'!$B$12,Paramètres!$A$1:$I$89,3,0)*0.475*44/12</f>
        <v>1.7607165558796079E-6</v>
      </c>
      <c r="CN105" s="24">
        <f t="shared" si="66"/>
        <v>13.948502087462689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215.46880000000002</v>
      </c>
      <c r="O106" s="14">
        <f>N106*VLOOKUP('Données projet'!$B$9,Paramètres!$A$1:$I$89,3,0)*VLOOKUP('Données projet'!$B$9,Paramètres!$A$1:$I$89,5,0)</f>
        <v>100.83939840000001</v>
      </c>
      <c r="P106" s="14">
        <f t="shared" si="87"/>
        <v>27.161875252139833</v>
      </c>
      <c r="Q106" s="22">
        <f t="shared" si="107"/>
        <v>222.93555161081022</v>
      </c>
      <c r="R106" s="62">
        <f t="shared" si="55"/>
        <v>501.15432054057294</v>
      </c>
      <c r="S106" s="62">
        <f ca="1">AVERAGE(OFFSET($R$3,0,0,'Données projet'!$E$9+1,1))-AVERAGE(OFFSET($H$3,0,0,'Données projet'!$E$9+1,1))</f>
        <v>180.76388336802839</v>
      </c>
      <c r="T106" s="62">
        <f t="shared" si="88"/>
        <v>225.35030757566537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8.7965180575484005</v>
      </c>
      <c r="AA106" s="23">
        <f>EXP(-LN(2)/25)*AA105+(1-EXP(-LN(2)/25))/(LN(2)/25)*Calculateur!V106*Calculateur!X106*VLOOKUP('Données projet'!$B$9,Paramètres!$A$1:$I$89,3,0)*0.475*44/12</f>
        <v>3.0209213570591076</v>
      </c>
      <c r="AB106" s="23">
        <f>EXP(-LN(2)/2)*AB105+(1-EXP(-LN(2)/2))/(LN(2)/2)*V106*Y106*VLOOKUP('Données projet'!$B$9,Paramètres!$A$1:$I$89,3,0)*0.475*44/12</f>
        <v>2.9687808422016261E-6</v>
      </c>
      <c r="AC106" s="24">
        <f t="shared" si="57"/>
        <v>11.81744238338835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243.99999999999989</v>
      </c>
      <c r="AJ106" s="14">
        <f>AI106*VLOOKUP('Données projet'!$B$10,Paramètres!$A$1:$I$89,3,0)*VLOOKUP('Données projet'!$B$10,Paramètres!$A$1:$I$89,5,0)</f>
        <v>190.31999999999991</v>
      </c>
      <c r="AK106" s="14">
        <f t="shared" si="89"/>
        <v>47.61069337740188</v>
      </c>
      <c r="AL106" s="22">
        <f t="shared" si="58"/>
        <v>414.39595763230813</v>
      </c>
      <c r="AM106" s="62">
        <f t="shared" si="59"/>
        <v>692.61472656207081</v>
      </c>
      <c r="AN106" s="62">
        <f ca="1">AVERAGE(OFFSET($AM$3,0,0,'Données projet'!$E$10+1,1))-AVERAGE(OFFSET($H$3,0,0,'Données projet'!$E$10+1,1))</f>
        <v>252.45744983674379</v>
      </c>
      <c r="AO106" s="62">
        <f t="shared" si="90"/>
        <v>283.28099819802776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12.108501482478522</v>
      </c>
      <c r="AV106" s="23">
        <f>EXP(-LN(2)/25)*AV105+(1-EXP(-LN(2)/25))/(LN(2)/25)*Calculateur!AQ106*Calculateur!AS106*VLOOKUP('Données projet'!$B$10,Paramètres!$A$1:$I$89,3,0)*0.475*44/12</f>
        <v>1.5541171468687758</v>
      </c>
      <c r="AW106" s="23">
        <f>EXP(-LN(2)/2)*AW105+(1-EXP(-LN(2)/2))/(LN(2)/2)*AQ106*AT106*VLOOKUP('Données projet'!$B$10,Paramètres!$A$1:$I$89,3,0)*0.475*44/12</f>
        <v>1.2450146164098934E-6</v>
      </c>
      <c r="AX106" s="23">
        <f t="shared" si="60"/>
        <v>13.662619874361914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243.99999999999989</v>
      </c>
      <c r="BE106" s="14">
        <f>BD106*VLOOKUP('Données projet'!$B$11,Paramètres!$A$1:$I$89,3,0)*VLOOKUP('Données projet'!$B$11,Paramètres!$A$1:$I$89,5,0)</f>
        <v>190.31999999999991</v>
      </c>
      <c r="BF106" s="14">
        <f t="shared" si="91"/>
        <v>47.61069337740188</v>
      </c>
      <c r="BG106" s="22">
        <f t="shared" si="61"/>
        <v>414.39595763230813</v>
      </c>
      <c r="BH106" s="62">
        <f t="shared" si="62"/>
        <v>692.61472656207081</v>
      </c>
      <c r="BI106" s="62">
        <f ca="1">AVERAGE(OFFSET($BH$3,0,0,'Données projet'!$E$11+1,1))-AVERAGE(OFFSET($H$3,0,0,'Données projet'!$E$11+1,1))</f>
        <v>252.45744983674379</v>
      </c>
      <c r="BJ106" s="62">
        <f t="shared" si="92"/>
        <v>283.28099819802776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12.108501482478522</v>
      </c>
      <c r="BQ106" s="23">
        <f>EXP(-LN(2)/25)*BQ105+(1-EXP(-LN(2)/25))/(LN(2)/25)*Calculateur!BL106*Calculateur!BN106*VLOOKUP('Données projet'!$B$11,Paramètres!$A$1:$I$89,3,0)*0.475*44/12</f>
        <v>1.5541171468687758</v>
      </c>
      <c r="BR106" s="23">
        <f>EXP(-LN(2)/2)*BR105+(1-EXP(-LN(2)/2))/(LN(2)/2)*BL106*BO106*VLOOKUP('Données projet'!$B$11,Paramètres!$A$1:$I$89,3,0)*0.475*44/12</f>
        <v>1.2450146164098934E-6</v>
      </c>
      <c r="BS106" s="24">
        <f t="shared" si="63"/>
        <v>13.662619874361914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243.99999999999989</v>
      </c>
      <c r="BZ106" s="14">
        <f>BY106*VLOOKUP('Données projet'!$B$12,Paramètres!$A$1:$I$89,3,0)*VLOOKUP('Données projet'!$B$12,Paramètres!$A$1:$I$89,5,0)</f>
        <v>190.31999999999991</v>
      </c>
      <c r="CA106" s="14">
        <f t="shared" si="93"/>
        <v>47.61069337740188</v>
      </c>
      <c r="CB106" s="22">
        <f t="shared" si="64"/>
        <v>414.39595763230813</v>
      </c>
      <c r="CC106" s="62">
        <f t="shared" si="65"/>
        <v>692.61472656207081</v>
      </c>
      <c r="CD106" s="62">
        <f ca="1">AVERAGE(OFFSET($CC$3,0,0,'Données projet'!$E$12+1,1))-AVERAGE(OFFSET($H$3,0,0,'Données projet'!$E$12+1,1))</f>
        <v>252.45744983674379</v>
      </c>
      <c r="CE106" s="62">
        <f t="shared" si="94"/>
        <v>283.28099819802776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12.108501482478522</v>
      </c>
      <c r="CL106" s="23">
        <f>EXP(-LN(2)/25)*CL105+(1-EXP(-LN(2)/25))/(LN(2)/25)*Calculateur!CG106*Calculateur!CI106*VLOOKUP('Données projet'!$B$12,Paramètres!$A$1:$I$89,3,0)*0.475*44/12</f>
        <v>1.5541171468687758</v>
      </c>
      <c r="CM106" s="23">
        <f>EXP(-LN(2)/2)*CM105+(1-EXP(-LN(2)/2))/(LN(2)/2)*CG106*CJ106*VLOOKUP('Données projet'!$B$12,Paramètres!$A$1:$I$89,3,0)*0.475*44/12</f>
        <v>1.2450146164098934E-6</v>
      </c>
      <c r="CN106" s="24">
        <f t="shared" si="66"/>
        <v>13.662619874361914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215.46880000000002</v>
      </c>
      <c r="O107" s="14">
        <f>N107*VLOOKUP('Données projet'!$B$9,Paramètres!$A$1:$I$89,3,0)*VLOOKUP('Données projet'!$B$9,Paramètres!$A$1:$I$89,5,0)</f>
        <v>100.83939840000001</v>
      </c>
      <c r="P107" s="14">
        <f t="shared" si="87"/>
        <v>27.161875252139833</v>
      </c>
      <c r="Q107" s="22">
        <f t="shared" si="107"/>
        <v>222.93555161081022</v>
      </c>
      <c r="R107" s="62">
        <f t="shared" si="55"/>
        <v>501.41652444187116</v>
      </c>
      <c r="S107" s="62">
        <f ca="1">AVERAGE(OFFSET($R$3,0,0,'Données projet'!$E$9+1,1))-AVERAGE(OFFSET($H$3,0,0,'Données projet'!$E$9+1,1))</f>
        <v>180.76388336802839</v>
      </c>
      <c r="T107" s="62">
        <f t="shared" si="88"/>
        <v>225.35030757566537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8.6240237037861078</v>
      </c>
      <c r="AA107" s="23">
        <f>EXP(-LN(2)/25)*AA106+(1-EXP(-LN(2)/25))/(LN(2)/25)*Calculateur!V107*Calculateur!X107*VLOOKUP('Données projet'!$B$9,Paramètres!$A$1:$I$89,3,0)*0.475*44/12</f>
        <v>2.9383141036869764</v>
      </c>
      <c r="AB107" s="23">
        <f>EXP(-LN(2)/2)*AB106+(1-EXP(-LN(2)/2))/(LN(2)/2)*V107*Y107*VLOOKUP('Données projet'!$B$9,Paramètres!$A$1:$I$89,3,0)*0.475*44/12</f>
        <v>2.0992450653774794E-6</v>
      </c>
      <c r="AC107" s="24">
        <f t="shared" si="57"/>
        <v>11.562339906718151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243.99999999999989</v>
      </c>
      <c r="AJ107" s="14">
        <f>AI107*VLOOKUP('Données projet'!$B$10,Paramètres!$A$1:$I$89,3,0)*VLOOKUP('Données projet'!$B$10,Paramètres!$A$1:$I$89,5,0)</f>
        <v>190.31999999999991</v>
      </c>
      <c r="AK107" s="14">
        <f t="shared" si="89"/>
        <v>47.61069337740188</v>
      </c>
      <c r="AL107" s="22">
        <f t="shared" si="58"/>
        <v>414.39595763230813</v>
      </c>
      <c r="AM107" s="62">
        <f t="shared" si="59"/>
        <v>692.87693046336904</v>
      </c>
      <c r="AN107" s="62">
        <f ca="1">AVERAGE(OFFSET($AM$3,0,0,'Données projet'!$E$10+1,1))-AVERAGE(OFFSET($H$3,0,0,'Données projet'!$E$10+1,1))</f>
        <v>252.45744983674379</v>
      </c>
      <c r="AO107" s="62">
        <f t="shared" si="90"/>
        <v>283.28099819802776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11.871061153863769</v>
      </c>
      <c r="AV107" s="23">
        <f>EXP(-LN(2)/25)*AV106+(1-EXP(-LN(2)/25))/(LN(2)/25)*Calculateur!AQ107*Calculateur!AS107*VLOOKUP('Données projet'!$B$10,Paramètres!$A$1:$I$89,3,0)*0.475*44/12</f>
        <v>1.5116197317601803</v>
      </c>
      <c r="AW107" s="23">
        <f>EXP(-LN(2)/2)*AW106+(1-EXP(-LN(2)/2))/(LN(2)/2)*AQ107*AT107*VLOOKUP('Données projet'!$B$10,Paramètres!$A$1:$I$89,3,0)*0.475*44/12</f>
        <v>8.8035827793980394E-7</v>
      </c>
      <c r="AX107" s="23">
        <f t="shared" si="60"/>
        <v>13.382681765982229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243.99999999999989</v>
      </c>
      <c r="BE107" s="14">
        <f>BD107*VLOOKUP('Données projet'!$B$11,Paramètres!$A$1:$I$89,3,0)*VLOOKUP('Données projet'!$B$11,Paramètres!$A$1:$I$89,5,0)</f>
        <v>190.31999999999991</v>
      </c>
      <c r="BF107" s="14">
        <f t="shared" si="91"/>
        <v>47.61069337740188</v>
      </c>
      <c r="BG107" s="22">
        <f t="shared" si="61"/>
        <v>414.39595763230813</v>
      </c>
      <c r="BH107" s="62">
        <f t="shared" si="62"/>
        <v>692.87693046336904</v>
      </c>
      <c r="BI107" s="62">
        <f ca="1">AVERAGE(OFFSET($BH$3,0,0,'Données projet'!$E$11+1,1))-AVERAGE(OFFSET($H$3,0,0,'Données projet'!$E$11+1,1))</f>
        <v>252.45744983674379</v>
      </c>
      <c r="BJ107" s="62">
        <f t="shared" si="92"/>
        <v>283.28099819802776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11.871061153863769</v>
      </c>
      <c r="BQ107" s="23">
        <f>EXP(-LN(2)/25)*BQ106+(1-EXP(-LN(2)/25))/(LN(2)/25)*Calculateur!BL107*Calculateur!BN107*VLOOKUP('Données projet'!$B$11,Paramètres!$A$1:$I$89,3,0)*0.475*44/12</f>
        <v>1.5116197317601803</v>
      </c>
      <c r="BR107" s="23">
        <f>EXP(-LN(2)/2)*BR106+(1-EXP(-LN(2)/2))/(LN(2)/2)*BL107*BO107*VLOOKUP('Données projet'!$B$11,Paramètres!$A$1:$I$89,3,0)*0.475*44/12</f>
        <v>8.8035827793980394E-7</v>
      </c>
      <c r="BS107" s="24">
        <f t="shared" si="63"/>
        <v>13.382681765982229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243.99999999999989</v>
      </c>
      <c r="BZ107" s="14">
        <f>BY107*VLOOKUP('Données projet'!$B$12,Paramètres!$A$1:$I$89,3,0)*VLOOKUP('Données projet'!$B$12,Paramètres!$A$1:$I$89,5,0)</f>
        <v>190.31999999999991</v>
      </c>
      <c r="CA107" s="14">
        <f t="shared" si="93"/>
        <v>47.61069337740188</v>
      </c>
      <c r="CB107" s="22">
        <f t="shared" si="64"/>
        <v>414.39595763230813</v>
      </c>
      <c r="CC107" s="62">
        <f t="shared" si="65"/>
        <v>692.87693046336904</v>
      </c>
      <c r="CD107" s="62">
        <f ca="1">AVERAGE(OFFSET($CC$3,0,0,'Données projet'!$E$12+1,1))-AVERAGE(OFFSET($H$3,0,0,'Données projet'!$E$12+1,1))</f>
        <v>252.45744983674379</v>
      </c>
      <c r="CE107" s="62">
        <f t="shared" si="94"/>
        <v>283.28099819802776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11.871061153863769</v>
      </c>
      <c r="CL107" s="23">
        <f>EXP(-LN(2)/25)*CL106+(1-EXP(-LN(2)/25))/(LN(2)/25)*Calculateur!CG107*Calculateur!CI107*VLOOKUP('Données projet'!$B$12,Paramètres!$A$1:$I$89,3,0)*0.475*44/12</f>
        <v>1.5116197317601803</v>
      </c>
      <c r="CM107" s="23">
        <f>EXP(-LN(2)/2)*CM106+(1-EXP(-LN(2)/2))/(LN(2)/2)*CG107*CJ107*VLOOKUP('Données projet'!$B$12,Paramètres!$A$1:$I$89,3,0)*0.475*44/12</f>
        <v>8.8035827793980394E-7</v>
      </c>
      <c r="CN107" s="24">
        <f t="shared" si="66"/>
        <v>13.382681765982229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215.46880000000002</v>
      </c>
      <c r="O108" s="14">
        <f>N108*VLOOKUP('Données projet'!$B$9,Paramètres!$A$1:$I$89,3,0)*VLOOKUP('Données projet'!$B$9,Paramètres!$A$1:$I$89,5,0)</f>
        <v>100.83939840000001</v>
      </c>
      <c r="P108" s="14">
        <f t="shared" si="87"/>
        <v>27.161875252139833</v>
      </c>
      <c r="Q108" s="22">
        <f t="shared" si="107"/>
        <v>222.93555161081022</v>
      </c>
      <c r="R108" s="62">
        <f t="shared" si="55"/>
        <v>501.67417969168196</v>
      </c>
      <c r="S108" s="62">
        <f ca="1">AVERAGE(OFFSET($R$3,0,0,'Données projet'!$E$9+1,1))-AVERAGE(OFFSET($H$3,0,0,'Données projet'!$E$9+1,1))</f>
        <v>180.76388336802839</v>
      </c>
      <c r="T108" s="62">
        <f t="shared" si="88"/>
        <v>225.35030757566537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8.4549118590899255</v>
      </c>
      <c r="AA108" s="23">
        <f>EXP(-LN(2)/25)*AA107+(1-EXP(-LN(2)/25))/(LN(2)/25)*Calculateur!V108*Calculateur!X108*VLOOKUP('Données projet'!$B$9,Paramètres!$A$1:$I$89,3,0)*0.475*44/12</f>
        <v>2.8579657500024331</v>
      </c>
      <c r="AB108" s="23">
        <f>EXP(-LN(2)/2)*AB107+(1-EXP(-LN(2)/2))/(LN(2)/2)*V108*Y108*VLOOKUP('Données projet'!$B$9,Paramètres!$A$1:$I$89,3,0)*0.475*44/12</f>
        <v>1.484390421100813E-6</v>
      </c>
      <c r="AC108" s="24">
        <f t="shared" si="57"/>
        <v>11.312879093482779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243.99999999999989</v>
      </c>
      <c r="AJ108" s="14">
        <f>AI108*VLOOKUP('Données projet'!$B$10,Paramètres!$A$1:$I$89,3,0)*VLOOKUP('Données projet'!$B$10,Paramètres!$A$1:$I$89,5,0)</f>
        <v>190.31999999999991</v>
      </c>
      <c r="AK108" s="14">
        <f t="shared" si="89"/>
        <v>47.61069337740188</v>
      </c>
      <c r="AL108" s="22">
        <f t="shared" si="58"/>
        <v>414.39595763230813</v>
      </c>
      <c r="AM108" s="62">
        <f t="shared" si="59"/>
        <v>693.13458571317983</v>
      </c>
      <c r="AN108" s="62">
        <f ca="1">AVERAGE(OFFSET($AM$3,0,0,'Données projet'!$E$10+1,1))-AVERAGE(OFFSET($H$3,0,0,'Données projet'!$E$10+1,1))</f>
        <v>252.45744983674379</v>
      </c>
      <c r="AO108" s="62">
        <f t="shared" si="90"/>
        <v>283.28099819802776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11.638276885268851</v>
      </c>
      <c r="AV108" s="23">
        <f>EXP(-LN(2)/25)*AV107+(1-EXP(-LN(2)/25))/(LN(2)/25)*Calculateur!AQ108*Calculateur!AS108*VLOOKUP('Données projet'!$B$10,Paramètres!$A$1:$I$89,3,0)*0.475*44/12</f>
        <v>1.4702844107025712</v>
      </c>
      <c r="AW108" s="23">
        <f>EXP(-LN(2)/2)*AW107+(1-EXP(-LN(2)/2))/(LN(2)/2)*AQ108*AT108*VLOOKUP('Données projet'!$B$10,Paramètres!$A$1:$I$89,3,0)*0.475*44/12</f>
        <v>6.2250730820494672E-7</v>
      </c>
      <c r="AX108" s="23">
        <f t="shared" si="60"/>
        <v>13.108561918478731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243.99999999999989</v>
      </c>
      <c r="BE108" s="14">
        <f>BD108*VLOOKUP('Données projet'!$B$11,Paramètres!$A$1:$I$89,3,0)*VLOOKUP('Données projet'!$B$11,Paramètres!$A$1:$I$89,5,0)</f>
        <v>190.31999999999991</v>
      </c>
      <c r="BF108" s="14">
        <f t="shared" si="91"/>
        <v>47.61069337740188</v>
      </c>
      <c r="BG108" s="22">
        <f t="shared" si="61"/>
        <v>414.39595763230813</v>
      </c>
      <c r="BH108" s="62">
        <f t="shared" si="62"/>
        <v>693.13458571317983</v>
      </c>
      <c r="BI108" s="62">
        <f ca="1">AVERAGE(OFFSET($BH$3,0,0,'Données projet'!$E$11+1,1))-AVERAGE(OFFSET($H$3,0,0,'Données projet'!$E$11+1,1))</f>
        <v>252.45744983674379</v>
      </c>
      <c r="BJ108" s="62">
        <f t="shared" si="92"/>
        <v>283.28099819802776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11.638276885268851</v>
      </c>
      <c r="BQ108" s="23">
        <f>EXP(-LN(2)/25)*BQ107+(1-EXP(-LN(2)/25))/(LN(2)/25)*Calculateur!BL108*Calculateur!BN108*VLOOKUP('Données projet'!$B$11,Paramètres!$A$1:$I$89,3,0)*0.475*44/12</f>
        <v>1.4702844107025712</v>
      </c>
      <c r="BR108" s="23">
        <f>EXP(-LN(2)/2)*BR107+(1-EXP(-LN(2)/2))/(LN(2)/2)*BL108*BO108*VLOOKUP('Données projet'!$B$11,Paramètres!$A$1:$I$89,3,0)*0.475*44/12</f>
        <v>6.2250730820494672E-7</v>
      </c>
      <c r="BS108" s="24">
        <f t="shared" si="63"/>
        <v>13.108561918478731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243.99999999999989</v>
      </c>
      <c r="BZ108" s="14">
        <f>BY108*VLOOKUP('Données projet'!$B$12,Paramètres!$A$1:$I$89,3,0)*VLOOKUP('Données projet'!$B$12,Paramètres!$A$1:$I$89,5,0)</f>
        <v>190.31999999999991</v>
      </c>
      <c r="CA108" s="14">
        <f t="shared" si="93"/>
        <v>47.61069337740188</v>
      </c>
      <c r="CB108" s="22">
        <f t="shared" si="64"/>
        <v>414.39595763230813</v>
      </c>
      <c r="CC108" s="62">
        <f t="shared" si="65"/>
        <v>693.13458571317983</v>
      </c>
      <c r="CD108" s="62">
        <f ca="1">AVERAGE(OFFSET($CC$3,0,0,'Données projet'!$E$12+1,1))-AVERAGE(OFFSET($H$3,0,0,'Données projet'!$E$12+1,1))</f>
        <v>252.45744983674379</v>
      </c>
      <c r="CE108" s="62">
        <f t="shared" si="94"/>
        <v>283.28099819802776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11.638276885268851</v>
      </c>
      <c r="CL108" s="23">
        <f>EXP(-LN(2)/25)*CL107+(1-EXP(-LN(2)/25))/(LN(2)/25)*Calculateur!CG108*Calculateur!CI108*VLOOKUP('Données projet'!$B$12,Paramètres!$A$1:$I$89,3,0)*0.475*44/12</f>
        <v>1.4702844107025712</v>
      </c>
      <c r="CM108" s="23">
        <f>EXP(-LN(2)/2)*CM107+(1-EXP(-LN(2)/2))/(LN(2)/2)*CG108*CJ108*VLOOKUP('Données projet'!$B$12,Paramètres!$A$1:$I$89,3,0)*0.475*44/12</f>
        <v>6.2250730820494672E-7</v>
      </c>
      <c r="CN108" s="24">
        <f t="shared" si="66"/>
        <v>13.108561918478731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215.46880000000002</v>
      </c>
      <c r="O109" s="14">
        <f>N109*VLOOKUP('Données projet'!$B$9,Paramètres!$A$1:$I$89,3,0)*VLOOKUP('Données projet'!$B$9,Paramètres!$A$1:$I$89,5,0)</f>
        <v>100.83939840000001</v>
      </c>
      <c r="P109" s="14">
        <f t="shared" si="87"/>
        <v>27.161875252139833</v>
      </c>
      <c r="Q109" s="22">
        <f t="shared" si="107"/>
        <v>222.93555161081022</v>
      </c>
      <c r="R109" s="62">
        <f t="shared" si="55"/>
        <v>501.92736519893936</v>
      </c>
      <c r="S109" s="62">
        <f ca="1">AVERAGE(OFFSET($R$3,0,0,'Données projet'!$E$9+1,1))-AVERAGE(OFFSET($H$3,0,0,'Données projet'!$E$9+1,1))</f>
        <v>180.76388336802839</v>
      </c>
      <c r="T109" s="62">
        <f t="shared" si="88"/>
        <v>225.35030757566537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8.2891161945201954</v>
      </c>
      <c r="AA109" s="23">
        <f>EXP(-LN(2)/25)*AA108+(1-EXP(-LN(2)/25))/(LN(2)/25)*Calculateur!V109*Calculateur!X109*VLOOKUP('Données projet'!$B$9,Paramètres!$A$1:$I$89,3,0)*0.475*44/12</f>
        <v>2.7798145262747296</v>
      </c>
      <c r="AB109" s="23">
        <f>EXP(-LN(2)/2)*AB108+(1-EXP(-LN(2)/2))/(LN(2)/2)*V109*Y109*VLOOKUP('Données projet'!$B$9,Paramètres!$A$1:$I$89,3,0)*0.475*44/12</f>
        <v>1.0496225326887397E-6</v>
      </c>
      <c r="AC109" s="24">
        <f t="shared" si="57"/>
        <v>11.068931770417457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243.99999999999989</v>
      </c>
      <c r="AJ109" s="14">
        <f>AI109*VLOOKUP('Données projet'!$B$10,Paramètres!$A$1:$I$89,3,0)*VLOOKUP('Données projet'!$B$10,Paramètres!$A$1:$I$89,5,0)</f>
        <v>190.31999999999991</v>
      </c>
      <c r="AK109" s="14">
        <f t="shared" si="89"/>
        <v>47.61069337740188</v>
      </c>
      <c r="AL109" s="22">
        <f t="shared" si="58"/>
        <v>414.39595763230813</v>
      </c>
      <c r="AM109" s="62">
        <f t="shared" si="59"/>
        <v>693.38777122043723</v>
      </c>
      <c r="AN109" s="62">
        <f ca="1">AVERAGE(OFFSET($AM$3,0,0,'Données projet'!$E$10+1,1))-AVERAGE(OFFSET($H$3,0,0,'Données projet'!$E$10+1,1))</f>
        <v>252.45744983674379</v>
      </c>
      <c r="AO109" s="62">
        <f t="shared" si="90"/>
        <v>283.28099819802776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11.410057374196697</v>
      </c>
      <c r="AV109" s="23">
        <f>EXP(-LN(2)/25)*AV108+(1-EXP(-LN(2)/25))/(LN(2)/25)*Calculateur!AQ109*Calculateur!AS109*VLOOKUP('Données projet'!$B$10,Paramètres!$A$1:$I$89,3,0)*0.475*44/12</f>
        <v>1.4300794061730127</v>
      </c>
      <c r="AW109" s="23">
        <f>EXP(-LN(2)/2)*AW108+(1-EXP(-LN(2)/2))/(LN(2)/2)*AQ109*AT109*VLOOKUP('Données projet'!$B$10,Paramètres!$A$1:$I$89,3,0)*0.475*44/12</f>
        <v>4.4017913896990197E-7</v>
      </c>
      <c r="AX109" s="23">
        <f t="shared" si="60"/>
        <v>12.840137220548849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243.99999999999989</v>
      </c>
      <c r="BE109" s="14">
        <f>BD109*VLOOKUP('Données projet'!$B$11,Paramètres!$A$1:$I$89,3,0)*VLOOKUP('Données projet'!$B$11,Paramètres!$A$1:$I$89,5,0)</f>
        <v>190.31999999999991</v>
      </c>
      <c r="BF109" s="14">
        <f t="shared" si="91"/>
        <v>47.61069337740188</v>
      </c>
      <c r="BG109" s="22">
        <f t="shared" si="61"/>
        <v>414.39595763230813</v>
      </c>
      <c r="BH109" s="62">
        <f t="shared" si="62"/>
        <v>693.38777122043723</v>
      </c>
      <c r="BI109" s="62">
        <f ca="1">AVERAGE(OFFSET($BH$3,0,0,'Données projet'!$E$11+1,1))-AVERAGE(OFFSET($H$3,0,0,'Données projet'!$E$11+1,1))</f>
        <v>252.45744983674379</v>
      </c>
      <c r="BJ109" s="62">
        <f t="shared" si="92"/>
        <v>283.28099819802776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11.410057374196697</v>
      </c>
      <c r="BQ109" s="23">
        <f>EXP(-LN(2)/25)*BQ108+(1-EXP(-LN(2)/25))/(LN(2)/25)*Calculateur!BL109*Calculateur!BN109*VLOOKUP('Données projet'!$B$11,Paramètres!$A$1:$I$89,3,0)*0.475*44/12</f>
        <v>1.4300794061730127</v>
      </c>
      <c r="BR109" s="23">
        <f>EXP(-LN(2)/2)*BR108+(1-EXP(-LN(2)/2))/(LN(2)/2)*BL109*BO109*VLOOKUP('Données projet'!$B$11,Paramètres!$A$1:$I$89,3,0)*0.475*44/12</f>
        <v>4.4017913896990197E-7</v>
      </c>
      <c r="BS109" s="24">
        <f t="shared" si="63"/>
        <v>12.840137220548849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243.99999999999989</v>
      </c>
      <c r="BZ109" s="14">
        <f>BY109*VLOOKUP('Données projet'!$B$12,Paramètres!$A$1:$I$89,3,0)*VLOOKUP('Données projet'!$B$12,Paramètres!$A$1:$I$89,5,0)</f>
        <v>190.31999999999991</v>
      </c>
      <c r="CA109" s="14">
        <f t="shared" si="93"/>
        <v>47.61069337740188</v>
      </c>
      <c r="CB109" s="22">
        <f t="shared" si="64"/>
        <v>414.39595763230813</v>
      </c>
      <c r="CC109" s="62">
        <f t="shared" si="65"/>
        <v>693.38777122043723</v>
      </c>
      <c r="CD109" s="62">
        <f ca="1">AVERAGE(OFFSET($CC$3,0,0,'Données projet'!$E$12+1,1))-AVERAGE(OFFSET($H$3,0,0,'Données projet'!$E$12+1,1))</f>
        <v>252.45744983674379</v>
      </c>
      <c r="CE109" s="62">
        <f t="shared" si="94"/>
        <v>283.28099819802776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11.410057374196697</v>
      </c>
      <c r="CL109" s="23">
        <f>EXP(-LN(2)/25)*CL108+(1-EXP(-LN(2)/25))/(LN(2)/25)*Calculateur!CG109*Calculateur!CI109*VLOOKUP('Données projet'!$B$12,Paramètres!$A$1:$I$89,3,0)*0.475*44/12</f>
        <v>1.4300794061730127</v>
      </c>
      <c r="CM109" s="23">
        <f>EXP(-LN(2)/2)*CM108+(1-EXP(-LN(2)/2))/(LN(2)/2)*CG109*CJ109*VLOOKUP('Données projet'!$B$12,Paramètres!$A$1:$I$89,3,0)*0.475*44/12</f>
        <v>4.4017913896990197E-7</v>
      </c>
      <c r="CN109" s="24">
        <f t="shared" si="66"/>
        <v>12.840137220548849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215.46880000000002</v>
      </c>
      <c r="O110" s="14">
        <f>N110*VLOOKUP('Données projet'!$B$9,Paramètres!$A$1:$I$89,3,0)*VLOOKUP('Données projet'!$B$9,Paramètres!$A$1:$I$89,5,0)</f>
        <v>100.83939840000001</v>
      </c>
      <c r="P110" s="14">
        <f t="shared" si="87"/>
        <v>27.161875252139833</v>
      </c>
      <c r="Q110" s="22">
        <f t="shared" si="107"/>
        <v>222.93555161081022</v>
      </c>
      <c r="R110" s="62">
        <f t="shared" si="55"/>
        <v>502.17615850368384</v>
      </c>
      <c r="S110" s="62">
        <f ca="1">AVERAGE(OFFSET($R$3,0,0,'Données projet'!$E$9+1,1))-AVERAGE(OFFSET($H$3,0,0,'Données projet'!$E$9+1,1))</f>
        <v>180.76388336802839</v>
      </c>
      <c r="T110" s="62">
        <f t="shared" si="88"/>
        <v>225.35030757566537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8.1265716818073077</v>
      </c>
      <c r="AA110" s="23">
        <f>EXP(-LN(2)/25)*AA109+(1-EXP(-LN(2)/25))/(LN(2)/25)*Calculateur!V110*Calculateur!X110*VLOOKUP('Données projet'!$B$9,Paramètres!$A$1:$I$89,3,0)*0.475*44/12</f>
        <v>2.7038003518696545</v>
      </c>
      <c r="AB110" s="23">
        <f>EXP(-LN(2)/2)*AB109+(1-EXP(-LN(2)/2))/(LN(2)/2)*V110*Y110*VLOOKUP('Données projet'!$B$9,Paramètres!$A$1:$I$89,3,0)*0.475*44/12</f>
        <v>7.4219521055040651E-7</v>
      </c>
      <c r="AC110" s="24">
        <f t="shared" si="57"/>
        <v>10.830372775872172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243.99999999999989</v>
      </c>
      <c r="AJ110" s="14">
        <f>AI110*VLOOKUP('Données projet'!$B$10,Paramètres!$A$1:$I$89,3,0)*VLOOKUP('Données projet'!$B$10,Paramètres!$A$1:$I$89,5,0)</f>
        <v>190.31999999999991</v>
      </c>
      <c r="AK110" s="14">
        <f t="shared" si="89"/>
        <v>47.61069337740188</v>
      </c>
      <c r="AL110" s="22">
        <f t="shared" si="58"/>
        <v>414.39595763230813</v>
      </c>
      <c r="AM110" s="62">
        <f t="shared" si="59"/>
        <v>693.63656452518171</v>
      </c>
      <c r="AN110" s="62">
        <f ca="1">AVERAGE(OFFSET($AM$3,0,0,'Données projet'!$E$10+1,1))-AVERAGE(OFFSET($H$3,0,0,'Données projet'!$E$10+1,1))</f>
        <v>252.45744983674379</v>
      </c>
      <c r="AO110" s="62">
        <f t="shared" si="90"/>
        <v>283.28099819802776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11.18631310853651</v>
      </c>
      <c r="AV110" s="23">
        <f>EXP(-LN(2)/25)*AV109+(1-EXP(-LN(2)/25))/(LN(2)/25)*Calculateur!AQ110*Calculateur!AS110*VLOOKUP('Données projet'!$B$10,Paramètres!$A$1:$I$89,3,0)*0.475*44/12</f>
        <v>1.3909738096066042</v>
      </c>
      <c r="AW110" s="23">
        <f>EXP(-LN(2)/2)*AW109+(1-EXP(-LN(2)/2))/(LN(2)/2)*AQ110*AT110*VLOOKUP('Données projet'!$B$10,Paramètres!$A$1:$I$89,3,0)*0.475*44/12</f>
        <v>3.1125365410247336E-7</v>
      </c>
      <c r="AX110" s="23">
        <f t="shared" si="60"/>
        <v>12.577287229396768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243.99999999999989</v>
      </c>
      <c r="BE110" s="14">
        <f>BD110*VLOOKUP('Données projet'!$B$11,Paramètres!$A$1:$I$89,3,0)*VLOOKUP('Données projet'!$B$11,Paramètres!$A$1:$I$89,5,0)</f>
        <v>190.31999999999991</v>
      </c>
      <c r="BF110" s="14">
        <f t="shared" si="91"/>
        <v>47.61069337740188</v>
      </c>
      <c r="BG110" s="22">
        <f t="shared" si="61"/>
        <v>414.39595763230813</v>
      </c>
      <c r="BH110" s="62">
        <f t="shared" si="62"/>
        <v>693.63656452518171</v>
      </c>
      <c r="BI110" s="62">
        <f ca="1">AVERAGE(OFFSET($BH$3,0,0,'Données projet'!$E$11+1,1))-AVERAGE(OFFSET($H$3,0,0,'Données projet'!$E$11+1,1))</f>
        <v>252.45744983674379</v>
      </c>
      <c r="BJ110" s="62">
        <f t="shared" si="92"/>
        <v>283.28099819802776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11.18631310853651</v>
      </c>
      <c r="BQ110" s="23">
        <f>EXP(-LN(2)/25)*BQ109+(1-EXP(-LN(2)/25))/(LN(2)/25)*Calculateur!BL110*Calculateur!BN110*VLOOKUP('Données projet'!$B$11,Paramètres!$A$1:$I$89,3,0)*0.475*44/12</f>
        <v>1.3909738096066042</v>
      </c>
      <c r="BR110" s="23">
        <f>EXP(-LN(2)/2)*BR109+(1-EXP(-LN(2)/2))/(LN(2)/2)*BL110*BO110*VLOOKUP('Données projet'!$B$11,Paramètres!$A$1:$I$89,3,0)*0.475*44/12</f>
        <v>3.1125365410247336E-7</v>
      </c>
      <c r="BS110" s="24">
        <f t="shared" si="63"/>
        <v>12.577287229396768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243.99999999999989</v>
      </c>
      <c r="BZ110" s="14">
        <f>BY110*VLOOKUP('Données projet'!$B$12,Paramètres!$A$1:$I$89,3,0)*VLOOKUP('Données projet'!$B$12,Paramètres!$A$1:$I$89,5,0)</f>
        <v>190.31999999999991</v>
      </c>
      <c r="CA110" s="14">
        <f t="shared" si="93"/>
        <v>47.61069337740188</v>
      </c>
      <c r="CB110" s="22">
        <f t="shared" si="64"/>
        <v>414.39595763230813</v>
      </c>
      <c r="CC110" s="62">
        <f t="shared" si="65"/>
        <v>693.63656452518171</v>
      </c>
      <c r="CD110" s="62">
        <f ca="1">AVERAGE(OFFSET($CC$3,0,0,'Données projet'!$E$12+1,1))-AVERAGE(OFFSET($H$3,0,0,'Données projet'!$E$12+1,1))</f>
        <v>252.45744983674379</v>
      </c>
      <c r="CE110" s="62">
        <f t="shared" si="94"/>
        <v>283.28099819802776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11.18631310853651</v>
      </c>
      <c r="CL110" s="23">
        <f>EXP(-LN(2)/25)*CL109+(1-EXP(-LN(2)/25))/(LN(2)/25)*Calculateur!CG110*Calculateur!CI110*VLOOKUP('Données projet'!$B$12,Paramètres!$A$1:$I$89,3,0)*0.475*44/12</f>
        <v>1.3909738096066042</v>
      </c>
      <c r="CM110" s="23">
        <f>EXP(-LN(2)/2)*CM109+(1-EXP(-LN(2)/2))/(LN(2)/2)*CG110*CJ110*VLOOKUP('Données projet'!$B$12,Paramètres!$A$1:$I$89,3,0)*0.475*44/12</f>
        <v>3.1125365410247336E-7</v>
      </c>
      <c r="CN110" s="24">
        <f t="shared" si="66"/>
        <v>12.577287229396768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215.46880000000002</v>
      </c>
      <c r="O111" s="14">
        <f>N111*VLOOKUP('Données projet'!$B$9,Paramètres!$A$1:$I$89,3,0)*VLOOKUP('Données projet'!$B$9,Paramètres!$A$1:$I$89,5,0)</f>
        <v>100.83939840000001</v>
      </c>
      <c r="P111" s="14">
        <f t="shared" si="87"/>
        <v>27.161875252139833</v>
      </c>
      <c r="Q111" s="22">
        <f t="shared" si="107"/>
        <v>222.93555161081022</v>
      </c>
      <c r="R111" s="62">
        <f t="shared" si="55"/>
        <v>502.42063580080958</v>
      </c>
      <c r="S111" s="62">
        <f ca="1">AVERAGE(OFFSET($R$3,0,0,'Données projet'!$E$9+1,1))-AVERAGE(OFFSET($H$3,0,0,'Données projet'!$E$9+1,1))</f>
        <v>180.76388336802839</v>
      </c>
      <c r="T111" s="62">
        <f t="shared" si="88"/>
        <v>225.35030757566537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7.9672145678463568</v>
      </c>
      <c r="AA111" s="23">
        <f>EXP(-LN(2)/25)*AA110+(1-EXP(-LN(2)/25))/(LN(2)/25)*Calculateur!V111*Calculateur!X111*VLOOKUP('Données projet'!$B$9,Paramètres!$A$1:$I$89,3,0)*0.475*44/12</f>
        <v>2.6298647890610978</v>
      </c>
      <c r="AB111" s="23">
        <f>EXP(-LN(2)/2)*AB110+(1-EXP(-LN(2)/2))/(LN(2)/2)*V111*Y111*VLOOKUP('Données projet'!$B$9,Paramètres!$A$1:$I$89,3,0)*0.475*44/12</f>
        <v>5.2481126634436986E-7</v>
      </c>
      <c r="AC111" s="24">
        <f t="shared" si="57"/>
        <v>10.59707988171872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243.99999999999989</v>
      </c>
      <c r="AJ111" s="14">
        <f>AI111*VLOOKUP('Données projet'!$B$10,Paramètres!$A$1:$I$89,3,0)*VLOOKUP('Données projet'!$B$10,Paramètres!$A$1:$I$89,5,0)</f>
        <v>190.31999999999991</v>
      </c>
      <c r="AK111" s="14">
        <f t="shared" si="89"/>
        <v>47.61069337740188</v>
      </c>
      <c r="AL111" s="22">
        <f t="shared" si="58"/>
        <v>414.39595763230813</v>
      </c>
      <c r="AM111" s="62">
        <f t="shared" si="59"/>
        <v>693.88104182230745</v>
      </c>
      <c r="AN111" s="62">
        <f ca="1">AVERAGE(OFFSET($AM$3,0,0,'Données projet'!$E$10+1,1))-AVERAGE(OFFSET($H$3,0,0,'Données projet'!$E$10+1,1))</f>
        <v>252.45744983674379</v>
      </c>
      <c r="AO111" s="62">
        <f t="shared" si="90"/>
        <v>283.28099819802776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10.966956331455393</v>
      </c>
      <c r="AV111" s="23">
        <f>EXP(-LN(2)/25)*AV110+(1-EXP(-LN(2)/25))/(LN(2)/25)*Calculateur!AQ111*Calculateur!AS111*VLOOKUP('Données projet'!$B$10,Paramètres!$A$1:$I$89,3,0)*0.475*44/12</f>
        <v>1.3529375576347782</v>
      </c>
      <c r="AW111" s="23">
        <f>EXP(-LN(2)/2)*AW110+(1-EXP(-LN(2)/2))/(LN(2)/2)*AQ111*AT111*VLOOKUP('Données projet'!$B$10,Paramètres!$A$1:$I$89,3,0)*0.475*44/12</f>
        <v>2.2008956948495098E-7</v>
      </c>
      <c r="AX111" s="23">
        <f t="shared" si="60"/>
        <v>12.31989410917974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243.99999999999989</v>
      </c>
      <c r="BE111" s="14">
        <f>BD111*VLOOKUP('Données projet'!$B$11,Paramètres!$A$1:$I$89,3,0)*VLOOKUP('Données projet'!$B$11,Paramètres!$A$1:$I$89,5,0)</f>
        <v>190.31999999999991</v>
      </c>
      <c r="BF111" s="14">
        <f t="shared" si="91"/>
        <v>47.61069337740188</v>
      </c>
      <c r="BG111" s="22">
        <f t="shared" si="61"/>
        <v>414.39595763230813</v>
      </c>
      <c r="BH111" s="62">
        <f t="shared" si="62"/>
        <v>693.88104182230745</v>
      </c>
      <c r="BI111" s="62">
        <f ca="1">AVERAGE(OFFSET($BH$3,0,0,'Données projet'!$E$11+1,1))-AVERAGE(OFFSET($H$3,0,0,'Données projet'!$E$11+1,1))</f>
        <v>252.45744983674379</v>
      </c>
      <c r="BJ111" s="62">
        <f t="shared" si="92"/>
        <v>283.28099819802776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10.966956331455393</v>
      </c>
      <c r="BQ111" s="23">
        <f>EXP(-LN(2)/25)*BQ110+(1-EXP(-LN(2)/25))/(LN(2)/25)*Calculateur!BL111*Calculateur!BN111*VLOOKUP('Données projet'!$B$11,Paramètres!$A$1:$I$89,3,0)*0.475*44/12</f>
        <v>1.3529375576347782</v>
      </c>
      <c r="BR111" s="23">
        <f>EXP(-LN(2)/2)*BR110+(1-EXP(-LN(2)/2))/(LN(2)/2)*BL111*BO111*VLOOKUP('Données projet'!$B$11,Paramètres!$A$1:$I$89,3,0)*0.475*44/12</f>
        <v>2.2008956948495098E-7</v>
      </c>
      <c r="BS111" s="24">
        <f t="shared" si="63"/>
        <v>12.31989410917974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243.99999999999989</v>
      </c>
      <c r="BZ111" s="14">
        <f>BY111*VLOOKUP('Données projet'!$B$12,Paramètres!$A$1:$I$89,3,0)*VLOOKUP('Données projet'!$B$12,Paramètres!$A$1:$I$89,5,0)</f>
        <v>190.31999999999991</v>
      </c>
      <c r="CA111" s="14">
        <f t="shared" si="93"/>
        <v>47.61069337740188</v>
      </c>
      <c r="CB111" s="22">
        <f t="shared" si="64"/>
        <v>414.39595763230813</v>
      </c>
      <c r="CC111" s="62">
        <f t="shared" si="65"/>
        <v>693.88104182230745</v>
      </c>
      <c r="CD111" s="62">
        <f ca="1">AVERAGE(OFFSET($CC$3,0,0,'Données projet'!$E$12+1,1))-AVERAGE(OFFSET($H$3,0,0,'Données projet'!$E$12+1,1))</f>
        <v>252.45744983674379</v>
      </c>
      <c r="CE111" s="62">
        <f t="shared" si="94"/>
        <v>283.28099819802776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10.966956331455393</v>
      </c>
      <c r="CL111" s="23">
        <f>EXP(-LN(2)/25)*CL110+(1-EXP(-LN(2)/25))/(LN(2)/25)*Calculateur!CG111*Calculateur!CI111*VLOOKUP('Données projet'!$B$12,Paramètres!$A$1:$I$89,3,0)*0.475*44/12</f>
        <v>1.3529375576347782</v>
      </c>
      <c r="CM111" s="23">
        <f>EXP(-LN(2)/2)*CM110+(1-EXP(-LN(2)/2))/(LN(2)/2)*CG111*CJ111*VLOOKUP('Données projet'!$B$12,Paramètres!$A$1:$I$89,3,0)*0.475*44/12</f>
        <v>2.2008956948495098E-7</v>
      </c>
      <c r="CN111" s="24">
        <f t="shared" si="66"/>
        <v>12.31989410917974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215.46880000000002</v>
      </c>
      <c r="O112" s="14">
        <f>N112*VLOOKUP('Données projet'!$B$9,Paramètres!$A$1:$I$89,3,0)*VLOOKUP('Données projet'!$B$9,Paramètres!$A$1:$I$89,5,0)</f>
        <v>100.83939840000001</v>
      </c>
      <c r="P112" s="14">
        <f t="shared" si="87"/>
        <v>27.161875252139833</v>
      </c>
      <c r="Q112" s="22">
        <f t="shared" si="107"/>
        <v>222.93555161081022</v>
      </c>
      <c r="R112" s="62">
        <f t="shared" si="55"/>
        <v>502.66087196339947</v>
      </c>
      <c r="S112" s="62">
        <f ca="1">AVERAGE(OFFSET($R$3,0,0,'Données projet'!$E$9+1,1))-AVERAGE(OFFSET($H$3,0,0,'Données projet'!$E$9+1,1))</f>
        <v>180.76388336802839</v>
      </c>
      <c r="T112" s="62">
        <f t="shared" si="88"/>
        <v>225.35030757566537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7.8109823496919386</v>
      </c>
      <c r="AA112" s="23">
        <f>EXP(-LN(2)/25)*AA111+(1-EXP(-LN(2)/25))/(LN(2)/25)*Calculateur!V112*Calculateur!X112*VLOOKUP('Données projet'!$B$9,Paramètres!$A$1:$I$89,3,0)*0.475*44/12</f>
        <v>2.5579509981056434</v>
      </c>
      <c r="AB112" s="23">
        <f>EXP(-LN(2)/2)*AB111+(1-EXP(-LN(2)/2))/(LN(2)/2)*V112*Y112*VLOOKUP('Données projet'!$B$9,Paramètres!$A$1:$I$89,3,0)*0.475*44/12</f>
        <v>3.7109760527520326E-7</v>
      </c>
      <c r="AC112" s="24">
        <f t="shared" si="57"/>
        <v>10.368933718895189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243.99999999999989</v>
      </c>
      <c r="AJ112" s="14">
        <f>AI112*VLOOKUP('Données projet'!$B$10,Paramètres!$A$1:$I$89,3,0)*VLOOKUP('Données projet'!$B$10,Paramètres!$A$1:$I$89,5,0)</f>
        <v>190.31999999999991</v>
      </c>
      <c r="AK112" s="14">
        <f t="shared" si="89"/>
        <v>47.61069337740188</v>
      </c>
      <c r="AL112" s="22">
        <f t="shared" si="58"/>
        <v>414.39595763230813</v>
      </c>
      <c r="AM112" s="62">
        <f t="shared" si="59"/>
        <v>694.12127798489746</v>
      </c>
      <c r="AN112" s="62">
        <f ca="1">AVERAGE(OFFSET($AM$3,0,0,'Données projet'!$E$10+1,1))-AVERAGE(OFFSET($H$3,0,0,'Données projet'!$E$10+1,1))</f>
        <v>252.45744983674379</v>
      </c>
      <c r="AO112" s="62">
        <f t="shared" si="90"/>
        <v>283.28099819802776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10.751901006978413</v>
      </c>
      <c r="AV112" s="23">
        <f>EXP(-LN(2)/25)*AV111+(1-EXP(-LN(2)/25))/(LN(2)/25)*Calculateur!AQ112*Calculateur!AS112*VLOOKUP('Données projet'!$B$10,Paramètres!$A$1:$I$89,3,0)*0.475*44/12</f>
        <v>1.3159414089733612</v>
      </c>
      <c r="AW112" s="23">
        <f>EXP(-LN(2)/2)*AW111+(1-EXP(-LN(2)/2))/(LN(2)/2)*AQ112*AT112*VLOOKUP('Données projet'!$B$10,Paramètres!$A$1:$I$89,3,0)*0.475*44/12</f>
        <v>1.5562682705123668E-7</v>
      </c>
      <c r="AX112" s="23">
        <f t="shared" si="60"/>
        <v>12.0678425715786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243.99999999999989</v>
      </c>
      <c r="BE112" s="14">
        <f>BD112*VLOOKUP('Données projet'!$B$11,Paramètres!$A$1:$I$89,3,0)*VLOOKUP('Données projet'!$B$11,Paramètres!$A$1:$I$89,5,0)</f>
        <v>190.31999999999991</v>
      </c>
      <c r="BF112" s="14">
        <f t="shared" si="91"/>
        <v>47.61069337740188</v>
      </c>
      <c r="BG112" s="22">
        <f t="shared" si="61"/>
        <v>414.39595763230813</v>
      </c>
      <c r="BH112" s="62">
        <f t="shared" si="62"/>
        <v>694.12127798489746</v>
      </c>
      <c r="BI112" s="62">
        <f ca="1">AVERAGE(OFFSET($BH$3,0,0,'Données projet'!$E$11+1,1))-AVERAGE(OFFSET($H$3,0,0,'Données projet'!$E$11+1,1))</f>
        <v>252.45744983674379</v>
      </c>
      <c r="BJ112" s="62">
        <f t="shared" si="92"/>
        <v>283.28099819802776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10.751901006978413</v>
      </c>
      <c r="BQ112" s="23">
        <f>EXP(-LN(2)/25)*BQ111+(1-EXP(-LN(2)/25))/(LN(2)/25)*Calculateur!BL112*Calculateur!BN112*VLOOKUP('Données projet'!$B$11,Paramètres!$A$1:$I$89,3,0)*0.475*44/12</f>
        <v>1.3159414089733612</v>
      </c>
      <c r="BR112" s="23">
        <f>EXP(-LN(2)/2)*BR111+(1-EXP(-LN(2)/2))/(LN(2)/2)*BL112*BO112*VLOOKUP('Données projet'!$B$11,Paramètres!$A$1:$I$89,3,0)*0.475*44/12</f>
        <v>1.5562682705123668E-7</v>
      </c>
      <c r="BS112" s="24">
        <f t="shared" si="63"/>
        <v>12.0678425715786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243.99999999999989</v>
      </c>
      <c r="BZ112" s="14">
        <f>BY112*VLOOKUP('Données projet'!$B$12,Paramètres!$A$1:$I$89,3,0)*VLOOKUP('Données projet'!$B$12,Paramètres!$A$1:$I$89,5,0)</f>
        <v>190.31999999999991</v>
      </c>
      <c r="CA112" s="14">
        <f t="shared" si="93"/>
        <v>47.61069337740188</v>
      </c>
      <c r="CB112" s="22">
        <f t="shared" si="64"/>
        <v>414.39595763230813</v>
      </c>
      <c r="CC112" s="62">
        <f t="shared" si="65"/>
        <v>694.12127798489746</v>
      </c>
      <c r="CD112" s="62">
        <f ca="1">AVERAGE(OFFSET($CC$3,0,0,'Données projet'!$E$12+1,1))-AVERAGE(OFFSET($H$3,0,0,'Données projet'!$E$12+1,1))</f>
        <v>252.45744983674379</v>
      </c>
      <c r="CE112" s="62">
        <f t="shared" si="94"/>
        <v>283.28099819802776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10.751901006978413</v>
      </c>
      <c r="CL112" s="23">
        <f>EXP(-LN(2)/25)*CL111+(1-EXP(-LN(2)/25))/(LN(2)/25)*Calculateur!CG112*Calculateur!CI112*VLOOKUP('Données projet'!$B$12,Paramètres!$A$1:$I$89,3,0)*0.475*44/12</f>
        <v>1.3159414089733612</v>
      </c>
      <c r="CM112" s="23">
        <f>EXP(-LN(2)/2)*CM111+(1-EXP(-LN(2)/2))/(LN(2)/2)*CG112*CJ112*VLOOKUP('Données projet'!$B$12,Paramètres!$A$1:$I$89,3,0)*0.475*44/12</f>
        <v>1.5562682705123668E-7</v>
      </c>
      <c r="CN112" s="24">
        <f t="shared" si="66"/>
        <v>12.0678425715786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215.46880000000002</v>
      </c>
      <c r="O113" s="14">
        <f>N113*VLOOKUP('Données projet'!$B$9,Paramètres!$A$1:$I$89,3,0)*VLOOKUP('Données projet'!$B$9,Paramètres!$A$1:$I$89,5,0)</f>
        <v>100.83939840000001</v>
      </c>
      <c r="P113" s="14">
        <f t="shared" si="87"/>
        <v>27.161875252139833</v>
      </c>
      <c r="Q113" s="22">
        <f t="shared" si="107"/>
        <v>222.93555161081022</v>
      </c>
      <c r="R113" s="62">
        <f t="shared" si="55"/>
        <v>502.89694056565611</v>
      </c>
      <c r="S113" s="62">
        <f ca="1">AVERAGE(OFFSET($R$3,0,0,'Données projet'!$E$9+1,1))-AVERAGE(OFFSET($H$3,0,0,'Données projet'!$E$9+1,1))</f>
        <v>180.76388336802839</v>
      </c>
      <c r="T113" s="62">
        <f t="shared" si="88"/>
        <v>225.35030757566537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7.6578137500432844</v>
      </c>
      <c r="AA113" s="23">
        <f>EXP(-LN(2)/25)*AA112+(1-EXP(-LN(2)/25))/(LN(2)/25)*Calculateur!V113*Calculateur!X113*VLOOKUP('Données projet'!$B$9,Paramètres!$A$1:$I$89,3,0)*0.475*44/12</f>
        <v>2.488003693545648</v>
      </c>
      <c r="AB113" s="23">
        <f>EXP(-LN(2)/2)*AB112+(1-EXP(-LN(2)/2))/(LN(2)/2)*V113*Y113*VLOOKUP('Données projet'!$B$9,Paramètres!$A$1:$I$89,3,0)*0.475*44/12</f>
        <v>2.6240563317218493E-7</v>
      </c>
      <c r="AC113" s="24">
        <f t="shared" si="57"/>
        <v>10.145817705994565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243.99999999999989</v>
      </c>
      <c r="AJ113" s="14">
        <f>AI113*VLOOKUP('Données projet'!$B$10,Paramètres!$A$1:$I$89,3,0)*VLOOKUP('Données projet'!$B$10,Paramètres!$A$1:$I$89,5,0)</f>
        <v>190.31999999999991</v>
      </c>
      <c r="AK113" s="14">
        <f t="shared" si="89"/>
        <v>47.61069337740188</v>
      </c>
      <c r="AL113" s="22">
        <f t="shared" si="58"/>
        <v>414.39595763230813</v>
      </c>
      <c r="AM113" s="62">
        <f t="shared" si="59"/>
        <v>694.35734658715398</v>
      </c>
      <c r="AN113" s="62">
        <f ca="1">AVERAGE(OFFSET($AM$3,0,0,'Données projet'!$E$10+1,1))-AVERAGE(OFFSET($H$3,0,0,'Données projet'!$E$10+1,1))</f>
        <v>252.45744983674379</v>
      </c>
      <c r="AO113" s="62">
        <f t="shared" si="90"/>
        <v>283.28099819802776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10.54106278624363</v>
      </c>
      <c r="AV113" s="23">
        <f>EXP(-LN(2)/25)*AV112+(1-EXP(-LN(2)/25))/(LN(2)/25)*Calculateur!AQ113*Calculateur!AS113*VLOOKUP('Données projet'!$B$10,Paramètres!$A$1:$I$89,3,0)*0.475*44/12</f>
        <v>1.2799569219426337</v>
      </c>
      <c r="AW113" s="23">
        <f>EXP(-LN(2)/2)*AW112+(1-EXP(-LN(2)/2))/(LN(2)/2)*AQ113*AT113*VLOOKUP('Données projet'!$B$10,Paramètres!$A$1:$I$89,3,0)*0.475*44/12</f>
        <v>1.1004478474247549E-7</v>
      </c>
      <c r="AX113" s="23">
        <f t="shared" si="60"/>
        <v>11.821019818231047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243.99999999999989</v>
      </c>
      <c r="BE113" s="14">
        <f>BD113*VLOOKUP('Données projet'!$B$11,Paramètres!$A$1:$I$89,3,0)*VLOOKUP('Données projet'!$B$11,Paramètres!$A$1:$I$89,5,0)</f>
        <v>190.31999999999991</v>
      </c>
      <c r="BF113" s="14">
        <f t="shared" si="91"/>
        <v>47.61069337740188</v>
      </c>
      <c r="BG113" s="22">
        <f t="shared" si="61"/>
        <v>414.39595763230813</v>
      </c>
      <c r="BH113" s="62">
        <f t="shared" si="62"/>
        <v>694.35734658715398</v>
      </c>
      <c r="BI113" s="62">
        <f ca="1">AVERAGE(OFFSET($BH$3,0,0,'Données projet'!$E$11+1,1))-AVERAGE(OFFSET($H$3,0,0,'Données projet'!$E$11+1,1))</f>
        <v>252.45744983674379</v>
      </c>
      <c r="BJ113" s="62">
        <f t="shared" si="92"/>
        <v>283.28099819802776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10.54106278624363</v>
      </c>
      <c r="BQ113" s="23">
        <f>EXP(-LN(2)/25)*BQ112+(1-EXP(-LN(2)/25))/(LN(2)/25)*Calculateur!BL113*Calculateur!BN113*VLOOKUP('Données projet'!$B$11,Paramètres!$A$1:$I$89,3,0)*0.475*44/12</f>
        <v>1.2799569219426337</v>
      </c>
      <c r="BR113" s="23">
        <f>EXP(-LN(2)/2)*BR112+(1-EXP(-LN(2)/2))/(LN(2)/2)*BL113*BO113*VLOOKUP('Données projet'!$B$11,Paramètres!$A$1:$I$89,3,0)*0.475*44/12</f>
        <v>1.1004478474247549E-7</v>
      </c>
      <c r="BS113" s="24">
        <f t="shared" si="63"/>
        <v>11.821019818231047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243.99999999999989</v>
      </c>
      <c r="BZ113" s="14">
        <f>BY113*VLOOKUP('Données projet'!$B$12,Paramètres!$A$1:$I$89,3,0)*VLOOKUP('Données projet'!$B$12,Paramètres!$A$1:$I$89,5,0)</f>
        <v>190.31999999999991</v>
      </c>
      <c r="CA113" s="14">
        <f t="shared" si="93"/>
        <v>47.61069337740188</v>
      </c>
      <c r="CB113" s="22">
        <f t="shared" si="64"/>
        <v>414.39595763230813</v>
      </c>
      <c r="CC113" s="62">
        <f t="shared" si="65"/>
        <v>694.35734658715398</v>
      </c>
      <c r="CD113" s="62">
        <f ca="1">AVERAGE(OFFSET($CC$3,0,0,'Données projet'!$E$12+1,1))-AVERAGE(OFFSET($H$3,0,0,'Données projet'!$E$12+1,1))</f>
        <v>252.45744983674379</v>
      </c>
      <c r="CE113" s="62">
        <f t="shared" si="94"/>
        <v>283.28099819802776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10.54106278624363</v>
      </c>
      <c r="CL113" s="23">
        <f>EXP(-LN(2)/25)*CL112+(1-EXP(-LN(2)/25))/(LN(2)/25)*Calculateur!CG113*Calculateur!CI113*VLOOKUP('Données projet'!$B$12,Paramètres!$A$1:$I$89,3,0)*0.475*44/12</f>
        <v>1.2799569219426337</v>
      </c>
      <c r="CM113" s="23">
        <f>EXP(-LN(2)/2)*CM112+(1-EXP(-LN(2)/2))/(LN(2)/2)*CG113*CJ113*VLOOKUP('Données projet'!$B$12,Paramètres!$A$1:$I$89,3,0)*0.475*44/12</f>
        <v>1.1004478474247549E-7</v>
      </c>
      <c r="CN113" s="24">
        <f t="shared" si="66"/>
        <v>11.821019818231047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215.46880000000002</v>
      </c>
      <c r="O114" s="14">
        <f>N114*VLOOKUP('Données projet'!$B$9,Paramètres!$A$1:$I$89,3,0)*VLOOKUP('Données projet'!$B$9,Paramètres!$A$1:$I$89,5,0)</f>
        <v>100.83939840000001</v>
      </c>
      <c r="P114" s="14">
        <f t="shared" si="87"/>
        <v>27.161875252139833</v>
      </c>
      <c r="Q114" s="22">
        <f t="shared" si="107"/>
        <v>222.93555161081022</v>
      </c>
      <c r="R114" s="62">
        <f t="shared" si="55"/>
        <v>503.12891390543382</v>
      </c>
      <c r="S114" s="62">
        <f ca="1">AVERAGE(OFFSET($R$3,0,0,'Données projet'!$E$9+1,1))-AVERAGE(OFFSET($H$3,0,0,'Données projet'!$E$9+1,1))</f>
        <v>180.76388336802839</v>
      </c>
      <c r="T114" s="62">
        <f t="shared" si="88"/>
        <v>225.35030757566537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7.5076486932101192</v>
      </c>
      <c r="AA114" s="23">
        <f>EXP(-LN(2)/25)*AA113+(1-EXP(-LN(2)/25))/(LN(2)/25)*Calculateur!V114*Calculateur!X114*VLOOKUP('Données projet'!$B$9,Paramètres!$A$1:$I$89,3,0)*0.475*44/12</f>
        <v>2.4199691017072142</v>
      </c>
      <c r="AB114" s="23">
        <f>EXP(-LN(2)/2)*AB113+(1-EXP(-LN(2)/2))/(LN(2)/2)*V114*Y114*VLOOKUP('Données projet'!$B$9,Paramètres!$A$1:$I$89,3,0)*0.475*44/12</f>
        <v>1.8554880263760163E-7</v>
      </c>
      <c r="AC114" s="24">
        <f t="shared" si="57"/>
        <v>9.9276179804661364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243.99999999999989</v>
      </c>
      <c r="AJ114" s="14">
        <f>AI114*VLOOKUP('Données projet'!$B$10,Paramètres!$A$1:$I$89,3,0)*VLOOKUP('Données projet'!$B$10,Paramètres!$A$1:$I$89,5,0)</f>
        <v>190.31999999999991</v>
      </c>
      <c r="AK114" s="14">
        <f t="shared" si="89"/>
        <v>47.61069337740188</v>
      </c>
      <c r="AL114" s="22">
        <f t="shared" si="58"/>
        <v>414.39595763230813</v>
      </c>
      <c r="AM114" s="62">
        <f t="shared" si="59"/>
        <v>694.58931992693169</v>
      </c>
      <c r="AN114" s="62">
        <f ca="1">AVERAGE(OFFSET($AM$3,0,0,'Données projet'!$E$10+1,1))-AVERAGE(OFFSET($H$3,0,0,'Données projet'!$E$10+1,1))</f>
        <v>252.45744983674379</v>
      </c>
      <c r="AO114" s="62">
        <f t="shared" si="90"/>
        <v>283.28099819802776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10.334358974418841</v>
      </c>
      <c r="AV114" s="23">
        <f>EXP(-LN(2)/25)*AV113+(1-EXP(-LN(2)/25))/(LN(2)/25)*Calculateur!AQ114*Calculateur!AS114*VLOOKUP('Données projet'!$B$10,Paramètres!$A$1:$I$89,3,0)*0.475*44/12</f>
        <v>1.2449564326021032</v>
      </c>
      <c r="AW114" s="23">
        <f>EXP(-LN(2)/2)*AW113+(1-EXP(-LN(2)/2))/(LN(2)/2)*AQ114*AT114*VLOOKUP('Données projet'!$B$10,Paramètres!$A$1:$I$89,3,0)*0.475*44/12</f>
        <v>7.7813413525618341E-8</v>
      </c>
      <c r="AX114" s="23">
        <f t="shared" si="60"/>
        <v>11.579315484834359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243.99999999999989</v>
      </c>
      <c r="BE114" s="14">
        <f>BD114*VLOOKUP('Données projet'!$B$11,Paramètres!$A$1:$I$89,3,0)*VLOOKUP('Données projet'!$B$11,Paramètres!$A$1:$I$89,5,0)</f>
        <v>190.31999999999991</v>
      </c>
      <c r="BF114" s="14">
        <f t="shared" si="91"/>
        <v>47.61069337740188</v>
      </c>
      <c r="BG114" s="22">
        <f t="shared" si="61"/>
        <v>414.39595763230813</v>
      </c>
      <c r="BH114" s="62">
        <f t="shared" si="62"/>
        <v>694.58931992693169</v>
      </c>
      <c r="BI114" s="62">
        <f ca="1">AVERAGE(OFFSET($BH$3,0,0,'Données projet'!$E$11+1,1))-AVERAGE(OFFSET($H$3,0,0,'Données projet'!$E$11+1,1))</f>
        <v>252.45744983674379</v>
      </c>
      <c r="BJ114" s="62">
        <f t="shared" si="92"/>
        <v>283.28099819802776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10.334358974418841</v>
      </c>
      <c r="BQ114" s="23">
        <f>EXP(-LN(2)/25)*BQ113+(1-EXP(-LN(2)/25))/(LN(2)/25)*Calculateur!BL114*Calculateur!BN114*VLOOKUP('Données projet'!$B$11,Paramètres!$A$1:$I$89,3,0)*0.475*44/12</f>
        <v>1.2449564326021032</v>
      </c>
      <c r="BR114" s="23">
        <f>EXP(-LN(2)/2)*BR113+(1-EXP(-LN(2)/2))/(LN(2)/2)*BL114*BO114*VLOOKUP('Données projet'!$B$11,Paramètres!$A$1:$I$89,3,0)*0.475*44/12</f>
        <v>7.7813413525618341E-8</v>
      </c>
      <c r="BS114" s="24">
        <f t="shared" si="63"/>
        <v>11.579315484834359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243.99999999999989</v>
      </c>
      <c r="BZ114" s="14">
        <f>BY114*VLOOKUP('Données projet'!$B$12,Paramètres!$A$1:$I$89,3,0)*VLOOKUP('Données projet'!$B$12,Paramètres!$A$1:$I$89,5,0)</f>
        <v>190.31999999999991</v>
      </c>
      <c r="CA114" s="14">
        <f t="shared" si="93"/>
        <v>47.61069337740188</v>
      </c>
      <c r="CB114" s="22">
        <f t="shared" si="64"/>
        <v>414.39595763230813</v>
      </c>
      <c r="CC114" s="62">
        <f t="shared" si="65"/>
        <v>694.58931992693169</v>
      </c>
      <c r="CD114" s="62">
        <f ca="1">AVERAGE(OFFSET($CC$3,0,0,'Données projet'!$E$12+1,1))-AVERAGE(OFFSET($H$3,0,0,'Données projet'!$E$12+1,1))</f>
        <v>252.45744983674379</v>
      </c>
      <c r="CE114" s="62">
        <f t="shared" si="94"/>
        <v>283.28099819802776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10.334358974418841</v>
      </c>
      <c r="CL114" s="23">
        <f>EXP(-LN(2)/25)*CL113+(1-EXP(-LN(2)/25))/(LN(2)/25)*Calculateur!CG114*Calculateur!CI114*VLOOKUP('Données projet'!$B$12,Paramètres!$A$1:$I$89,3,0)*0.475*44/12</f>
        <v>1.2449564326021032</v>
      </c>
      <c r="CM114" s="23">
        <f>EXP(-LN(2)/2)*CM113+(1-EXP(-LN(2)/2))/(LN(2)/2)*CG114*CJ114*VLOOKUP('Données projet'!$B$12,Paramètres!$A$1:$I$89,3,0)*0.475*44/12</f>
        <v>7.7813413525618341E-8</v>
      </c>
      <c r="CN114" s="24">
        <f t="shared" si="66"/>
        <v>11.579315484834359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215.46880000000002</v>
      </c>
      <c r="O115" s="14">
        <f>N115*VLOOKUP('Données projet'!$B$9,Paramètres!$A$1:$I$89,3,0)*VLOOKUP('Données projet'!$B$9,Paramètres!$A$1:$I$89,5,0)</f>
        <v>100.83939840000001</v>
      </c>
      <c r="P115" s="14">
        <f t="shared" si="87"/>
        <v>27.161875252139833</v>
      </c>
      <c r="Q115" s="22">
        <f t="shared" si="107"/>
        <v>222.93555161081022</v>
      </c>
      <c r="R115" s="62">
        <f t="shared" si="55"/>
        <v>503.35686302638112</v>
      </c>
      <c r="S115" s="62">
        <f ca="1">AVERAGE(OFFSET($R$3,0,0,'Données projet'!$E$9+1,1))-AVERAGE(OFFSET($H$3,0,0,'Données projet'!$E$9+1,1))</f>
        <v>180.76388336802839</v>
      </c>
      <c r="T115" s="62">
        <f t="shared" si="88"/>
        <v>225.35030757566537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7.3604282815498117</v>
      </c>
      <c r="AA115" s="23">
        <f>EXP(-LN(2)/25)*AA114+(1-EXP(-LN(2)/25))/(LN(2)/25)*Calculateur!V115*Calculateur!X115*VLOOKUP('Données projet'!$B$9,Paramètres!$A$1:$I$89,3,0)*0.475*44/12</f>
        <v>2.3537949193603862</v>
      </c>
      <c r="AB115" s="23">
        <f>EXP(-LN(2)/2)*AB114+(1-EXP(-LN(2)/2))/(LN(2)/2)*V115*Y115*VLOOKUP('Données projet'!$B$9,Paramètres!$A$1:$I$89,3,0)*0.475*44/12</f>
        <v>1.3120281658609246E-7</v>
      </c>
      <c r="AC115" s="24">
        <f t="shared" si="57"/>
        <v>9.7142233321130131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243.99999999999989</v>
      </c>
      <c r="AJ115" s="14">
        <f>AI115*VLOOKUP('Données projet'!$B$10,Paramètres!$A$1:$I$89,3,0)*VLOOKUP('Données projet'!$B$10,Paramètres!$A$1:$I$89,5,0)</f>
        <v>190.31999999999991</v>
      </c>
      <c r="AK115" s="14">
        <f t="shared" si="89"/>
        <v>47.61069337740188</v>
      </c>
      <c r="AL115" s="22">
        <f t="shared" si="58"/>
        <v>414.39595763230813</v>
      </c>
      <c r="AM115" s="62">
        <f t="shared" si="59"/>
        <v>694.81726904787899</v>
      </c>
      <c r="AN115" s="62">
        <f ca="1">AVERAGE(OFFSET($AM$3,0,0,'Données projet'!$E$10+1,1))-AVERAGE(OFFSET($H$3,0,0,'Données projet'!$E$10+1,1))</f>
        <v>252.45744983674379</v>
      </c>
      <c r="AO115" s="62">
        <f t="shared" si="90"/>
        <v>283.28099819802776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10.131708498267059</v>
      </c>
      <c r="AV115" s="23">
        <f>EXP(-LN(2)/25)*AV114+(1-EXP(-LN(2)/25))/(LN(2)/25)*Calculateur!AQ115*Calculateur!AS115*VLOOKUP('Données projet'!$B$10,Paramètres!$A$1:$I$89,3,0)*0.475*44/12</f>
        <v>1.2109130334831852</v>
      </c>
      <c r="AW115" s="23">
        <f>EXP(-LN(2)/2)*AW114+(1-EXP(-LN(2)/2))/(LN(2)/2)*AQ115*AT115*VLOOKUP('Données projet'!$B$10,Paramètres!$A$1:$I$89,3,0)*0.475*44/12</f>
        <v>5.5022392371237746E-8</v>
      </c>
      <c r="AX115" s="23">
        <f t="shared" si="60"/>
        <v>11.342621586772637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243.99999999999989</v>
      </c>
      <c r="BE115" s="14">
        <f>BD115*VLOOKUP('Données projet'!$B$11,Paramètres!$A$1:$I$89,3,0)*VLOOKUP('Données projet'!$B$11,Paramètres!$A$1:$I$89,5,0)</f>
        <v>190.31999999999991</v>
      </c>
      <c r="BF115" s="14">
        <f t="shared" si="91"/>
        <v>47.61069337740188</v>
      </c>
      <c r="BG115" s="22">
        <f t="shared" si="61"/>
        <v>414.39595763230813</v>
      </c>
      <c r="BH115" s="62">
        <f t="shared" si="62"/>
        <v>694.81726904787899</v>
      </c>
      <c r="BI115" s="62">
        <f ca="1">AVERAGE(OFFSET($BH$3,0,0,'Données projet'!$E$11+1,1))-AVERAGE(OFFSET($H$3,0,0,'Données projet'!$E$11+1,1))</f>
        <v>252.45744983674379</v>
      </c>
      <c r="BJ115" s="62">
        <f t="shared" si="92"/>
        <v>283.28099819802776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10.131708498267059</v>
      </c>
      <c r="BQ115" s="23">
        <f>EXP(-LN(2)/25)*BQ114+(1-EXP(-LN(2)/25))/(LN(2)/25)*Calculateur!BL115*Calculateur!BN115*VLOOKUP('Données projet'!$B$11,Paramètres!$A$1:$I$89,3,0)*0.475*44/12</f>
        <v>1.2109130334831852</v>
      </c>
      <c r="BR115" s="23">
        <f>EXP(-LN(2)/2)*BR114+(1-EXP(-LN(2)/2))/(LN(2)/2)*BL115*BO115*VLOOKUP('Données projet'!$B$11,Paramètres!$A$1:$I$89,3,0)*0.475*44/12</f>
        <v>5.5022392371237746E-8</v>
      </c>
      <c r="BS115" s="24">
        <f t="shared" si="63"/>
        <v>11.342621586772637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243.99999999999989</v>
      </c>
      <c r="BZ115" s="14">
        <f>BY115*VLOOKUP('Données projet'!$B$12,Paramètres!$A$1:$I$89,3,0)*VLOOKUP('Données projet'!$B$12,Paramètres!$A$1:$I$89,5,0)</f>
        <v>190.31999999999991</v>
      </c>
      <c r="CA115" s="14">
        <f t="shared" si="93"/>
        <v>47.61069337740188</v>
      </c>
      <c r="CB115" s="22">
        <f t="shared" si="64"/>
        <v>414.39595763230813</v>
      </c>
      <c r="CC115" s="62">
        <f t="shared" si="65"/>
        <v>694.81726904787899</v>
      </c>
      <c r="CD115" s="62">
        <f ca="1">AVERAGE(OFFSET($CC$3,0,0,'Données projet'!$E$12+1,1))-AVERAGE(OFFSET($H$3,0,0,'Données projet'!$E$12+1,1))</f>
        <v>252.45744983674379</v>
      </c>
      <c r="CE115" s="62">
        <f t="shared" si="94"/>
        <v>283.28099819802776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10.131708498267059</v>
      </c>
      <c r="CL115" s="23">
        <f>EXP(-LN(2)/25)*CL114+(1-EXP(-LN(2)/25))/(LN(2)/25)*Calculateur!CG115*Calculateur!CI115*VLOOKUP('Données projet'!$B$12,Paramètres!$A$1:$I$89,3,0)*0.475*44/12</f>
        <v>1.2109130334831852</v>
      </c>
      <c r="CM115" s="23">
        <f>EXP(-LN(2)/2)*CM114+(1-EXP(-LN(2)/2))/(LN(2)/2)*CG115*CJ115*VLOOKUP('Données projet'!$B$12,Paramètres!$A$1:$I$89,3,0)*0.475*44/12</f>
        <v>5.5022392371237746E-8</v>
      </c>
      <c r="CN115" s="24">
        <f t="shared" si="66"/>
        <v>11.342621586772637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215.46880000000002</v>
      </c>
      <c r="O116" s="14">
        <f>N116*VLOOKUP('Données projet'!$B$9,Paramètres!$A$1:$I$89,3,0)*VLOOKUP('Données projet'!$B$9,Paramètres!$A$1:$I$89,5,0)</f>
        <v>100.83939840000001</v>
      </c>
      <c r="P116" s="14">
        <f t="shared" si="87"/>
        <v>27.161875252139833</v>
      </c>
      <c r="Q116" s="22">
        <f t="shared" si="107"/>
        <v>222.93555161081022</v>
      </c>
      <c r="R116" s="62">
        <f t="shared" si="55"/>
        <v>503.58085773969788</v>
      </c>
      <c r="S116" s="62">
        <f ca="1">AVERAGE(OFFSET($R$3,0,0,'Données projet'!$E$9+1,1))-AVERAGE(OFFSET($H$3,0,0,'Données projet'!$E$9+1,1))</f>
        <v>180.76388336802839</v>
      </c>
      <c r="T116" s="62">
        <f t="shared" si="88"/>
        <v>225.35030757566537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7.2160947723665787</v>
      </c>
      <c r="AA116" s="23">
        <f>EXP(-LN(2)/25)*AA115+(1-EXP(-LN(2)/25))/(LN(2)/25)*Calculateur!V116*Calculateur!X116*VLOOKUP('Données projet'!$B$9,Paramètres!$A$1:$I$89,3,0)*0.475*44/12</f>
        <v>2.2894302735097813</v>
      </c>
      <c r="AB116" s="23">
        <f>EXP(-LN(2)/2)*AB115+(1-EXP(-LN(2)/2))/(LN(2)/2)*V116*Y116*VLOOKUP('Données projet'!$B$9,Paramètres!$A$1:$I$89,3,0)*0.475*44/12</f>
        <v>9.2774401318800814E-8</v>
      </c>
      <c r="AC116" s="24">
        <f t="shared" si="57"/>
        <v>9.5055251386507624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243.99999999999989</v>
      </c>
      <c r="AJ116" s="14">
        <f>AI116*VLOOKUP('Données projet'!$B$10,Paramètres!$A$1:$I$89,3,0)*VLOOKUP('Données projet'!$B$10,Paramètres!$A$1:$I$89,5,0)</f>
        <v>190.31999999999991</v>
      </c>
      <c r="AK116" s="14">
        <f t="shared" si="89"/>
        <v>47.61069337740188</v>
      </c>
      <c r="AL116" s="22">
        <f t="shared" si="58"/>
        <v>414.39595763230813</v>
      </c>
      <c r="AM116" s="62">
        <f t="shared" si="59"/>
        <v>695.04126376119575</v>
      </c>
      <c r="AN116" s="62">
        <f ca="1">AVERAGE(OFFSET($AM$3,0,0,'Données projet'!$E$10+1,1))-AVERAGE(OFFSET($H$3,0,0,'Données projet'!$E$10+1,1))</f>
        <v>252.45744983674379</v>
      </c>
      <c r="AO116" s="62">
        <f t="shared" si="90"/>
        <v>283.28099819802776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9.9330318743480284</v>
      </c>
      <c r="AV116" s="23">
        <f>EXP(-LN(2)/25)*AV115+(1-EXP(-LN(2)/25))/(LN(2)/25)*Calculateur!AQ116*Calculateur!AS116*VLOOKUP('Données projet'!$B$10,Paramètres!$A$1:$I$89,3,0)*0.475*44/12</f>
        <v>1.1778005529034388</v>
      </c>
      <c r="AW116" s="23">
        <f>EXP(-LN(2)/2)*AW115+(1-EXP(-LN(2)/2))/(LN(2)/2)*AQ116*AT116*VLOOKUP('Données projet'!$B$10,Paramètres!$A$1:$I$89,3,0)*0.475*44/12</f>
        <v>3.890670676280917E-8</v>
      </c>
      <c r="AX116" s="23">
        <f t="shared" si="60"/>
        <v>11.110832466158174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243.99999999999989</v>
      </c>
      <c r="BE116" s="14">
        <f>BD116*VLOOKUP('Données projet'!$B$11,Paramètres!$A$1:$I$89,3,0)*VLOOKUP('Données projet'!$B$11,Paramètres!$A$1:$I$89,5,0)</f>
        <v>190.31999999999991</v>
      </c>
      <c r="BF116" s="14">
        <f t="shared" si="91"/>
        <v>47.61069337740188</v>
      </c>
      <c r="BG116" s="22">
        <f t="shared" si="61"/>
        <v>414.39595763230813</v>
      </c>
      <c r="BH116" s="62">
        <f t="shared" si="62"/>
        <v>695.04126376119575</v>
      </c>
      <c r="BI116" s="62">
        <f ca="1">AVERAGE(OFFSET($BH$3,0,0,'Données projet'!$E$11+1,1))-AVERAGE(OFFSET($H$3,0,0,'Données projet'!$E$11+1,1))</f>
        <v>252.45744983674379</v>
      </c>
      <c r="BJ116" s="62">
        <f t="shared" si="92"/>
        <v>283.28099819802776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9.9330318743480284</v>
      </c>
      <c r="BQ116" s="23">
        <f>EXP(-LN(2)/25)*BQ115+(1-EXP(-LN(2)/25))/(LN(2)/25)*Calculateur!BL116*Calculateur!BN116*VLOOKUP('Données projet'!$B$11,Paramètres!$A$1:$I$89,3,0)*0.475*44/12</f>
        <v>1.1778005529034388</v>
      </c>
      <c r="BR116" s="23">
        <f>EXP(-LN(2)/2)*BR115+(1-EXP(-LN(2)/2))/(LN(2)/2)*BL116*BO116*VLOOKUP('Données projet'!$B$11,Paramètres!$A$1:$I$89,3,0)*0.475*44/12</f>
        <v>3.890670676280917E-8</v>
      </c>
      <c r="BS116" s="24">
        <f t="shared" si="63"/>
        <v>11.110832466158174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243.99999999999989</v>
      </c>
      <c r="BZ116" s="14">
        <f>BY116*VLOOKUP('Données projet'!$B$12,Paramètres!$A$1:$I$89,3,0)*VLOOKUP('Données projet'!$B$12,Paramètres!$A$1:$I$89,5,0)</f>
        <v>190.31999999999991</v>
      </c>
      <c r="CA116" s="14">
        <f t="shared" si="93"/>
        <v>47.61069337740188</v>
      </c>
      <c r="CB116" s="22">
        <f t="shared" si="64"/>
        <v>414.39595763230813</v>
      </c>
      <c r="CC116" s="62">
        <f t="shared" si="65"/>
        <v>695.04126376119575</v>
      </c>
      <c r="CD116" s="62">
        <f ca="1">AVERAGE(OFFSET($CC$3,0,0,'Données projet'!$E$12+1,1))-AVERAGE(OFFSET($H$3,0,0,'Données projet'!$E$12+1,1))</f>
        <v>252.45744983674379</v>
      </c>
      <c r="CE116" s="62">
        <f t="shared" si="94"/>
        <v>283.28099819802776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9.9330318743480284</v>
      </c>
      <c r="CL116" s="23">
        <f>EXP(-LN(2)/25)*CL115+(1-EXP(-LN(2)/25))/(LN(2)/25)*Calculateur!CG116*Calculateur!CI116*VLOOKUP('Données projet'!$B$12,Paramètres!$A$1:$I$89,3,0)*0.475*44/12</f>
        <v>1.1778005529034388</v>
      </c>
      <c r="CM116" s="23">
        <f>EXP(-LN(2)/2)*CM115+(1-EXP(-LN(2)/2))/(LN(2)/2)*CG116*CJ116*VLOOKUP('Données projet'!$B$12,Paramètres!$A$1:$I$89,3,0)*0.475*44/12</f>
        <v>3.890670676280917E-8</v>
      </c>
      <c r="CN116" s="24">
        <f t="shared" si="66"/>
        <v>11.110832466158174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215.46880000000002</v>
      </c>
      <c r="O117" s="14">
        <f>N117*VLOOKUP('Données projet'!$B$9,Paramètres!$A$1:$I$89,3,0)*VLOOKUP('Données projet'!$B$9,Paramètres!$A$1:$I$89,5,0)</f>
        <v>100.83939840000001</v>
      </c>
      <c r="P117" s="14">
        <f t="shared" si="87"/>
        <v>27.161875252139833</v>
      </c>
      <c r="Q117" s="22">
        <f t="shared" si="107"/>
        <v>222.93555161081022</v>
      </c>
      <c r="R117" s="62">
        <f t="shared" si="55"/>
        <v>503.8009666455157</v>
      </c>
      <c r="S117" s="62">
        <f ca="1">AVERAGE(OFFSET($R$3,0,0,'Données projet'!$E$9+1,1))-AVERAGE(OFFSET($H$3,0,0,'Données projet'!$E$9+1,1))</f>
        <v>180.76388336802839</v>
      </c>
      <c r="T117" s="62">
        <f t="shared" si="88"/>
        <v>225.35030757566537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7.0745915552636811</v>
      </c>
      <c r="AA117" s="23">
        <f>EXP(-LN(2)/25)*AA116+(1-EXP(-LN(2)/25))/(LN(2)/25)*Calculateur!V117*Calculateur!X117*VLOOKUP('Données projet'!$B$9,Paramètres!$A$1:$I$89,3,0)*0.475*44/12</f>
        <v>2.2268256822847508</v>
      </c>
      <c r="AB117" s="23">
        <f>EXP(-LN(2)/2)*AB116+(1-EXP(-LN(2)/2))/(LN(2)/2)*V117*Y117*VLOOKUP('Données projet'!$B$9,Paramètres!$A$1:$I$89,3,0)*0.475*44/12</f>
        <v>6.5601408293046232E-8</v>
      </c>
      <c r="AC117" s="24">
        <f t="shared" si="57"/>
        <v>9.3014173031498402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243.99999999999989</v>
      </c>
      <c r="AJ117" s="14">
        <f>AI117*VLOOKUP('Données projet'!$B$10,Paramètres!$A$1:$I$89,3,0)*VLOOKUP('Données projet'!$B$10,Paramètres!$A$1:$I$89,5,0)</f>
        <v>190.31999999999991</v>
      </c>
      <c r="AK117" s="14">
        <f t="shared" si="89"/>
        <v>47.61069337740188</v>
      </c>
      <c r="AL117" s="22">
        <f t="shared" si="58"/>
        <v>414.39595763230813</v>
      </c>
      <c r="AM117" s="62">
        <f t="shared" si="59"/>
        <v>695.26137266701357</v>
      </c>
      <c r="AN117" s="62">
        <f ca="1">AVERAGE(OFFSET($AM$3,0,0,'Données projet'!$E$10+1,1))-AVERAGE(OFFSET($H$3,0,0,'Données projet'!$E$10+1,1))</f>
        <v>252.45744983674379</v>
      </c>
      <c r="AO117" s="62">
        <f t="shared" si="90"/>
        <v>283.28099819802776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9.7382511778432743</v>
      </c>
      <c r="AV117" s="23">
        <f>EXP(-LN(2)/25)*AV116+(1-EXP(-LN(2)/25))/(LN(2)/25)*Calculateur!AQ117*Calculateur!AS117*VLOOKUP('Données projet'!$B$10,Paramètres!$A$1:$I$89,3,0)*0.475*44/12</f>
        <v>1.145593534846455</v>
      </c>
      <c r="AW117" s="23">
        <f>EXP(-LN(2)/2)*AW116+(1-EXP(-LN(2)/2))/(LN(2)/2)*AQ117*AT117*VLOOKUP('Données projet'!$B$10,Paramètres!$A$1:$I$89,3,0)*0.475*44/12</f>
        <v>2.7511196185618873E-8</v>
      </c>
      <c r="AX117" s="23">
        <f t="shared" si="60"/>
        <v>10.883844740200926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243.99999999999989</v>
      </c>
      <c r="BE117" s="14">
        <f>BD117*VLOOKUP('Données projet'!$B$11,Paramètres!$A$1:$I$89,3,0)*VLOOKUP('Données projet'!$B$11,Paramètres!$A$1:$I$89,5,0)</f>
        <v>190.31999999999991</v>
      </c>
      <c r="BF117" s="14">
        <f t="shared" si="91"/>
        <v>47.61069337740188</v>
      </c>
      <c r="BG117" s="22">
        <f t="shared" si="61"/>
        <v>414.39595763230813</v>
      </c>
      <c r="BH117" s="62">
        <f t="shared" si="62"/>
        <v>695.26137266701357</v>
      </c>
      <c r="BI117" s="62">
        <f ca="1">AVERAGE(OFFSET($BH$3,0,0,'Données projet'!$E$11+1,1))-AVERAGE(OFFSET($H$3,0,0,'Données projet'!$E$11+1,1))</f>
        <v>252.45744983674379</v>
      </c>
      <c r="BJ117" s="62">
        <f t="shared" si="92"/>
        <v>283.28099819802776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9.7382511778432743</v>
      </c>
      <c r="BQ117" s="23">
        <f>EXP(-LN(2)/25)*BQ116+(1-EXP(-LN(2)/25))/(LN(2)/25)*Calculateur!BL117*Calculateur!BN117*VLOOKUP('Données projet'!$B$11,Paramètres!$A$1:$I$89,3,0)*0.475*44/12</f>
        <v>1.145593534846455</v>
      </c>
      <c r="BR117" s="23">
        <f>EXP(-LN(2)/2)*BR116+(1-EXP(-LN(2)/2))/(LN(2)/2)*BL117*BO117*VLOOKUP('Données projet'!$B$11,Paramètres!$A$1:$I$89,3,0)*0.475*44/12</f>
        <v>2.7511196185618873E-8</v>
      </c>
      <c r="BS117" s="24">
        <f t="shared" si="63"/>
        <v>10.883844740200926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243.99999999999989</v>
      </c>
      <c r="BZ117" s="14">
        <f>BY117*VLOOKUP('Données projet'!$B$12,Paramètres!$A$1:$I$89,3,0)*VLOOKUP('Données projet'!$B$12,Paramètres!$A$1:$I$89,5,0)</f>
        <v>190.31999999999991</v>
      </c>
      <c r="CA117" s="14">
        <f t="shared" si="93"/>
        <v>47.61069337740188</v>
      </c>
      <c r="CB117" s="22">
        <f t="shared" si="64"/>
        <v>414.39595763230813</v>
      </c>
      <c r="CC117" s="62">
        <f t="shared" si="65"/>
        <v>695.26137266701357</v>
      </c>
      <c r="CD117" s="62">
        <f ca="1">AVERAGE(OFFSET($CC$3,0,0,'Données projet'!$E$12+1,1))-AVERAGE(OFFSET($H$3,0,0,'Données projet'!$E$12+1,1))</f>
        <v>252.45744983674379</v>
      </c>
      <c r="CE117" s="62">
        <f t="shared" si="94"/>
        <v>283.28099819802776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9.7382511778432743</v>
      </c>
      <c r="CL117" s="23">
        <f>EXP(-LN(2)/25)*CL116+(1-EXP(-LN(2)/25))/(LN(2)/25)*Calculateur!CG117*Calculateur!CI117*VLOOKUP('Données projet'!$B$12,Paramètres!$A$1:$I$89,3,0)*0.475*44/12</f>
        <v>1.145593534846455</v>
      </c>
      <c r="CM117" s="23">
        <f>EXP(-LN(2)/2)*CM116+(1-EXP(-LN(2)/2))/(LN(2)/2)*CG117*CJ117*VLOOKUP('Données projet'!$B$12,Paramètres!$A$1:$I$89,3,0)*0.475*44/12</f>
        <v>2.7511196185618873E-8</v>
      </c>
      <c r="CN117" s="24">
        <f t="shared" si="66"/>
        <v>10.883844740200926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215.46880000000002</v>
      </c>
      <c r="O118" s="14">
        <f>N118*VLOOKUP('Données projet'!$B$9,Paramètres!$A$1:$I$89,3,0)*VLOOKUP('Données projet'!$B$9,Paramètres!$A$1:$I$89,5,0)</f>
        <v>100.83939840000001</v>
      </c>
      <c r="P118" s="14">
        <f t="shared" si="87"/>
        <v>27.161875252139833</v>
      </c>
      <c r="Q118" s="22">
        <f t="shared" si="107"/>
        <v>222.93555161081022</v>
      </c>
      <c r="R118" s="62">
        <f t="shared" si="55"/>
        <v>504.01725715390751</v>
      </c>
      <c r="S118" s="62">
        <f ca="1">AVERAGE(OFFSET($R$3,0,0,'Données projet'!$E$9+1,1))-AVERAGE(OFFSET($H$3,0,0,'Données projet'!$E$9+1,1))</f>
        <v>180.76388336802839</v>
      </c>
      <c r="T118" s="62">
        <f t="shared" si="88"/>
        <v>225.35030757566537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6.9358631299397304</v>
      </c>
      <c r="AA118" s="23">
        <f>EXP(-LN(2)/25)*AA117+(1-EXP(-LN(2)/25))/(LN(2)/25)*Calculateur!V118*Calculateur!X118*VLOOKUP('Données projet'!$B$9,Paramètres!$A$1:$I$89,3,0)*0.475*44/12</f>
        <v>2.1659330168990012</v>
      </c>
      <c r="AB118" s="23">
        <f>EXP(-LN(2)/2)*AB117+(1-EXP(-LN(2)/2))/(LN(2)/2)*V118*Y118*VLOOKUP('Données projet'!$B$9,Paramètres!$A$1:$I$89,3,0)*0.475*44/12</f>
        <v>4.6387200659400407E-8</v>
      </c>
      <c r="AC118" s="24">
        <f t="shared" si="57"/>
        <v>9.1017961932259315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243.99999999999989</v>
      </c>
      <c r="AJ118" s="14">
        <f>AI118*VLOOKUP('Données projet'!$B$10,Paramètres!$A$1:$I$89,3,0)*VLOOKUP('Données projet'!$B$10,Paramètres!$A$1:$I$89,5,0)</f>
        <v>190.31999999999991</v>
      </c>
      <c r="AK118" s="14">
        <f t="shared" si="89"/>
        <v>47.61069337740188</v>
      </c>
      <c r="AL118" s="22">
        <f t="shared" si="58"/>
        <v>414.39595763230813</v>
      </c>
      <c r="AM118" s="62">
        <f t="shared" si="59"/>
        <v>695.47766317540538</v>
      </c>
      <c r="AN118" s="62">
        <f ca="1">AVERAGE(OFFSET($AM$3,0,0,'Données projet'!$E$10+1,1))-AVERAGE(OFFSET($H$3,0,0,'Données projet'!$E$10+1,1))</f>
        <v>252.45744983674379</v>
      </c>
      <c r="AO118" s="62">
        <f t="shared" si="90"/>
        <v>283.28099819802776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9.5472900119924855</v>
      </c>
      <c r="AV118" s="23">
        <f>EXP(-LN(2)/25)*AV117+(1-EXP(-LN(2)/25))/(LN(2)/25)*Calculateur!AQ118*Calculateur!AS118*VLOOKUP('Données projet'!$B$10,Paramètres!$A$1:$I$89,3,0)*0.475*44/12</f>
        <v>1.114267219391933</v>
      </c>
      <c r="AW118" s="23">
        <f>EXP(-LN(2)/2)*AW117+(1-EXP(-LN(2)/2))/(LN(2)/2)*AQ118*AT118*VLOOKUP('Données projet'!$B$10,Paramètres!$A$1:$I$89,3,0)*0.475*44/12</f>
        <v>1.9453353381404585E-8</v>
      </c>
      <c r="AX118" s="23">
        <f t="shared" si="60"/>
        <v>10.66155725083777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243.99999999999989</v>
      </c>
      <c r="BE118" s="14">
        <f>BD118*VLOOKUP('Données projet'!$B$11,Paramètres!$A$1:$I$89,3,0)*VLOOKUP('Données projet'!$B$11,Paramètres!$A$1:$I$89,5,0)</f>
        <v>190.31999999999991</v>
      </c>
      <c r="BF118" s="14">
        <f t="shared" si="91"/>
        <v>47.61069337740188</v>
      </c>
      <c r="BG118" s="22">
        <f t="shared" si="61"/>
        <v>414.39595763230813</v>
      </c>
      <c r="BH118" s="62">
        <f t="shared" si="62"/>
        <v>695.47766317540538</v>
      </c>
      <c r="BI118" s="62">
        <f ca="1">AVERAGE(OFFSET($BH$3,0,0,'Données projet'!$E$11+1,1))-AVERAGE(OFFSET($H$3,0,0,'Données projet'!$E$11+1,1))</f>
        <v>252.45744983674379</v>
      </c>
      <c r="BJ118" s="62">
        <f t="shared" si="92"/>
        <v>283.28099819802776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9.5472900119924855</v>
      </c>
      <c r="BQ118" s="23">
        <f>EXP(-LN(2)/25)*BQ117+(1-EXP(-LN(2)/25))/(LN(2)/25)*Calculateur!BL118*Calculateur!BN118*VLOOKUP('Données projet'!$B$11,Paramètres!$A$1:$I$89,3,0)*0.475*44/12</f>
        <v>1.114267219391933</v>
      </c>
      <c r="BR118" s="23">
        <f>EXP(-LN(2)/2)*BR117+(1-EXP(-LN(2)/2))/(LN(2)/2)*BL118*BO118*VLOOKUP('Données projet'!$B$11,Paramètres!$A$1:$I$89,3,0)*0.475*44/12</f>
        <v>1.9453353381404585E-8</v>
      </c>
      <c r="BS118" s="24">
        <f t="shared" si="63"/>
        <v>10.66155725083777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243.99999999999989</v>
      </c>
      <c r="BZ118" s="14">
        <f>BY118*VLOOKUP('Données projet'!$B$12,Paramètres!$A$1:$I$89,3,0)*VLOOKUP('Données projet'!$B$12,Paramètres!$A$1:$I$89,5,0)</f>
        <v>190.31999999999991</v>
      </c>
      <c r="CA118" s="14">
        <f t="shared" si="93"/>
        <v>47.61069337740188</v>
      </c>
      <c r="CB118" s="22">
        <f t="shared" si="64"/>
        <v>414.39595763230813</v>
      </c>
      <c r="CC118" s="62">
        <f t="shared" si="65"/>
        <v>695.47766317540538</v>
      </c>
      <c r="CD118" s="62">
        <f ca="1">AVERAGE(OFFSET($CC$3,0,0,'Données projet'!$E$12+1,1))-AVERAGE(OFFSET($H$3,0,0,'Données projet'!$E$12+1,1))</f>
        <v>252.45744983674379</v>
      </c>
      <c r="CE118" s="62">
        <f t="shared" si="94"/>
        <v>283.28099819802776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9.5472900119924855</v>
      </c>
      <c r="CL118" s="23">
        <f>EXP(-LN(2)/25)*CL117+(1-EXP(-LN(2)/25))/(LN(2)/25)*Calculateur!CG118*Calculateur!CI118*VLOOKUP('Données projet'!$B$12,Paramètres!$A$1:$I$89,3,0)*0.475*44/12</f>
        <v>1.114267219391933</v>
      </c>
      <c r="CM118" s="23">
        <f>EXP(-LN(2)/2)*CM117+(1-EXP(-LN(2)/2))/(LN(2)/2)*CG118*CJ118*VLOOKUP('Données projet'!$B$12,Paramètres!$A$1:$I$89,3,0)*0.475*44/12</f>
        <v>1.9453353381404585E-8</v>
      </c>
      <c r="CN118" s="24">
        <f t="shared" si="66"/>
        <v>10.66155725083777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215.46880000000002</v>
      </c>
      <c r="O119" s="14">
        <f>N119*VLOOKUP('Données projet'!$B$9,Paramètres!$A$1:$I$89,3,0)*VLOOKUP('Données projet'!$B$9,Paramètres!$A$1:$I$89,5,0)</f>
        <v>100.83939840000001</v>
      </c>
      <c r="P119" s="14">
        <f t="shared" si="87"/>
        <v>27.161875252139833</v>
      </c>
      <c r="Q119" s="22">
        <f t="shared" si="107"/>
        <v>222.93555161081022</v>
      </c>
      <c r="R119" s="62">
        <f t="shared" si="55"/>
        <v>504.22979550553168</v>
      </c>
      <c r="S119" s="62">
        <f ca="1">AVERAGE(OFFSET($R$3,0,0,'Données projet'!$E$9+1,1))-AVERAGE(OFFSET($H$3,0,0,'Données projet'!$E$9+1,1))</f>
        <v>180.76388336802839</v>
      </c>
      <c r="T119" s="62">
        <f t="shared" si="88"/>
        <v>225.35030757566537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6.7998550844203987</v>
      </c>
      <c r="AA119" s="23">
        <f>EXP(-LN(2)/25)*AA118+(1-EXP(-LN(2)/25))/(LN(2)/25)*Calculateur!V119*Calculateur!X119*VLOOKUP('Données projet'!$B$9,Paramètres!$A$1:$I$89,3,0)*0.475*44/12</f>
        <v>2.1067054646504308</v>
      </c>
      <c r="AB119" s="23">
        <f>EXP(-LN(2)/2)*AB118+(1-EXP(-LN(2)/2))/(LN(2)/2)*V119*Y119*VLOOKUP('Données projet'!$B$9,Paramètres!$A$1:$I$89,3,0)*0.475*44/12</f>
        <v>3.2800704146523116E-8</v>
      </c>
      <c r="AC119" s="24">
        <f t="shared" si="57"/>
        <v>8.906560581871533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243.99999999999989</v>
      </c>
      <c r="AJ119" s="14">
        <f>AI119*VLOOKUP('Données projet'!$B$10,Paramètres!$A$1:$I$89,3,0)*VLOOKUP('Données projet'!$B$10,Paramètres!$A$1:$I$89,5,0)</f>
        <v>190.31999999999991</v>
      </c>
      <c r="AK119" s="14">
        <f t="shared" si="89"/>
        <v>47.61069337740188</v>
      </c>
      <c r="AL119" s="22">
        <f t="shared" si="58"/>
        <v>414.39595763230813</v>
      </c>
      <c r="AM119" s="62">
        <f t="shared" si="59"/>
        <v>695.69020152702956</v>
      </c>
      <c r="AN119" s="62">
        <f ca="1">AVERAGE(OFFSET($AM$3,0,0,'Données projet'!$E$10+1,1))-AVERAGE(OFFSET($H$3,0,0,'Données projet'!$E$10+1,1))</f>
        <v>252.45744983674379</v>
      </c>
      <c r="AO119" s="62">
        <f t="shared" si="90"/>
        <v>283.28099819802776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9.3600734781292196</v>
      </c>
      <c r="AV119" s="23">
        <f>EXP(-LN(2)/25)*AV118+(1-EXP(-LN(2)/25))/(LN(2)/25)*Calculateur!AQ119*Calculateur!AS119*VLOOKUP('Données projet'!$B$10,Paramètres!$A$1:$I$89,3,0)*0.475*44/12</f>
        <v>1.0837975236808941</v>
      </c>
      <c r="AW119" s="23">
        <f>EXP(-LN(2)/2)*AW118+(1-EXP(-LN(2)/2))/(LN(2)/2)*AQ119*AT119*VLOOKUP('Données projet'!$B$10,Paramètres!$A$1:$I$89,3,0)*0.475*44/12</f>
        <v>1.3755598092809437E-8</v>
      </c>
      <c r="AX119" s="23">
        <f t="shared" si="60"/>
        <v>10.443871015565712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243.99999999999989</v>
      </c>
      <c r="BE119" s="14">
        <f>BD119*VLOOKUP('Données projet'!$B$11,Paramètres!$A$1:$I$89,3,0)*VLOOKUP('Données projet'!$B$11,Paramètres!$A$1:$I$89,5,0)</f>
        <v>190.31999999999991</v>
      </c>
      <c r="BF119" s="14">
        <f t="shared" si="91"/>
        <v>47.61069337740188</v>
      </c>
      <c r="BG119" s="22">
        <f t="shared" si="61"/>
        <v>414.39595763230813</v>
      </c>
      <c r="BH119" s="62">
        <f t="shared" si="62"/>
        <v>695.69020152702956</v>
      </c>
      <c r="BI119" s="62">
        <f ca="1">AVERAGE(OFFSET($BH$3,0,0,'Données projet'!$E$11+1,1))-AVERAGE(OFFSET($H$3,0,0,'Données projet'!$E$11+1,1))</f>
        <v>252.45744983674379</v>
      </c>
      <c r="BJ119" s="62">
        <f t="shared" si="92"/>
        <v>283.28099819802776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9.3600734781292196</v>
      </c>
      <c r="BQ119" s="23">
        <f>EXP(-LN(2)/25)*BQ118+(1-EXP(-LN(2)/25))/(LN(2)/25)*Calculateur!BL119*Calculateur!BN119*VLOOKUP('Données projet'!$B$11,Paramètres!$A$1:$I$89,3,0)*0.475*44/12</f>
        <v>1.0837975236808941</v>
      </c>
      <c r="BR119" s="23">
        <f>EXP(-LN(2)/2)*BR118+(1-EXP(-LN(2)/2))/(LN(2)/2)*BL119*BO119*VLOOKUP('Données projet'!$B$11,Paramètres!$A$1:$I$89,3,0)*0.475*44/12</f>
        <v>1.3755598092809437E-8</v>
      </c>
      <c r="BS119" s="24">
        <f t="shared" si="63"/>
        <v>10.443871015565712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243.99999999999989</v>
      </c>
      <c r="BZ119" s="14">
        <f>BY119*VLOOKUP('Données projet'!$B$12,Paramètres!$A$1:$I$89,3,0)*VLOOKUP('Données projet'!$B$12,Paramètres!$A$1:$I$89,5,0)</f>
        <v>190.31999999999991</v>
      </c>
      <c r="CA119" s="14">
        <f t="shared" si="93"/>
        <v>47.61069337740188</v>
      </c>
      <c r="CB119" s="22">
        <f t="shared" si="64"/>
        <v>414.39595763230813</v>
      </c>
      <c r="CC119" s="62">
        <f t="shared" si="65"/>
        <v>695.69020152702956</v>
      </c>
      <c r="CD119" s="62">
        <f ca="1">AVERAGE(OFFSET($CC$3,0,0,'Données projet'!$E$12+1,1))-AVERAGE(OFFSET($H$3,0,0,'Données projet'!$E$12+1,1))</f>
        <v>252.45744983674379</v>
      </c>
      <c r="CE119" s="62">
        <f t="shared" si="94"/>
        <v>283.28099819802776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9.3600734781292196</v>
      </c>
      <c r="CL119" s="23">
        <f>EXP(-LN(2)/25)*CL118+(1-EXP(-LN(2)/25))/(LN(2)/25)*Calculateur!CG119*Calculateur!CI119*VLOOKUP('Données projet'!$B$12,Paramètres!$A$1:$I$89,3,0)*0.475*44/12</f>
        <v>1.0837975236808941</v>
      </c>
      <c r="CM119" s="23">
        <f>EXP(-LN(2)/2)*CM118+(1-EXP(-LN(2)/2))/(LN(2)/2)*CG119*CJ119*VLOOKUP('Données projet'!$B$12,Paramètres!$A$1:$I$89,3,0)*0.475*44/12</f>
        <v>1.3755598092809437E-8</v>
      </c>
      <c r="CN119" s="24">
        <f t="shared" si="66"/>
        <v>10.443871015565712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215.46880000000002</v>
      </c>
      <c r="O120" s="14">
        <f>N120*VLOOKUP('Données projet'!$B$9,Paramètres!$A$1:$I$89,3,0)*VLOOKUP('Données projet'!$B$9,Paramètres!$A$1:$I$89,5,0)</f>
        <v>100.83939840000001</v>
      </c>
      <c r="P120" s="14">
        <f t="shared" si="87"/>
        <v>27.161875252139833</v>
      </c>
      <c r="Q120" s="22">
        <f t="shared" si="107"/>
        <v>222.93555161081022</v>
      </c>
      <c r="R120" s="62">
        <f t="shared" si="55"/>
        <v>504.43864679191984</v>
      </c>
      <c r="S120" s="62">
        <f ca="1">AVERAGE(OFFSET($R$3,0,0,'Données projet'!$E$9+1,1))-AVERAGE(OFFSET($H$3,0,0,'Données projet'!$E$9+1,1))</f>
        <v>180.76388336802839</v>
      </c>
      <c r="T120" s="62">
        <f t="shared" si="88"/>
        <v>225.35030757566537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6.6665140737169839</v>
      </c>
      <c r="AA120" s="23">
        <f>EXP(-LN(2)/25)*AA119+(1-EXP(-LN(2)/25))/(LN(2)/25)*Calculateur!V120*Calculateur!X120*VLOOKUP('Données projet'!$B$9,Paramètres!$A$1:$I$89,3,0)*0.475*44/12</f>
        <v>2.0490974929327392</v>
      </c>
      <c r="AB120" s="23">
        <f>EXP(-LN(2)/2)*AB119+(1-EXP(-LN(2)/2))/(LN(2)/2)*V120*Y120*VLOOKUP('Données projet'!$B$9,Paramètres!$A$1:$I$89,3,0)*0.475*44/12</f>
        <v>2.3193600329700204E-8</v>
      </c>
      <c r="AC120" s="24">
        <f t="shared" si="57"/>
        <v>8.7156115898433235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243.99999999999989</v>
      </c>
      <c r="AJ120" s="14">
        <f>AI120*VLOOKUP('Données projet'!$B$10,Paramètres!$A$1:$I$89,3,0)*VLOOKUP('Données projet'!$B$10,Paramètres!$A$1:$I$89,5,0)</f>
        <v>190.31999999999991</v>
      </c>
      <c r="AK120" s="14">
        <f t="shared" si="89"/>
        <v>47.61069337740188</v>
      </c>
      <c r="AL120" s="22">
        <f t="shared" si="58"/>
        <v>414.39595763230813</v>
      </c>
      <c r="AM120" s="62">
        <f t="shared" si="59"/>
        <v>695.89905281341771</v>
      </c>
      <c r="AN120" s="62">
        <f ca="1">AVERAGE(OFFSET($AM$3,0,0,'Données projet'!$E$10+1,1))-AVERAGE(OFFSET($H$3,0,0,'Données projet'!$E$10+1,1))</f>
        <v>252.45744983674379</v>
      </c>
      <c r="AO120" s="62">
        <f t="shared" si="90"/>
        <v>283.28099819802776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9.1765281463042019</v>
      </c>
      <c r="AV120" s="23">
        <f>EXP(-LN(2)/25)*AV119+(1-EXP(-LN(2)/25))/(LN(2)/25)*Calculateur!AQ120*Calculateur!AS120*VLOOKUP('Données projet'!$B$10,Paramètres!$A$1:$I$89,3,0)*0.475*44/12</f>
        <v>1.0541610234014054</v>
      </c>
      <c r="AW120" s="23">
        <f>EXP(-LN(2)/2)*AW119+(1-EXP(-LN(2)/2))/(LN(2)/2)*AQ120*AT120*VLOOKUP('Données projet'!$B$10,Paramètres!$A$1:$I$89,3,0)*0.475*44/12</f>
        <v>9.7266766907022926E-9</v>
      </c>
      <c r="AX120" s="23">
        <f t="shared" si="60"/>
        <v>10.230689179432284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243.99999999999989</v>
      </c>
      <c r="BE120" s="14">
        <f>BD120*VLOOKUP('Données projet'!$B$11,Paramètres!$A$1:$I$89,3,0)*VLOOKUP('Données projet'!$B$11,Paramètres!$A$1:$I$89,5,0)</f>
        <v>190.31999999999991</v>
      </c>
      <c r="BF120" s="14">
        <f t="shared" si="91"/>
        <v>47.61069337740188</v>
      </c>
      <c r="BG120" s="22">
        <f t="shared" si="61"/>
        <v>414.39595763230813</v>
      </c>
      <c r="BH120" s="62">
        <f t="shared" si="62"/>
        <v>695.89905281341771</v>
      </c>
      <c r="BI120" s="62">
        <f ca="1">AVERAGE(OFFSET($BH$3,0,0,'Données projet'!$E$11+1,1))-AVERAGE(OFFSET($H$3,0,0,'Données projet'!$E$11+1,1))</f>
        <v>252.45744983674379</v>
      </c>
      <c r="BJ120" s="62">
        <f t="shared" si="92"/>
        <v>283.28099819802776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9.1765281463042019</v>
      </c>
      <c r="BQ120" s="23">
        <f>EXP(-LN(2)/25)*BQ119+(1-EXP(-LN(2)/25))/(LN(2)/25)*Calculateur!BL120*Calculateur!BN120*VLOOKUP('Données projet'!$B$11,Paramètres!$A$1:$I$89,3,0)*0.475*44/12</f>
        <v>1.0541610234014054</v>
      </c>
      <c r="BR120" s="23">
        <f>EXP(-LN(2)/2)*BR119+(1-EXP(-LN(2)/2))/(LN(2)/2)*BL120*BO120*VLOOKUP('Données projet'!$B$11,Paramètres!$A$1:$I$89,3,0)*0.475*44/12</f>
        <v>9.7266766907022926E-9</v>
      </c>
      <c r="BS120" s="24">
        <f t="shared" si="63"/>
        <v>10.230689179432284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243.99999999999989</v>
      </c>
      <c r="BZ120" s="14">
        <f>BY120*VLOOKUP('Données projet'!$B$12,Paramètres!$A$1:$I$89,3,0)*VLOOKUP('Données projet'!$B$12,Paramètres!$A$1:$I$89,5,0)</f>
        <v>190.31999999999991</v>
      </c>
      <c r="CA120" s="14">
        <f t="shared" si="93"/>
        <v>47.61069337740188</v>
      </c>
      <c r="CB120" s="22">
        <f t="shared" si="64"/>
        <v>414.39595763230813</v>
      </c>
      <c r="CC120" s="62">
        <f t="shared" si="65"/>
        <v>695.89905281341771</v>
      </c>
      <c r="CD120" s="62">
        <f ca="1">AVERAGE(OFFSET($CC$3,0,0,'Données projet'!$E$12+1,1))-AVERAGE(OFFSET($H$3,0,0,'Données projet'!$E$12+1,1))</f>
        <v>252.45744983674379</v>
      </c>
      <c r="CE120" s="62">
        <f t="shared" si="94"/>
        <v>283.28099819802776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9.1765281463042019</v>
      </c>
      <c r="CL120" s="23">
        <f>EXP(-LN(2)/25)*CL119+(1-EXP(-LN(2)/25))/(LN(2)/25)*Calculateur!CG120*Calculateur!CI120*VLOOKUP('Données projet'!$B$12,Paramètres!$A$1:$I$89,3,0)*0.475*44/12</f>
        <v>1.0541610234014054</v>
      </c>
      <c r="CM120" s="23">
        <f>EXP(-LN(2)/2)*CM119+(1-EXP(-LN(2)/2))/(LN(2)/2)*CG120*CJ120*VLOOKUP('Données projet'!$B$12,Paramètres!$A$1:$I$89,3,0)*0.475*44/12</f>
        <v>9.7266766907022926E-9</v>
      </c>
      <c r="CN120" s="24">
        <f t="shared" si="66"/>
        <v>10.230689179432284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215.46880000000002</v>
      </c>
      <c r="O121" s="14">
        <f>N121*VLOOKUP('Données projet'!$B$9,Paramètres!$A$1:$I$89,3,0)*VLOOKUP('Données projet'!$B$9,Paramètres!$A$1:$I$89,5,0)</f>
        <v>100.83939840000001</v>
      </c>
      <c r="P121" s="14">
        <f t="shared" si="87"/>
        <v>27.161875252139833</v>
      </c>
      <c r="Q121" s="22">
        <f t="shared" si="107"/>
        <v>222.93555161081022</v>
      </c>
      <c r="R121" s="62">
        <f t="shared" si="55"/>
        <v>504.64387497541065</v>
      </c>
      <c r="S121" s="62">
        <f ca="1">AVERAGE(OFFSET($R$3,0,0,'Données projet'!$E$9+1,1))-AVERAGE(OFFSET($H$3,0,0,'Données projet'!$E$9+1,1))</f>
        <v>180.76388336802839</v>
      </c>
      <c r="T121" s="62">
        <f t="shared" si="88"/>
        <v>225.35030757566537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6.5357877989034776</v>
      </c>
      <c r="AA121" s="23">
        <f>EXP(-LN(2)/25)*AA120+(1-EXP(-LN(2)/25))/(LN(2)/25)*Calculateur!V121*Calculateur!X121*VLOOKUP('Données projet'!$B$9,Paramètres!$A$1:$I$89,3,0)*0.475*44/12</f>
        <v>1.9930648142311396</v>
      </c>
      <c r="AB121" s="23">
        <f>EXP(-LN(2)/2)*AB120+(1-EXP(-LN(2)/2))/(LN(2)/2)*V121*Y121*VLOOKUP('Données projet'!$B$9,Paramètres!$A$1:$I$89,3,0)*0.475*44/12</f>
        <v>1.6400352073261558E-8</v>
      </c>
      <c r="AC121" s="24">
        <f t="shared" si="57"/>
        <v>8.5288526295349687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243.99999999999989</v>
      </c>
      <c r="AJ121" s="14">
        <f>AI121*VLOOKUP('Données projet'!$B$10,Paramètres!$A$1:$I$89,3,0)*VLOOKUP('Données projet'!$B$10,Paramètres!$A$1:$I$89,5,0)</f>
        <v>190.31999999999991</v>
      </c>
      <c r="AK121" s="14">
        <f t="shared" si="89"/>
        <v>47.61069337740188</v>
      </c>
      <c r="AL121" s="22">
        <f t="shared" si="58"/>
        <v>414.39595763230813</v>
      </c>
      <c r="AM121" s="62">
        <f t="shared" si="59"/>
        <v>696.10428099690853</v>
      </c>
      <c r="AN121" s="62">
        <f ca="1">AVERAGE(OFFSET($AM$3,0,0,'Données projet'!$E$10+1,1))-AVERAGE(OFFSET($H$3,0,0,'Données projet'!$E$10+1,1))</f>
        <v>252.45744983674379</v>
      </c>
      <c r="AO121" s="62">
        <f t="shared" si="90"/>
        <v>283.28099819802776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8.9965820264846759</v>
      </c>
      <c r="AV121" s="23">
        <f>EXP(-LN(2)/25)*AV120+(1-EXP(-LN(2)/25))/(LN(2)/25)*Calculateur!AQ121*Calculateur!AS121*VLOOKUP('Données projet'!$B$10,Paramètres!$A$1:$I$89,3,0)*0.475*44/12</f>
        <v>1.0253349347805751</v>
      </c>
      <c r="AW121" s="23">
        <f>EXP(-LN(2)/2)*AW120+(1-EXP(-LN(2)/2))/(LN(2)/2)*AQ121*AT121*VLOOKUP('Données projet'!$B$10,Paramètres!$A$1:$I$89,3,0)*0.475*44/12</f>
        <v>6.8777990464047183E-9</v>
      </c>
      <c r="AX121" s="23">
        <f t="shared" si="60"/>
        <v>10.021916968143051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243.99999999999989</v>
      </c>
      <c r="BE121" s="14">
        <f>BD121*VLOOKUP('Données projet'!$B$11,Paramètres!$A$1:$I$89,3,0)*VLOOKUP('Données projet'!$B$11,Paramètres!$A$1:$I$89,5,0)</f>
        <v>190.31999999999991</v>
      </c>
      <c r="BF121" s="14">
        <f t="shared" si="91"/>
        <v>47.61069337740188</v>
      </c>
      <c r="BG121" s="22">
        <f t="shared" si="61"/>
        <v>414.39595763230813</v>
      </c>
      <c r="BH121" s="62">
        <f t="shared" si="62"/>
        <v>696.10428099690853</v>
      </c>
      <c r="BI121" s="62">
        <f ca="1">AVERAGE(OFFSET($BH$3,0,0,'Données projet'!$E$11+1,1))-AVERAGE(OFFSET($H$3,0,0,'Données projet'!$E$11+1,1))</f>
        <v>252.45744983674379</v>
      </c>
      <c r="BJ121" s="62">
        <f t="shared" si="92"/>
        <v>283.28099819802776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8.9965820264846759</v>
      </c>
      <c r="BQ121" s="23">
        <f>EXP(-LN(2)/25)*BQ120+(1-EXP(-LN(2)/25))/(LN(2)/25)*Calculateur!BL121*Calculateur!BN121*VLOOKUP('Données projet'!$B$11,Paramètres!$A$1:$I$89,3,0)*0.475*44/12</f>
        <v>1.0253349347805751</v>
      </c>
      <c r="BR121" s="23">
        <f>EXP(-LN(2)/2)*BR120+(1-EXP(-LN(2)/2))/(LN(2)/2)*BL121*BO121*VLOOKUP('Données projet'!$B$11,Paramètres!$A$1:$I$89,3,0)*0.475*44/12</f>
        <v>6.8777990464047183E-9</v>
      </c>
      <c r="BS121" s="24">
        <f t="shared" si="63"/>
        <v>10.021916968143051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243.99999999999989</v>
      </c>
      <c r="BZ121" s="14">
        <f>BY121*VLOOKUP('Données projet'!$B$12,Paramètres!$A$1:$I$89,3,0)*VLOOKUP('Données projet'!$B$12,Paramètres!$A$1:$I$89,5,0)</f>
        <v>190.31999999999991</v>
      </c>
      <c r="CA121" s="14">
        <f t="shared" si="93"/>
        <v>47.61069337740188</v>
      </c>
      <c r="CB121" s="22">
        <f t="shared" si="64"/>
        <v>414.39595763230813</v>
      </c>
      <c r="CC121" s="62">
        <f t="shared" si="65"/>
        <v>696.10428099690853</v>
      </c>
      <c r="CD121" s="62">
        <f ca="1">AVERAGE(OFFSET($CC$3,0,0,'Données projet'!$E$12+1,1))-AVERAGE(OFFSET($H$3,0,0,'Données projet'!$E$12+1,1))</f>
        <v>252.45744983674379</v>
      </c>
      <c r="CE121" s="62">
        <f t="shared" si="94"/>
        <v>283.28099819802776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8.9965820264846759</v>
      </c>
      <c r="CL121" s="23">
        <f>EXP(-LN(2)/25)*CL120+(1-EXP(-LN(2)/25))/(LN(2)/25)*Calculateur!CG121*Calculateur!CI121*VLOOKUP('Données projet'!$B$12,Paramètres!$A$1:$I$89,3,0)*0.475*44/12</f>
        <v>1.0253349347805751</v>
      </c>
      <c r="CM121" s="23">
        <f>EXP(-LN(2)/2)*CM120+(1-EXP(-LN(2)/2))/(LN(2)/2)*CG121*CJ121*VLOOKUP('Données projet'!$B$12,Paramètres!$A$1:$I$89,3,0)*0.475*44/12</f>
        <v>6.8777990464047183E-9</v>
      </c>
      <c r="CN121" s="24">
        <f t="shared" si="66"/>
        <v>10.021916968143051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215.46880000000002</v>
      </c>
      <c r="O122" s="14">
        <f>N122*VLOOKUP('Données projet'!$B$9,Paramètres!$A$1:$I$89,3,0)*VLOOKUP('Données projet'!$B$9,Paramètres!$A$1:$I$89,5,0)</f>
        <v>100.83939840000001</v>
      </c>
      <c r="P122" s="14">
        <f t="shared" si="87"/>
        <v>27.161875252139833</v>
      </c>
      <c r="Q122" s="22">
        <f t="shared" si="107"/>
        <v>222.93555161081022</v>
      </c>
      <c r="R122" s="62">
        <f t="shared" si="55"/>
        <v>504.84554290873939</v>
      </c>
      <c r="S122" s="62">
        <f ca="1">AVERAGE(OFFSET($R$3,0,0,'Données projet'!$E$9+1,1))-AVERAGE(OFFSET($H$3,0,0,'Données projet'!$E$9+1,1))</f>
        <v>180.76388336802839</v>
      </c>
      <c r="T122" s="62">
        <f t="shared" si="88"/>
        <v>225.35030757566537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6.4076249866039099</v>
      </c>
      <c r="AA122" s="23">
        <f>EXP(-LN(2)/25)*AA121+(1-EXP(-LN(2)/25))/(LN(2)/25)*Calculateur!V122*Calculateur!X122*VLOOKUP('Données projet'!$B$9,Paramètres!$A$1:$I$89,3,0)*0.475*44/12</f>
        <v>1.9385643520752658</v>
      </c>
      <c r="AB122" s="23">
        <f>EXP(-LN(2)/2)*AB121+(1-EXP(-LN(2)/2))/(LN(2)/2)*V122*Y122*VLOOKUP('Données projet'!$B$9,Paramètres!$A$1:$I$89,3,0)*0.475*44/12</f>
        <v>1.1596800164850102E-8</v>
      </c>
      <c r="AC122" s="24">
        <f t="shared" si="57"/>
        <v>8.3461893502759761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243.99999999999989</v>
      </c>
      <c r="AJ122" s="14">
        <f>AI122*VLOOKUP('Données projet'!$B$10,Paramètres!$A$1:$I$89,3,0)*VLOOKUP('Données projet'!$B$10,Paramètres!$A$1:$I$89,5,0)</f>
        <v>190.31999999999991</v>
      </c>
      <c r="AK122" s="14">
        <f t="shared" si="89"/>
        <v>47.61069337740188</v>
      </c>
      <c r="AL122" s="22">
        <f t="shared" si="58"/>
        <v>414.39595763230813</v>
      </c>
      <c r="AM122" s="62">
        <f t="shared" si="59"/>
        <v>696.30594893023726</v>
      </c>
      <c r="AN122" s="62">
        <f ca="1">AVERAGE(OFFSET($AM$3,0,0,'Données projet'!$E$10+1,1))-AVERAGE(OFFSET($H$3,0,0,'Données projet'!$E$10+1,1))</f>
        <v>252.45744983674379</v>
      </c>
      <c r="AO122" s="62">
        <f t="shared" si="90"/>
        <v>283.28099819802776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8.8201645403185136</v>
      </c>
      <c r="AV122" s="23">
        <f>EXP(-LN(2)/25)*AV121+(1-EXP(-LN(2)/25))/(LN(2)/25)*Calculateur!AQ122*Calculateur!AS122*VLOOKUP('Données projet'!$B$10,Paramètres!$A$1:$I$89,3,0)*0.475*44/12</f>
        <v>0.99729709706897951</v>
      </c>
      <c r="AW122" s="23">
        <f>EXP(-LN(2)/2)*AW121+(1-EXP(-LN(2)/2))/(LN(2)/2)*AQ122*AT122*VLOOKUP('Données projet'!$B$10,Paramètres!$A$1:$I$89,3,0)*0.475*44/12</f>
        <v>4.8633383453511463E-9</v>
      </c>
      <c r="AX122" s="23">
        <f t="shared" si="60"/>
        <v>9.8174616422508318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243.99999999999989</v>
      </c>
      <c r="BE122" s="14">
        <f>BD122*VLOOKUP('Données projet'!$B$11,Paramètres!$A$1:$I$89,3,0)*VLOOKUP('Données projet'!$B$11,Paramètres!$A$1:$I$89,5,0)</f>
        <v>190.31999999999991</v>
      </c>
      <c r="BF122" s="14">
        <f t="shared" si="91"/>
        <v>47.61069337740188</v>
      </c>
      <c r="BG122" s="22">
        <f t="shared" si="61"/>
        <v>414.39595763230813</v>
      </c>
      <c r="BH122" s="62">
        <f t="shared" si="62"/>
        <v>696.30594893023726</v>
      </c>
      <c r="BI122" s="62">
        <f ca="1">AVERAGE(OFFSET($BH$3,0,0,'Données projet'!$E$11+1,1))-AVERAGE(OFFSET($H$3,0,0,'Données projet'!$E$11+1,1))</f>
        <v>252.45744983674379</v>
      </c>
      <c r="BJ122" s="62">
        <f t="shared" si="92"/>
        <v>283.28099819802776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8.8201645403185136</v>
      </c>
      <c r="BQ122" s="23">
        <f>EXP(-LN(2)/25)*BQ121+(1-EXP(-LN(2)/25))/(LN(2)/25)*Calculateur!BL122*Calculateur!BN122*VLOOKUP('Données projet'!$B$11,Paramètres!$A$1:$I$89,3,0)*0.475*44/12</f>
        <v>0.99729709706897951</v>
      </c>
      <c r="BR122" s="23">
        <f>EXP(-LN(2)/2)*BR121+(1-EXP(-LN(2)/2))/(LN(2)/2)*BL122*BO122*VLOOKUP('Données projet'!$B$11,Paramètres!$A$1:$I$89,3,0)*0.475*44/12</f>
        <v>4.8633383453511463E-9</v>
      </c>
      <c r="BS122" s="24">
        <f t="shared" si="63"/>
        <v>9.8174616422508318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243.99999999999989</v>
      </c>
      <c r="BZ122" s="14">
        <f>BY122*VLOOKUP('Données projet'!$B$12,Paramètres!$A$1:$I$89,3,0)*VLOOKUP('Données projet'!$B$12,Paramètres!$A$1:$I$89,5,0)</f>
        <v>190.31999999999991</v>
      </c>
      <c r="CA122" s="14">
        <f t="shared" si="93"/>
        <v>47.61069337740188</v>
      </c>
      <c r="CB122" s="22">
        <f t="shared" si="64"/>
        <v>414.39595763230813</v>
      </c>
      <c r="CC122" s="62">
        <f t="shared" si="65"/>
        <v>696.30594893023726</v>
      </c>
      <c r="CD122" s="62">
        <f ca="1">AVERAGE(OFFSET($CC$3,0,0,'Données projet'!$E$12+1,1))-AVERAGE(OFFSET($H$3,0,0,'Données projet'!$E$12+1,1))</f>
        <v>252.45744983674379</v>
      </c>
      <c r="CE122" s="62">
        <f t="shared" si="94"/>
        <v>283.28099819802776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8.8201645403185136</v>
      </c>
      <c r="CL122" s="23">
        <f>EXP(-LN(2)/25)*CL121+(1-EXP(-LN(2)/25))/(LN(2)/25)*Calculateur!CG122*Calculateur!CI122*VLOOKUP('Données projet'!$B$12,Paramètres!$A$1:$I$89,3,0)*0.475*44/12</f>
        <v>0.99729709706897951</v>
      </c>
      <c r="CM122" s="23">
        <f>EXP(-LN(2)/2)*CM121+(1-EXP(-LN(2)/2))/(LN(2)/2)*CG122*CJ122*VLOOKUP('Données projet'!$B$12,Paramètres!$A$1:$I$89,3,0)*0.475*44/12</f>
        <v>4.8633383453511463E-9</v>
      </c>
      <c r="CN122" s="24">
        <f t="shared" si="66"/>
        <v>9.8174616422508318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215.46880000000002</v>
      </c>
      <c r="O123" s="14">
        <f>N123*VLOOKUP('Données projet'!$B$9,Paramètres!$A$1:$I$89,3,0)*VLOOKUP('Données projet'!$B$9,Paramètres!$A$1:$I$89,5,0)</f>
        <v>100.83939840000001</v>
      </c>
      <c r="P123" s="14">
        <f t="shared" si="87"/>
        <v>27.161875252139833</v>
      </c>
      <c r="Q123" s="22">
        <f t="shared" si="107"/>
        <v>222.93555161081022</v>
      </c>
      <c r="R123" s="62">
        <f t="shared" si="55"/>
        <v>505.04371235428687</v>
      </c>
      <c r="S123" s="62">
        <f ca="1">AVERAGE(OFFSET($R$3,0,0,'Données projet'!$E$9+1,1))-AVERAGE(OFFSET($H$3,0,0,'Données projet'!$E$9+1,1))</f>
        <v>180.76388336802839</v>
      </c>
      <c r="T123" s="62">
        <f t="shared" si="88"/>
        <v>225.35030757566537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6.2819753688819402</v>
      </c>
      <c r="AA123" s="23">
        <f>EXP(-LN(2)/25)*AA122+(1-EXP(-LN(2)/25))/(LN(2)/25)*Calculateur!V123*Calculateur!X123*VLOOKUP('Données projet'!$B$9,Paramètres!$A$1:$I$89,3,0)*0.475*44/12</f>
        <v>1.8855542079230989</v>
      </c>
      <c r="AB123" s="23">
        <f>EXP(-LN(2)/2)*AB122+(1-EXP(-LN(2)/2))/(LN(2)/2)*V123*Y123*VLOOKUP('Données projet'!$B$9,Paramètres!$A$1:$I$89,3,0)*0.475*44/12</f>
        <v>8.2001760366307791E-9</v>
      </c>
      <c r="AC123" s="24">
        <f t="shared" si="57"/>
        <v>8.1675295850052159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243.99999999999989</v>
      </c>
      <c r="AJ123" s="14">
        <f>AI123*VLOOKUP('Données projet'!$B$10,Paramètres!$A$1:$I$89,3,0)*VLOOKUP('Données projet'!$B$10,Paramètres!$A$1:$I$89,5,0)</f>
        <v>190.31999999999991</v>
      </c>
      <c r="AK123" s="14">
        <f t="shared" si="89"/>
        <v>47.61069337740188</v>
      </c>
      <c r="AL123" s="22">
        <f t="shared" si="58"/>
        <v>414.39595763230813</v>
      </c>
      <c r="AM123" s="62">
        <f t="shared" si="59"/>
        <v>696.50411837578474</v>
      </c>
      <c r="AN123" s="62">
        <f ca="1">AVERAGE(OFFSET($AM$3,0,0,'Données projet'!$E$10+1,1))-AVERAGE(OFFSET($H$3,0,0,'Données projet'!$E$10+1,1))</f>
        <v>252.45744983674379</v>
      </c>
      <c r="AO123" s="62">
        <f t="shared" si="90"/>
        <v>283.28099819802776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8.6472064934520283</v>
      </c>
      <c r="AV123" s="23">
        <f>EXP(-LN(2)/25)*AV122+(1-EXP(-LN(2)/25))/(LN(2)/25)*Calculateur!AQ123*Calculateur!AS123*VLOOKUP('Données projet'!$B$10,Paramètres!$A$1:$I$89,3,0)*0.475*44/12</f>
        <v>0.97002595550405324</v>
      </c>
      <c r="AW123" s="23">
        <f>EXP(-LN(2)/2)*AW122+(1-EXP(-LN(2)/2))/(LN(2)/2)*AQ123*AT123*VLOOKUP('Données projet'!$B$10,Paramètres!$A$1:$I$89,3,0)*0.475*44/12</f>
        <v>3.4388995232023591E-9</v>
      </c>
      <c r="AX123" s="23">
        <f t="shared" si="60"/>
        <v>9.6172324523949797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243.99999999999989</v>
      </c>
      <c r="BE123" s="14">
        <f>BD123*VLOOKUP('Données projet'!$B$11,Paramètres!$A$1:$I$89,3,0)*VLOOKUP('Données projet'!$B$11,Paramètres!$A$1:$I$89,5,0)</f>
        <v>190.31999999999991</v>
      </c>
      <c r="BF123" s="14">
        <f t="shared" si="91"/>
        <v>47.61069337740188</v>
      </c>
      <c r="BG123" s="22">
        <f t="shared" si="61"/>
        <v>414.39595763230813</v>
      </c>
      <c r="BH123" s="62">
        <f t="shared" si="62"/>
        <v>696.50411837578474</v>
      </c>
      <c r="BI123" s="62">
        <f ca="1">AVERAGE(OFFSET($BH$3,0,0,'Données projet'!$E$11+1,1))-AVERAGE(OFFSET($H$3,0,0,'Données projet'!$E$11+1,1))</f>
        <v>252.45744983674379</v>
      </c>
      <c r="BJ123" s="62">
        <f t="shared" si="92"/>
        <v>283.28099819802776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8.6472064934520283</v>
      </c>
      <c r="BQ123" s="23">
        <f>EXP(-LN(2)/25)*BQ122+(1-EXP(-LN(2)/25))/(LN(2)/25)*Calculateur!BL123*Calculateur!BN123*VLOOKUP('Données projet'!$B$11,Paramètres!$A$1:$I$89,3,0)*0.475*44/12</f>
        <v>0.97002595550405324</v>
      </c>
      <c r="BR123" s="23">
        <f>EXP(-LN(2)/2)*BR122+(1-EXP(-LN(2)/2))/(LN(2)/2)*BL123*BO123*VLOOKUP('Données projet'!$B$11,Paramètres!$A$1:$I$89,3,0)*0.475*44/12</f>
        <v>3.4388995232023591E-9</v>
      </c>
      <c r="BS123" s="24">
        <f t="shared" si="63"/>
        <v>9.6172324523949797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243.99999999999989</v>
      </c>
      <c r="BZ123" s="14">
        <f>BY123*VLOOKUP('Données projet'!$B$12,Paramètres!$A$1:$I$89,3,0)*VLOOKUP('Données projet'!$B$12,Paramètres!$A$1:$I$89,5,0)</f>
        <v>190.31999999999991</v>
      </c>
      <c r="CA123" s="14">
        <f t="shared" si="93"/>
        <v>47.61069337740188</v>
      </c>
      <c r="CB123" s="22">
        <f t="shared" si="64"/>
        <v>414.39595763230813</v>
      </c>
      <c r="CC123" s="62">
        <f t="shared" si="65"/>
        <v>696.50411837578474</v>
      </c>
      <c r="CD123" s="62">
        <f ca="1">AVERAGE(OFFSET($CC$3,0,0,'Données projet'!$E$12+1,1))-AVERAGE(OFFSET($H$3,0,0,'Données projet'!$E$12+1,1))</f>
        <v>252.45744983674379</v>
      </c>
      <c r="CE123" s="62">
        <f t="shared" si="94"/>
        <v>283.28099819802776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8.6472064934520283</v>
      </c>
      <c r="CL123" s="23">
        <f>EXP(-LN(2)/25)*CL122+(1-EXP(-LN(2)/25))/(LN(2)/25)*Calculateur!CG123*Calculateur!CI123*VLOOKUP('Données projet'!$B$12,Paramètres!$A$1:$I$89,3,0)*0.475*44/12</f>
        <v>0.97002595550405324</v>
      </c>
      <c r="CM123" s="23">
        <f>EXP(-LN(2)/2)*CM122+(1-EXP(-LN(2)/2))/(LN(2)/2)*CG123*CJ123*VLOOKUP('Données projet'!$B$12,Paramètres!$A$1:$I$89,3,0)*0.475*44/12</f>
        <v>3.4388995232023591E-9</v>
      </c>
      <c r="CN123" s="24">
        <f t="shared" si="66"/>
        <v>9.6172324523949797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215.46880000000002</v>
      </c>
      <c r="O124" s="14">
        <f>N124*VLOOKUP('Données projet'!$B$9,Paramètres!$A$1:$I$89,3,0)*VLOOKUP('Données projet'!$B$9,Paramètres!$A$1:$I$89,5,0)</f>
        <v>100.83939840000001</v>
      </c>
      <c r="P124" s="14">
        <f t="shared" si="87"/>
        <v>27.161875252139833</v>
      </c>
      <c r="Q124" s="22">
        <f t="shared" si="107"/>
        <v>222.93555161081022</v>
      </c>
      <c r="R124" s="62">
        <f t="shared" si="55"/>
        <v>505.23844400299458</v>
      </c>
      <c r="S124" s="62">
        <f ca="1">AVERAGE(OFFSET($R$3,0,0,'Données projet'!$E$9+1,1))-AVERAGE(OFFSET($H$3,0,0,'Données projet'!$E$9+1,1))</f>
        <v>180.76388336802839</v>
      </c>
      <c r="T124" s="62">
        <f t="shared" si="88"/>
        <v>225.35030757566537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6.1587896635247983</v>
      </c>
      <c r="AA124" s="23">
        <f>EXP(-LN(2)/25)*AA123+(1-EXP(-LN(2)/25))/(LN(2)/25)*Calculateur!V124*Calculateur!X124*VLOOKUP('Données projet'!$B$9,Paramètres!$A$1:$I$89,3,0)*0.475*44/12</f>
        <v>1.8339936289504555</v>
      </c>
      <c r="AB124" s="23">
        <f>EXP(-LN(2)/2)*AB123+(1-EXP(-LN(2)/2))/(LN(2)/2)*V124*Y124*VLOOKUP('Données projet'!$B$9,Paramètres!$A$1:$I$89,3,0)*0.475*44/12</f>
        <v>5.7984000824250509E-9</v>
      </c>
      <c r="AC124" s="24">
        <f t="shared" si="57"/>
        <v>7.992783298273654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243.99999999999989</v>
      </c>
      <c r="AJ124" s="14">
        <f>AI124*VLOOKUP('Données projet'!$B$10,Paramètres!$A$1:$I$89,3,0)*VLOOKUP('Données projet'!$B$10,Paramètres!$A$1:$I$89,5,0)</f>
        <v>190.31999999999991</v>
      </c>
      <c r="AK124" s="14">
        <f t="shared" si="89"/>
        <v>47.61069337740188</v>
      </c>
      <c r="AL124" s="22">
        <f t="shared" si="58"/>
        <v>414.39595763230813</v>
      </c>
      <c r="AM124" s="62">
        <f t="shared" si="59"/>
        <v>696.69885002449246</v>
      </c>
      <c r="AN124" s="62">
        <f ca="1">AVERAGE(OFFSET($AM$3,0,0,'Données projet'!$E$10+1,1))-AVERAGE(OFFSET($H$3,0,0,'Données projet'!$E$10+1,1))</f>
        <v>252.45744983674379</v>
      </c>
      <c r="AO124" s="62">
        <f t="shared" si="90"/>
        <v>283.28099819802776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8.4776400483906045</v>
      </c>
      <c r="AV124" s="23">
        <f>EXP(-LN(2)/25)*AV123+(1-EXP(-LN(2)/25))/(LN(2)/25)*Calculateur!AQ124*Calculateur!AS124*VLOOKUP('Données projet'!$B$10,Paramètres!$A$1:$I$89,3,0)*0.475*44/12</f>
        <v>0.94350054473934697</v>
      </c>
      <c r="AW124" s="23">
        <f>EXP(-LN(2)/2)*AW123+(1-EXP(-LN(2)/2))/(LN(2)/2)*AQ124*AT124*VLOOKUP('Données projet'!$B$10,Paramètres!$A$1:$I$89,3,0)*0.475*44/12</f>
        <v>2.4316691726755731E-9</v>
      </c>
      <c r="AX124" s="23">
        <f t="shared" si="60"/>
        <v>9.4211405955616208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243.99999999999989</v>
      </c>
      <c r="BE124" s="14">
        <f>BD124*VLOOKUP('Données projet'!$B$11,Paramètres!$A$1:$I$89,3,0)*VLOOKUP('Données projet'!$B$11,Paramètres!$A$1:$I$89,5,0)</f>
        <v>190.31999999999991</v>
      </c>
      <c r="BF124" s="14">
        <f t="shared" si="91"/>
        <v>47.61069337740188</v>
      </c>
      <c r="BG124" s="22">
        <f t="shared" si="61"/>
        <v>414.39595763230813</v>
      </c>
      <c r="BH124" s="62">
        <f t="shared" si="62"/>
        <v>696.69885002449246</v>
      </c>
      <c r="BI124" s="62">
        <f ca="1">AVERAGE(OFFSET($BH$3,0,0,'Données projet'!$E$11+1,1))-AVERAGE(OFFSET($H$3,0,0,'Données projet'!$E$11+1,1))</f>
        <v>252.45744983674379</v>
      </c>
      <c r="BJ124" s="62">
        <f t="shared" si="92"/>
        <v>283.28099819802776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8.4776400483906045</v>
      </c>
      <c r="BQ124" s="23">
        <f>EXP(-LN(2)/25)*BQ123+(1-EXP(-LN(2)/25))/(LN(2)/25)*Calculateur!BL124*Calculateur!BN124*VLOOKUP('Données projet'!$B$11,Paramètres!$A$1:$I$89,3,0)*0.475*44/12</f>
        <v>0.94350054473934697</v>
      </c>
      <c r="BR124" s="23">
        <f>EXP(-LN(2)/2)*BR123+(1-EXP(-LN(2)/2))/(LN(2)/2)*BL124*BO124*VLOOKUP('Données projet'!$B$11,Paramètres!$A$1:$I$89,3,0)*0.475*44/12</f>
        <v>2.4316691726755731E-9</v>
      </c>
      <c r="BS124" s="24">
        <f t="shared" si="63"/>
        <v>9.4211405955616208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243.99999999999989</v>
      </c>
      <c r="BZ124" s="14">
        <f>BY124*VLOOKUP('Données projet'!$B$12,Paramètres!$A$1:$I$89,3,0)*VLOOKUP('Données projet'!$B$12,Paramètres!$A$1:$I$89,5,0)</f>
        <v>190.31999999999991</v>
      </c>
      <c r="CA124" s="14">
        <f t="shared" si="93"/>
        <v>47.61069337740188</v>
      </c>
      <c r="CB124" s="22">
        <f t="shared" si="64"/>
        <v>414.39595763230813</v>
      </c>
      <c r="CC124" s="62">
        <f t="shared" si="65"/>
        <v>696.69885002449246</v>
      </c>
      <c r="CD124" s="62">
        <f ca="1">AVERAGE(OFFSET($CC$3,0,0,'Données projet'!$E$12+1,1))-AVERAGE(OFFSET($H$3,0,0,'Données projet'!$E$12+1,1))</f>
        <v>252.45744983674379</v>
      </c>
      <c r="CE124" s="62">
        <f t="shared" si="94"/>
        <v>283.28099819802776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8.4776400483906045</v>
      </c>
      <c r="CL124" s="23">
        <f>EXP(-LN(2)/25)*CL123+(1-EXP(-LN(2)/25))/(LN(2)/25)*Calculateur!CG124*Calculateur!CI124*VLOOKUP('Données projet'!$B$12,Paramètres!$A$1:$I$89,3,0)*0.475*44/12</f>
        <v>0.94350054473934697</v>
      </c>
      <c r="CM124" s="23">
        <f>EXP(-LN(2)/2)*CM123+(1-EXP(-LN(2)/2))/(LN(2)/2)*CG124*CJ124*VLOOKUP('Données projet'!$B$12,Paramètres!$A$1:$I$89,3,0)*0.475*44/12</f>
        <v>2.4316691726755731E-9</v>
      </c>
      <c r="CN124" s="24">
        <f t="shared" si="66"/>
        <v>9.4211405955616208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215.46880000000002</v>
      </c>
      <c r="O125" s="14">
        <f>N125*VLOOKUP('Données projet'!$B$9,Paramètres!$A$1:$I$89,3,0)*VLOOKUP('Données projet'!$B$9,Paramètres!$A$1:$I$89,5,0)</f>
        <v>100.83939840000001</v>
      </c>
      <c r="P125" s="14">
        <f t="shared" si="87"/>
        <v>27.161875252139833</v>
      </c>
      <c r="Q125" s="22">
        <f t="shared" si="107"/>
        <v>222.93555161081022</v>
      </c>
      <c r="R125" s="62">
        <f t="shared" si="55"/>
        <v>505.42979749295205</v>
      </c>
      <c r="S125" s="62">
        <f ca="1">AVERAGE(OFFSET($R$3,0,0,'Données projet'!$E$9+1,1))-AVERAGE(OFFSET($H$3,0,0,'Données projet'!$E$9+1,1))</f>
        <v>180.76388336802839</v>
      </c>
      <c r="T125" s="62">
        <f t="shared" si="88"/>
        <v>225.35030757566537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6.0380195547138493</v>
      </c>
      <c r="AA125" s="23">
        <f>EXP(-LN(2)/25)*AA124+(1-EXP(-LN(2)/25))/(LN(2)/25)*Calculateur!V125*Calculateur!X125*VLOOKUP('Données projet'!$B$9,Paramètres!$A$1:$I$89,3,0)*0.475*44/12</f>
        <v>1.783842976721272</v>
      </c>
      <c r="AB125" s="23">
        <f>EXP(-LN(2)/2)*AB124+(1-EXP(-LN(2)/2))/(LN(2)/2)*V125*Y125*VLOOKUP('Données projet'!$B$9,Paramètres!$A$1:$I$89,3,0)*0.475*44/12</f>
        <v>4.1000880183153895E-9</v>
      </c>
      <c r="AC125" s="24">
        <f t="shared" si="57"/>
        <v>7.8218625355352094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243.99999999999989</v>
      </c>
      <c r="AJ125" s="14">
        <f>AI125*VLOOKUP('Données projet'!$B$10,Paramètres!$A$1:$I$89,3,0)*VLOOKUP('Données projet'!$B$10,Paramètres!$A$1:$I$89,5,0)</f>
        <v>190.31999999999991</v>
      </c>
      <c r="AK125" s="14">
        <f t="shared" si="89"/>
        <v>47.61069337740188</v>
      </c>
      <c r="AL125" s="22">
        <f t="shared" si="58"/>
        <v>414.39595763230813</v>
      </c>
      <c r="AM125" s="62">
        <f t="shared" si="59"/>
        <v>696.89020351444992</v>
      </c>
      <c r="AN125" s="62">
        <f ca="1">AVERAGE(OFFSET($AM$3,0,0,'Données projet'!$E$10+1,1))-AVERAGE(OFFSET($H$3,0,0,'Données projet'!$E$10+1,1))</f>
        <v>252.45744983674379</v>
      </c>
      <c r="AO125" s="62">
        <f t="shared" si="90"/>
        <v>283.28099819802776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8.3113986978915158</v>
      </c>
      <c r="AV125" s="23">
        <f>EXP(-LN(2)/25)*AV124+(1-EXP(-LN(2)/25))/(LN(2)/25)*Calculateur!AQ125*Calculateur!AS125*VLOOKUP('Données projet'!$B$10,Paramètres!$A$1:$I$89,3,0)*0.475*44/12</f>
        <v>0.91770047272691224</v>
      </c>
      <c r="AW125" s="23">
        <f>EXP(-LN(2)/2)*AW124+(1-EXP(-LN(2)/2))/(LN(2)/2)*AQ125*AT125*VLOOKUP('Données projet'!$B$10,Paramètres!$A$1:$I$89,3,0)*0.475*44/12</f>
        <v>1.7194497616011796E-9</v>
      </c>
      <c r="AX125" s="23">
        <f t="shared" si="60"/>
        <v>9.229099172337877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243.99999999999989</v>
      </c>
      <c r="BE125" s="14">
        <f>BD125*VLOOKUP('Données projet'!$B$11,Paramètres!$A$1:$I$89,3,0)*VLOOKUP('Données projet'!$B$11,Paramètres!$A$1:$I$89,5,0)</f>
        <v>190.31999999999991</v>
      </c>
      <c r="BF125" s="14">
        <f t="shared" si="91"/>
        <v>47.61069337740188</v>
      </c>
      <c r="BG125" s="22">
        <f t="shared" si="61"/>
        <v>414.39595763230813</v>
      </c>
      <c r="BH125" s="62">
        <f t="shared" si="62"/>
        <v>696.89020351444992</v>
      </c>
      <c r="BI125" s="62">
        <f ca="1">AVERAGE(OFFSET($BH$3,0,0,'Données projet'!$E$11+1,1))-AVERAGE(OFFSET($H$3,0,0,'Données projet'!$E$11+1,1))</f>
        <v>252.45744983674379</v>
      </c>
      <c r="BJ125" s="62">
        <f t="shared" si="92"/>
        <v>283.28099819802776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8.3113986978915158</v>
      </c>
      <c r="BQ125" s="23">
        <f>EXP(-LN(2)/25)*BQ124+(1-EXP(-LN(2)/25))/(LN(2)/25)*Calculateur!BL125*Calculateur!BN125*VLOOKUP('Données projet'!$B$11,Paramètres!$A$1:$I$89,3,0)*0.475*44/12</f>
        <v>0.91770047272691224</v>
      </c>
      <c r="BR125" s="23">
        <f>EXP(-LN(2)/2)*BR124+(1-EXP(-LN(2)/2))/(LN(2)/2)*BL125*BO125*VLOOKUP('Données projet'!$B$11,Paramètres!$A$1:$I$89,3,0)*0.475*44/12</f>
        <v>1.7194497616011796E-9</v>
      </c>
      <c r="BS125" s="24">
        <f t="shared" si="63"/>
        <v>9.229099172337877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243.99999999999989</v>
      </c>
      <c r="BZ125" s="14">
        <f>BY125*VLOOKUP('Données projet'!$B$12,Paramètres!$A$1:$I$89,3,0)*VLOOKUP('Données projet'!$B$12,Paramètres!$A$1:$I$89,5,0)</f>
        <v>190.31999999999991</v>
      </c>
      <c r="CA125" s="14">
        <f t="shared" si="93"/>
        <v>47.61069337740188</v>
      </c>
      <c r="CB125" s="22">
        <f t="shared" si="64"/>
        <v>414.39595763230813</v>
      </c>
      <c r="CC125" s="62">
        <f t="shared" si="65"/>
        <v>696.89020351444992</v>
      </c>
      <c r="CD125" s="62">
        <f ca="1">AVERAGE(OFFSET($CC$3,0,0,'Données projet'!$E$12+1,1))-AVERAGE(OFFSET($H$3,0,0,'Données projet'!$E$12+1,1))</f>
        <v>252.45744983674379</v>
      </c>
      <c r="CE125" s="62">
        <f t="shared" si="94"/>
        <v>283.28099819802776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8.3113986978915158</v>
      </c>
      <c r="CL125" s="23">
        <f>EXP(-LN(2)/25)*CL124+(1-EXP(-LN(2)/25))/(LN(2)/25)*Calculateur!CG125*Calculateur!CI125*VLOOKUP('Données projet'!$B$12,Paramètres!$A$1:$I$89,3,0)*0.475*44/12</f>
        <v>0.91770047272691224</v>
      </c>
      <c r="CM125" s="23">
        <f>EXP(-LN(2)/2)*CM124+(1-EXP(-LN(2)/2))/(LN(2)/2)*CG125*CJ125*VLOOKUP('Données projet'!$B$12,Paramètres!$A$1:$I$89,3,0)*0.475*44/12</f>
        <v>1.7194497616011796E-9</v>
      </c>
      <c r="CN125" s="24">
        <f t="shared" si="66"/>
        <v>9.229099172337877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215.46880000000002</v>
      </c>
      <c r="O126" s="14">
        <f>N126*VLOOKUP('Données projet'!$B$9,Paramètres!$A$1:$I$89,3,0)*VLOOKUP('Données projet'!$B$9,Paramètres!$A$1:$I$89,5,0)</f>
        <v>100.83939840000001</v>
      </c>
      <c r="P126" s="14">
        <f t="shared" si="87"/>
        <v>27.161875252139833</v>
      </c>
      <c r="Q126" s="22">
        <f t="shared" si="107"/>
        <v>222.93555161081022</v>
      </c>
      <c r="R126" s="62">
        <f t="shared" si="55"/>
        <v>505.61783142766092</v>
      </c>
      <c r="S126" s="62">
        <f ca="1">AVERAGE(OFFSET($R$3,0,0,'Données projet'!$E$9+1,1))-AVERAGE(OFFSET($H$3,0,0,'Données projet'!$E$9+1,1))</f>
        <v>180.76388336802839</v>
      </c>
      <c r="T126" s="62">
        <f t="shared" si="88"/>
        <v>225.35030757566537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5.9196176740741899</v>
      </c>
      <c r="AA126" s="23">
        <f>EXP(-LN(2)/25)*AA125+(1-EXP(-LN(2)/25))/(LN(2)/25)*Calculateur!V126*Calculateur!X126*VLOOKUP('Données projet'!$B$9,Paramètres!$A$1:$I$89,3,0)*0.475*44/12</f>
        <v>1.7350636967146038</v>
      </c>
      <c r="AB126" s="23">
        <f>EXP(-LN(2)/2)*AB125+(1-EXP(-LN(2)/2))/(LN(2)/2)*V126*Y126*VLOOKUP('Données projet'!$B$9,Paramètres!$A$1:$I$89,3,0)*0.475*44/12</f>
        <v>2.8992000412125254E-9</v>
      </c>
      <c r="AC126" s="24">
        <f t="shared" si="57"/>
        <v>7.6546813736879935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243.99999999999989</v>
      </c>
      <c r="AJ126" s="14">
        <f>AI126*VLOOKUP('Données projet'!$B$10,Paramètres!$A$1:$I$89,3,0)*VLOOKUP('Données projet'!$B$10,Paramètres!$A$1:$I$89,5,0)</f>
        <v>190.31999999999991</v>
      </c>
      <c r="AK126" s="14">
        <f t="shared" si="89"/>
        <v>47.61069337740188</v>
      </c>
      <c r="AL126" s="22">
        <f t="shared" si="58"/>
        <v>414.39595763230813</v>
      </c>
      <c r="AM126" s="62">
        <f t="shared" si="59"/>
        <v>697.07823744915879</v>
      </c>
      <c r="AN126" s="62">
        <f ca="1">AVERAGE(OFFSET($AM$3,0,0,'Données projet'!$E$10+1,1))-AVERAGE(OFFSET($H$3,0,0,'Données projet'!$E$10+1,1))</f>
        <v>252.45744983674379</v>
      </c>
      <c r="AO126" s="62">
        <f t="shared" si="90"/>
        <v>283.28099819802776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8.1484172388785012</v>
      </c>
      <c r="AV126" s="23">
        <f>EXP(-LN(2)/25)*AV125+(1-EXP(-LN(2)/25))/(LN(2)/25)*Calculateur!AQ126*Calculateur!AS126*VLOOKUP('Données projet'!$B$10,Paramètres!$A$1:$I$89,3,0)*0.475*44/12</f>
        <v>0.89260590504042436</v>
      </c>
      <c r="AW126" s="23">
        <f>EXP(-LN(2)/2)*AW125+(1-EXP(-LN(2)/2))/(LN(2)/2)*AQ126*AT126*VLOOKUP('Données projet'!$B$10,Paramètres!$A$1:$I$89,3,0)*0.475*44/12</f>
        <v>1.2158345863377866E-9</v>
      </c>
      <c r="AX126" s="23">
        <f t="shared" si="60"/>
        <v>9.0410231451347602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243.99999999999989</v>
      </c>
      <c r="BE126" s="14">
        <f>BD126*VLOOKUP('Données projet'!$B$11,Paramètres!$A$1:$I$89,3,0)*VLOOKUP('Données projet'!$B$11,Paramètres!$A$1:$I$89,5,0)</f>
        <v>190.31999999999991</v>
      </c>
      <c r="BF126" s="14">
        <f t="shared" si="91"/>
        <v>47.61069337740188</v>
      </c>
      <c r="BG126" s="22">
        <f t="shared" si="61"/>
        <v>414.39595763230813</v>
      </c>
      <c r="BH126" s="62">
        <f t="shared" si="62"/>
        <v>697.07823744915879</v>
      </c>
      <c r="BI126" s="62">
        <f ca="1">AVERAGE(OFFSET($BH$3,0,0,'Données projet'!$E$11+1,1))-AVERAGE(OFFSET($H$3,0,0,'Données projet'!$E$11+1,1))</f>
        <v>252.45744983674379</v>
      </c>
      <c r="BJ126" s="62">
        <f t="shared" si="92"/>
        <v>283.28099819802776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8.1484172388785012</v>
      </c>
      <c r="BQ126" s="23">
        <f>EXP(-LN(2)/25)*BQ125+(1-EXP(-LN(2)/25))/(LN(2)/25)*Calculateur!BL126*Calculateur!BN126*VLOOKUP('Données projet'!$B$11,Paramètres!$A$1:$I$89,3,0)*0.475*44/12</f>
        <v>0.89260590504042436</v>
      </c>
      <c r="BR126" s="23">
        <f>EXP(-LN(2)/2)*BR125+(1-EXP(-LN(2)/2))/(LN(2)/2)*BL126*BO126*VLOOKUP('Données projet'!$B$11,Paramètres!$A$1:$I$89,3,0)*0.475*44/12</f>
        <v>1.2158345863377866E-9</v>
      </c>
      <c r="BS126" s="24">
        <f t="shared" si="63"/>
        <v>9.0410231451347602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243.99999999999989</v>
      </c>
      <c r="BZ126" s="14">
        <f>BY126*VLOOKUP('Données projet'!$B$12,Paramètres!$A$1:$I$89,3,0)*VLOOKUP('Données projet'!$B$12,Paramètres!$A$1:$I$89,5,0)</f>
        <v>190.31999999999991</v>
      </c>
      <c r="CA126" s="14">
        <f t="shared" si="93"/>
        <v>47.61069337740188</v>
      </c>
      <c r="CB126" s="22">
        <f t="shared" si="64"/>
        <v>414.39595763230813</v>
      </c>
      <c r="CC126" s="62">
        <f t="shared" si="65"/>
        <v>697.07823744915879</v>
      </c>
      <c r="CD126" s="62">
        <f ca="1">AVERAGE(OFFSET($CC$3,0,0,'Données projet'!$E$12+1,1))-AVERAGE(OFFSET($H$3,0,0,'Données projet'!$E$12+1,1))</f>
        <v>252.45744983674379</v>
      </c>
      <c r="CE126" s="62">
        <f t="shared" si="94"/>
        <v>283.28099819802776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8.1484172388785012</v>
      </c>
      <c r="CL126" s="23">
        <f>EXP(-LN(2)/25)*CL125+(1-EXP(-LN(2)/25))/(LN(2)/25)*Calculateur!CG126*Calculateur!CI126*VLOOKUP('Données projet'!$B$12,Paramètres!$A$1:$I$89,3,0)*0.475*44/12</f>
        <v>0.89260590504042436</v>
      </c>
      <c r="CM126" s="23">
        <f>EXP(-LN(2)/2)*CM125+(1-EXP(-LN(2)/2))/(LN(2)/2)*CG126*CJ126*VLOOKUP('Données projet'!$B$12,Paramètres!$A$1:$I$89,3,0)*0.475*44/12</f>
        <v>1.2158345863377866E-9</v>
      </c>
      <c r="CN126" s="24">
        <f t="shared" si="66"/>
        <v>9.0410231451347602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215.46880000000002</v>
      </c>
      <c r="O127" s="14">
        <f>N127*VLOOKUP('Données projet'!$B$9,Paramètres!$A$1:$I$89,3,0)*VLOOKUP('Données projet'!$B$9,Paramètres!$A$1:$I$89,5,0)</f>
        <v>100.83939840000001</v>
      </c>
      <c r="P127" s="14">
        <f t="shared" si="87"/>
        <v>27.161875252139833</v>
      </c>
      <c r="Q127" s="22">
        <f t="shared" si="107"/>
        <v>222.93555161081022</v>
      </c>
      <c r="R127" s="62">
        <f t="shared" si="55"/>
        <v>505.80260339398353</v>
      </c>
      <c r="S127" s="62">
        <f ca="1">AVERAGE(OFFSET($R$3,0,0,'Données projet'!$E$9+1,1))-AVERAGE(OFFSET($H$3,0,0,'Données projet'!$E$9+1,1))</f>
        <v>180.76388336802839</v>
      </c>
      <c r="T127" s="62">
        <f t="shared" si="88"/>
        <v>225.35030757566537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5.8035375820958581</v>
      </c>
      <c r="AA127" s="23">
        <f>EXP(-LN(2)/25)*AA126+(1-EXP(-LN(2)/25))/(LN(2)/25)*Calculateur!V127*Calculateur!X127*VLOOKUP('Données projet'!$B$9,Paramètres!$A$1:$I$89,3,0)*0.475*44/12</f>
        <v>1.6876182886849087</v>
      </c>
      <c r="AB127" s="23">
        <f>EXP(-LN(2)/2)*AB126+(1-EXP(-LN(2)/2))/(LN(2)/2)*V127*Y127*VLOOKUP('Données projet'!$B$9,Paramètres!$A$1:$I$89,3,0)*0.475*44/12</f>
        <v>2.0500440091576948E-9</v>
      </c>
      <c r="AC127" s="24">
        <f t="shared" si="57"/>
        <v>7.4911558728308103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243.99999999999989</v>
      </c>
      <c r="AJ127" s="14">
        <f>AI127*VLOOKUP('Données projet'!$B$10,Paramètres!$A$1:$I$89,3,0)*VLOOKUP('Données projet'!$B$10,Paramètres!$A$1:$I$89,5,0)</f>
        <v>190.31999999999991</v>
      </c>
      <c r="AK127" s="14">
        <f t="shared" si="89"/>
        <v>47.61069337740188</v>
      </c>
      <c r="AL127" s="22">
        <f t="shared" si="58"/>
        <v>414.39595763230813</v>
      </c>
      <c r="AM127" s="62">
        <f t="shared" si="59"/>
        <v>697.26300941548152</v>
      </c>
      <c r="AN127" s="62">
        <f ca="1">AVERAGE(OFFSET($AM$3,0,0,'Données projet'!$E$10+1,1))-AVERAGE(OFFSET($H$3,0,0,'Données projet'!$E$10+1,1))</f>
        <v>252.45744983674379</v>
      </c>
      <c r="AO127" s="62">
        <f t="shared" si="90"/>
        <v>283.28099819802776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7.988631746867858</v>
      </c>
      <c r="AV127" s="23">
        <f>EXP(-LN(2)/25)*AV126+(1-EXP(-LN(2)/25))/(LN(2)/25)*Calculateur!AQ127*Calculateur!AS127*VLOOKUP('Données projet'!$B$10,Paramètres!$A$1:$I$89,3,0)*0.475*44/12</f>
        <v>0.86819754962698947</v>
      </c>
      <c r="AW127" s="23">
        <f>EXP(-LN(2)/2)*AW126+(1-EXP(-LN(2)/2))/(LN(2)/2)*AQ127*AT127*VLOOKUP('Données projet'!$B$10,Paramètres!$A$1:$I$89,3,0)*0.475*44/12</f>
        <v>8.5972488080058978E-10</v>
      </c>
      <c r="AX127" s="23">
        <f t="shared" si="60"/>
        <v>8.8568292973545724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243.99999999999989</v>
      </c>
      <c r="BE127" s="14">
        <f>BD127*VLOOKUP('Données projet'!$B$11,Paramètres!$A$1:$I$89,3,0)*VLOOKUP('Données projet'!$B$11,Paramètres!$A$1:$I$89,5,0)</f>
        <v>190.31999999999991</v>
      </c>
      <c r="BF127" s="14">
        <f t="shared" si="91"/>
        <v>47.61069337740188</v>
      </c>
      <c r="BG127" s="22">
        <f t="shared" si="61"/>
        <v>414.39595763230813</v>
      </c>
      <c r="BH127" s="62">
        <f t="shared" si="62"/>
        <v>697.26300941548152</v>
      </c>
      <c r="BI127" s="62">
        <f ca="1">AVERAGE(OFFSET($BH$3,0,0,'Données projet'!$E$11+1,1))-AVERAGE(OFFSET($H$3,0,0,'Données projet'!$E$11+1,1))</f>
        <v>252.45744983674379</v>
      </c>
      <c r="BJ127" s="62">
        <f t="shared" si="92"/>
        <v>283.28099819802776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7.988631746867858</v>
      </c>
      <c r="BQ127" s="23">
        <f>EXP(-LN(2)/25)*BQ126+(1-EXP(-LN(2)/25))/(LN(2)/25)*Calculateur!BL127*Calculateur!BN127*VLOOKUP('Données projet'!$B$11,Paramètres!$A$1:$I$89,3,0)*0.475*44/12</f>
        <v>0.86819754962698947</v>
      </c>
      <c r="BR127" s="23">
        <f>EXP(-LN(2)/2)*BR126+(1-EXP(-LN(2)/2))/(LN(2)/2)*BL127*BO127*VLOOKUP('Données projet'!$B$11,Paramètres!$A$1:$I$89,3,0)*0.475*44/12</f>
        <v>8.5972488080058978E-10</v>
      </c>
      <c r="BS127" s="24">
        <f t="shared" si="63"/>
        <v>8.8568292973545724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243.99999999999989</v>
      </c>
      <c r="BZ127" s="14">
        <f>BY127*VLOOKUP('Données projet'!$B$12,Paramètres!$A$1:$I$89,3,0)*VLOOKUP('Données projet'!$B$12,Paramètres!$A$1:$I$89,5,0)</f>
        <v>190.31999999999991</v>
      </c>
      <c r="CA127" s="14">
        <f t="shared" si="93"/>
        <v>47.61069337740188</v>
      </c>
      <c r="CB127" s="22">
        <f t="shared" si="64"/>
        <v>414.39595763230813</v>
      </c>
      <c r="CC127" s="62">
        <f t="shared" si="65"/>
        <v>697.26300941548152</v>
      </c>
      <c r="CD127" s="62">
        <f ca="1">AVERAGE(OFFSET($CC$3,0,0,'Données projet'!$E$12+1,1))-AVERAGE(OFFSET($H$3,0,0,'Données projet'!$E$12+1,1))</f>
        <v>252.45744983674379</v>
      </c>
      <c r="CE127" s="62">
        <f t="shared" si="94"/>
        <v>283.28099819802776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7.988631746867858</v>
      </c>
      <c r="CL127" s="23">
        <f>EXP(-LN(2)/25)*CL126+(1-EXP(-LN(2)/25))/(LN(2)/25)*Calculateur!CG127*Calculateur!CI127*VLOOKUP('Données projet'!$B$12,Paramètres!$A$1:$I$89,3,0)*0.475*44/12</f>
        <v>0.86819754962698947</v>
      </c>
      <c r="CM127" s="23">
        <f>EXP(-LN(2)/2)*CM126+(1-EXP(-LN(2)/2))/(LN(2)/2)*CG127*CJ127*VLOOKUP('Données projet'!$B$12,Paramètres!$A$1:$I$89,3,0)*0.475*44/12</f>
        <v>8.5972488080058978E-10</v>
      </c>
      <c r="CN127" s="24">
        <f t="shared" si="66"/>
        <v>8.8568292973545724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215.46880000000002</v>
      </c>
      <c r="O128" s="14">
        <f>N128*VLOOKUP('Données projet'!$B$9,Paramètres!$A$1:$I$89,3,0)*VLOOKUP('Données projet'!$B$9,Paramètres!$A$1:$I$89,5,0)</f>
        <v>100.83939840000001</v>
      </c>
      <c r="P128" s="14">
        <f t="shared" si="87"/>
        <v>27.161875252139833</v>
      </c>
      <c r="Q128" s="22">
        <f t="shared" si="107"/>
        <v>222.93555161081022</v>
      </c>
      <c r="R128" s="62">
        <f t="shared" si="55"/>
        <v>505.9841699797787</v>
      </c>
      <c r="S128" s="62">
        <f ca="1">AVERAGE(OFFSET($R$3,0,0,'Données projet'!$E$9+1,1))-AVERAGE(OFFSET($H$3,0,0,'Données projet'!$E$9+1,1))</f>
        <v>180.76388336802839</v>
      </c>
      <c r="T128" s="62">
        <f t="shared" si="88"/>
        <v>225.35030757566537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5.6897337499193563</v>
      </c>
      <c r="AA128" s="23">
        <f>EXP(-LN(2)/25)*AA127+(1-EXP(-LN(2)/25))/(LN(2)/25)*Calculateur!V128*Calculateur!X128*VLOOKUP('Données projet'!$B$9,Paramètres!$A$1:$I$89,3,0)*0.475*44/12</f>
        <v>1.6414702778328312</v>
      </c>
      <c r="AB128" s="23">
        <f>EXP(-LN(2)/2)*AB127+(1-EXP(-LN(2)/2))/(LN(2)/2)*V128*Y128*VLOOKUP('Données projet'!$B$9,Paramètres!$A$1:$I$89,3,0)*0.475*44/12</f>
        <v>1.4496000206062627E-9</v>
      </c>
      <c r="AC128" s="24">
        <f t="shared" si="57"/>
        <v>7.3312040292017882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243.99999999999989</v>
      </c>
      <c r="AJ128" s="14">
        <f>AI128*VLOOKUP('Données projet'!$B$10,Paramètres!$A$1:$I$89,3,0)*VLOOKUP('Données projet'!$B$10,Paramètres!$A$1:$I$89,5,0)</f>
        <v>190.31999999999991</v>
      </c>
      <c r="AK128" s="14">
        <f t="shared" si="89"/>
        <v>47.61069337740188</v>
      </c>
      <c r="AL128" s="22">
        <f t="shared" si="58"/>
        <v>414.39595763230813</v>
      </c>
      <c r="AM128" s="62">
        <f t="shared" si="59"/>
        <v>697.44457600127657</v>
      </c>
      <c r="AN128" s="62">
        <f ca="1">AVERAGE(OFFSET($AM$3,0,0,'Données projet'!$E$10+1,1))-AVERAGE(OFFSET($H$3,0,0,'Données projet'!$E$10+1,1))</f>
        <v>252.45744983674379</v>
      </c>
      <c r="AO128" s="62">
        <f t="shared" si="90"/>
        <v>283.28099819802776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7.8319795508960173</v>
      </c>
      <c r="AV128" s="23">
        <f>EXP(-LN(2)/25)*AV127+(1-EXP(-LN(2)/25))/(LN(2)/25)*Calculateur!AQ128*Calculateur!AS128*VLOOKUP('Données projet'!$B$10,Paramètres!$A$1:$I$89,3,0)*0.475*44/12</f>
        <v>0.84445664197591463</v>
      </c>
      <c r="AW128" s="23">
        <f>EXP(-LN(2)/2)*AW127+(1-EXP(-LN(2)/2))/(LN(2)/2)*AQ128*AT128*VLOOKUP('Données projet'!$B$10,Paramètres!$A$1:$I$89,3,0)*0.475*44/12</f>
        <v>6.0791729316889329E-10</v>
      </c>
      <c r="AX128" s="23">
        <f t="shared" si="60"/>
        <v>8.6764361934798497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243.99999999999989</v>
      </c>
      <c r="BE128" s="14">
        <f>BD128*VLOOKUP('Données projet'!$B$11,Paramètres!$A$1:$I$89,3,0)*VLOOKUP('Données projet'!$B$11,Paramètres!$A$1:$I$89,5,0)</f>
        <v>190.31999999999991</v>
      </c>
      <c r="BF128" s="14">
        <f t="shared" si="91"/>
        <v>47.61069337740188</v>
      </c>
      <c r="BG128" s="22">
        <f t="shared" si="61"/>
        <v>414.39595763230813</v>
      </c>
      <c r="BH128" s="62">
        <f t="shared" si="62"/>
        <v>697.44457600127657</v>
      </c>
      <c r="BI128" s="62">
        <f ca="1">AVERAGE(OFFSET($BH$3,0,0,'Données projet'!$E$11+1,1))-AVERAGE(OFFSET($H$3,0,0,'Données projet'!$E$11+1,1))</f>
        <v>252.45744983674379</v>
      </c>
      <c r="BJ128" s="62">
        <f t="shared" si="92"/>
        <v>283.28099819802776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7.8319795508960173</v>
      </c>
      <c r="BQ128" s="23">
        <f>EXP(-LN(2)/25)*BQ127+(1-EXP(-LN(2)/25))/(LN(2)/25)*Calculateur!BL128*Calculateur!BN128*VLOOKUP('Données projet'!$B$11,Paramètres!$A$1:$I$89,3,0)*0.475*44/12</f>
        <v>0.84445664197591463</v>
      </c>
      <c r="BR128" s="23">
        <f>EXP(-LN(2)/2)*BR127+(1-EXP(-LN(2)/2))/(LN(2)/2)*BL128*BO128*VLOOKUP('Données projet'!$B$11,Paramètres!$A$1:$I$89,3,0)*0.475*44/12</f>
        <v>6.0791729316889329E-10</v>
      </c>
      <c r="BS128" s="24">
        <f t="shared" si="63"/>
        <v>8.6764361934798497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243.99999999999989</v>
      </c>
      <c r="BZ128" s="14">
        <f>BY128*VLOOKUP('Données projet'!$B$12,Paramètres!$A$1:$I$89,3,0)*VLOOKUP('Données projet'!$B$12,Paramètres!$A$1:$I$89,5,0)</f>
        <v>190.31999999999991</v>
      </c>
      <c r="CA128" s="14">
        <f t="shared" si="93"/>
        <v>47.61069337740188</v>
      </c>
      <c r="CB128" s="22">
        <f t="shared" si="64"/>
        <v>414.39595763230813</v>
      </c>
      <c r="CC128" s="62">
        <f t="shared" si="65"/>
        <v>697.44457600127657</v>
      </c>
      <c r="CD128" s="62">
        <f ca="1">AVERAGE(OFFSET($CC$3,0,0,'Données projet'!$E$12+1,1))-AVERAGE(OFFSET($H$3,0,0,'Données projet'!$E$12+1,1))</f>
        <v>252.45744983674379</v>
      </c>
      <c r="CE128" s="62">
        <f t="shared" si="94"/>
        <v>283.28099819802776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7.8319795508960173</v>
      </c>
      <c r="CL128" s="23">
        <f>EXP(-LN(2)/25)*CL127+(1-EXP(-LN(2)/25))/(LN(2)/25)*Calculateur!CG128*Calculateur!CI128*VLOOKUP('Données projet'!$B$12,Paramètres!$A$1:$I$89,3,0)*0.475*44/12</f>
        <v>0.84445664197591463</v>
      </c>
      <c r="CM128" s="23">
        <f>EXP(-LN(2)/2)*CM127+(1-EXP(-LN(2)/2))/(LN(2)/2)*CG128*CJ128*VLOOKUP('Données projet'!$B$12,Paramètres!$A$1:$I$89,3,0)*0.475*44/12</f>
        <v>6.0791729316889329E-10</v>
      </c>
      <c r="CN128" s="24">
        <f t="shared" si="66"/>
        <v>8.6764361934798497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215.46880000000002</v>
      </c>
      <c r="O129" s="14">
        <f>N129*VLOOKUP('Données projet'!$B$9,Paramètres!$A$1:$I$89,3,0)*VLOOKUP('Données projet'!$B$9,Paramètres!$A$1:$I$89,5,0)</f>
        <v>100.83939840000001</v>
      </c>
      <c r="P129" s="14">
        <f t="shared" si="87"/>
        <v>27.161875252139833</v>
      </c>
      <c r="Q129" s="22">
        <f t="shared" si="107"/>
        <v>222.93555161081022</v>
      </c>
      <c r="R129" s="62">
        <f t="shared" si="55"/>
        <v>506.16258679123246</v>
      </c>
      <c r="S129" s="62">
        <f ca="1">AVERAGE(OFFSET($R$3,0,0,'Données projet'!$E$9+1,1))-AVERAGE(OFFSET($H$3,0,0,'Données projet'!$E$9+1,1))</f>
        <v>180.76388336802839</v>
      </c>
      <c r="T129" s="62">
        <f t="shared" si="88"/>
        <v>225.35030757566537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5.5781615414783525</v>
      </c>
      <c r="AA129" s="23">
        <f>EXP(-LN(2)/25)*AA128+(1-EXP(-LN(2)/25))/(LN(2)/25)*Calculateur!V129*Calculateur!X129*VLOOKUP('Données projet'!$B$9,Paramètres!$A$1:$I$89,3,0)*0.475*44/12</f>
        <v>1.5965841867643222</v>
      </c>
      <c r="AB129" s="23">
        <f>EXP(-LN(2)/2)*AB128+(1-EXP(-LN(2)/2))/(LN(2)/2)*V129*Y129*VLOOKUP('Données projet'!$B$9,Paramètres!$A$1:$I$89,3,0)*0.475*44/12</f>
        <v>1.0250220045788474E-9</v>
      </c>
      <c r="AC129" s="24">
        <f t="shared" si="57"/>
        <v>7.1747457292676966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243.99999999999989</v>
      </c>
      <c r="AJ129" s="14">
        <f>AI129*VLOOKUP('Données projet'!$B$10,Paramètres!$A$1:$I$89,3,0)*VLOOKUP('Données projet'!$B$10,Paramètres!$A$1:$I$89,5,0)</f>
        <v>190.31999999999991</v>
      </c>
      <c r="AK129" s="14">
        <f t="shared" si="89"/>
        <v>47.61069337740188</v>
      </c>
      <c r="AL129" s="22">
        <f t="shared" si="58"/>
        <v>414.39595763230813</v>
      </c>
      <c r="AM129" s="62">
        <f t="shared" si="59"/>
        <v>697.62299281273033</v>
      </c>
      <c r="AN129" s="62">
        <f ca="1">AVERAGE(OFFSET($AM$3,0,0,'Données projet'!$E$10+1,1))-AVERAGE(OFFSET($H$3,0,0,'Données projet'!$E$10+1,1))</f>
        <v>252.45744983674379</v>
      </c>
      <c r="AO129" s="62">
        <f t="shared" si="90"/>
        <v>283.28099819802776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7.6783992089387789</v>
      </c>
      <c r="AV129" s="23">
        <f>EXP(-LN(2)/25)*AV128+(1-EXP(-LN(2)/25))/(LN(2)/25)*Calculateur!AQ129*Calculateur!AS129*VLOOKUP('Données projet'!$B$10,Paramètres!$A$1:$I$89,3,0)*0.475*44/12</f>
        <v>0.82136493069303851</v>
      </c>
      <c r="AW129" s="23">
        <f>EXP(-LN(2)/2)*AW128+(1-EXP(-LN(2)/2))/(LN(2)/2)*AQ129*AT129*VLOOKUP('Données projet'!$B$10,Paramètres!$A$1:$I$89,3,0)*0.475*44/12</f>
        <v>4.2986244040029489E-10</v>
      </c>
      <c r="AX129" s="23">
        <f t="shared" si="60"/>
        <v>8.4997641400616804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243.99999999999989</v>
      </c>
      <c r="BE129" s="14">
        <f>BD129*VLOOKUP('Données projet'!$B$11,Paramètres!$A$1:$I$89,3,0)*VLOOKUP('Données projet'!$B$11,Paramètres!$A$1:$I$89,5,0)</f>
        <v>190.31999999999991</v>
      </c>
      <c r="BF129" s="14">
        <f t="shared" si="91"/>
        <v>47.61069337740188</v>
      </c>
      <c r="BG129" s="22">
        <f t="shared" si="61"/>
        <v>414.39595763230813</v>
      </c>
      <c r="BH129" s="62">
        <f t="shared" si="62"/>
        <v>697.62299281273033</v>
      </c>
      <c r="BI129" s="62">
        <f ca="1">AVERAGE(OFFSET($BH$3,0,0,'Données projet'!$E$11+1,1))-AVERAGE(OFFSET($H$3,0,0,'Données projet'!$E$11+1,1))</f>
        <v>252.45744983674379</v>
      </c>
      <c r="BJ129" s="62">
        <f t="shared" si="92"/>
        <v>283.28099819802776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7.6783992089387789</v>
      </c>
      <c r="BQ129" s="23">
        <f>EXP(-LN(2)/25)*BQ128+(1-EXP(-LN(2)/25))/(LN(2)/25)*Calculateur!BL129*Calculateur!BN129*VLOOKUP('Données projet'!$B$11,Paramètres!$A$1:$I$89,3,0)*0.475*44/12</f>
        <v>0.82136493069303851</v>
      </c>
      <c r="BR129" s="23">
        <f>EXP(-LN(2)/2)*BR128+(1-EXP(-LN(2)/2))/(LN(2)/2)*BL129*BO129*VLOOKUP('Données projet'!$B$11,Paramètres!$A$1:$I$89,3,0)*0.475*44/12</f>
        <v>4.2986244040029489E-10</v>
      </c>
      <c r="BS129" s="24">
        <f t="shared" si="63"/>
        <v>8.4997641400616804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243.99999999999989</v>
      </c>
      <c r="BZ129" s="14">
        <f>BY129*VLOOKUP('Données projet'!$B$12,Paramètres!$A$1:$I$89,3,0)*VLOOKUP('Données projet'!$B$12,Paramètres!$A$1:$I$89,5,0)</f>
        <v>190.31999999999991</v>
      </c>
      <c r="CA129" s="14">
        <f t="shared" si="93"/>
        <v>47.61069337740188</v>
      </c>
      <c r="CB129" s="22">
        <f t="shared" si="64"/>
        <v>414.39595763230813</v>
      </c>
      <c r="CC129" s="62">
        <f t="shared" si="65"/>
        <v>697.62299281273033</v>
      </c>
      <c r="CD129" s="62">
        <f ca="1">AVERAGE(OFFSET($CC$3,0,0,'Données projet'!$E$12+1,1))-AVERAGE(OFFSET($H$3,0,0,'Données projet'!$E$12+1,1))</f>
        <v>252.45744983674379</v>
      </c>
      <c r="CE129" s="62">
        <f t="shared" si="94"/>
        <v>283.28099819802776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7.6783992089387789</v>
      </c>
      <c r="CL129" s="23">
        <f>EXP(-LN(2)/25)*CL128+(1-EXP(-LN(2)/25))/(LN(2)/25)*Calculateur!CG129*Calculateur!CI129*VLOOKUP('Données projet'!$B$12,Paramètres!$A$1:$I$89,3,0)*0.475*44/12</f>
        <v>0.82136493069303851</v>
      </c>
      <c r="CM129" s="23">
        <f>EXP(-LN(2)/2)*CM128+(1-EXP(-LN(2)/2))/(LN(2)/2)*CG129*CJ129*VLOOKUP('Données projet'!$B$12,Paramètres!$A$1:$I$89,3,0)*0.475*44/12</f>
        <v>4.2986244040029489E-10</v>
      </c>
      <c r="CN129" s="24">
        <f t="shared" si="66"/>
        <v>8.4997641400616804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215.46880000000002</v>
      </c>
      <c r="O130" s="14">
        <f>N130*VLOOKUP('Données projet'!$B$9,Paramètres!$A$1:$I$89,3,0)*VLOOKUP('Données projet'!$B$9,Paramètres!$A$1:$I$89,5,0)</f>
        <v>100.83939840000001</v>
      </c>
      <c r="P130" s="14">
        <f t="shared" si="87"/>
        <v>27.161875252139833</v>
      </c>
      <c r="Q130" s="22">
        <f t="shared" si="107"/>
        <v>222.93555161081022</v>
      </c>
      <c r="R130" s="62">
        <f t="shared" si="55"/>
        <v>506.33790846988768</v>
      </c>
      <c r="S130" s="62">
        <f ca="1">AVERAGE(OFFSET($R$3,0,0,'Données projet'!$E$9+1,1))-AVERAGE(OFFSET($H$3,0,0,'Données projet'!$E$9+1,1))</f>
        <v>180.76388336802839</v>
      </c>
      <c r="T130" s="62">
        <f t="shared" si="88"/>
        <v>225.35030757566537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5.4687771959925486</v>
      </c>
      <c r="AA130" s="23">
        <f>EXP(-LN(2)/25)*AA129+(1-EXP(-LN(2)/25))/(LN(2)/25)*Calculateur!V130*Calculateur!X130*VLOOKUP('Données projet'!$B$9,Paramètres!$A$1:$I$89,3,0)*0.475*44/12</f>
        <v>1.5529255082165385</v>
      </c>
      <c r="AB130" s="23">
        <f>EXP(-LN(2)/2)*AB129+(1-EXP(-LN(2)/2))/(LN(2)/2)*V130*Y130*VLOOKUP('Données projet'!$B$9,Paramètres!$A$1:$I$89,3,0)*0.475*44/12</f>
        <v>7.2480001030313136E-10</v>
      </c>
      <c r="AC130" s="24">
        <f t="shared" si="57"/>
        <v>7.0217027049338867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243.99999999999989</v>
      </c>
      <c r="AJ130" s="14">
        <f>AI130*VLOOKUP('Données projet'!$B$10,Paramètres!$A$1:$I$89,3,0)*VLOOKUP('Données projet'!$B$10,Paramètres!$A$1:$I$89,5,0)</f>
        <v>190.31999999999991</v>
      </c>
      <c r="AK130" s="14">
        <f t="shared" si="89"/>
        <v>47.61069337740188</v>
      </c>
      <c r="AL130" s="22">
        <f t="shared" si="58"/>
        <v>414.39595763230813</v>
      </c>
      <c r="AM130" s="62">
        <f t="shared" si="59"/>
        <v>697.79831449138555</v>
      </c>
      <c r="AN130" s="62">
        <f ca="1">AVERAGE(OFFSET($AM$3,0,0,'Données projet'!$E$10+1,1))-AVERAGE(OFFSET($H$3,0,0,'Données projet'!$E$10+1,1))</f>
        <v>252.45744983674379</v>
      </c>
      <c r="AO130" s="62">
        <f t="shared" si="90"/>
        <v>283.28099819802776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7.5278304838125631</v>
      </c>
      <c r="AV130" s="23">
        <f>EXP(-LN(2)/25)*AV129+(1-EXP(-LN(2)/25))/(LN(2)/25)*Calculateur!AQ130*Calculateur!AS130*VLOOKUP('Données projet'!$B$10,Paramètres!$A$1:$I$89,3,0)*0.475*44/12</f>
        <v>0.79890466346953293</v>
      </c>
      <c r="AW130" s="23">
        <f>EXP(-LN(2)/2)*AW129+(1-EXP(-LN(2)/2))/(LN(2)/2)*AQ130*AT130*VLOOKUP('Données projet'!$B$10,Paramètres!$A$1:$I$89,3,0)*0.475*44/12</f>
        <v>3.0395864658444664E-10</v>
      </c>
      <c r="AX130" s="23">
        <f t="shared" si="60"/>
        <v>8.3267351475860565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243.99999999999989</v>
      </c>
      <c r="BE130" s="14">
        <f>BD130*VLOOKUP('Données projet'!$B$11,Paramètres!$A$1:$I$89,3,0)*VLOOKUP('Données projet'!$B$11,Paramètres!$A$1:$I$89,5,0)</f>
        <v>190.31999999999991</v>
      </c>
      <c r="BF130" s="14">
        <f t="shared" si="91"/>
        <v>47.61069337740188</v>
      </c>
      <c r="BG130" s="22">
        <f t="shared" si="61"/>
        <v>414.39595763230813</v>
      </c>
      <c r="BH130" s="62">
        <f t="shared" si="62"/>
        <v>697.79831449138555</v>
      </c>
      <c r="BI130" s="62">
        <f ca="1">AVERAGE(OFFSET($BH$3,0,0,'Données projet'!$E$11+1,1))-AVERAGE(OFFSET($H$3,0,0,'Données projet'!$E$11+1,1))</f>
        <v>252.45744983674379</v>
      </c>
      <c r="BJ130" s="62">
        <f t="shared" si="92"/>
        <v>283.28099819802776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7.5278304838125631</v>
      </c>
      <c r="BQ130" s="23">
        <f>EXP(-LN(2)/25)*BQ129+(1-EXP(-LN(2)/25))/(LN(2)/25)*Calculateur!BL130*Calculateur!BN130*VLOOKUP('Données projet'!$B$11,Paramètres!$A$1:$I$89,3,0)*0.475*44/12</f>
        <v>0.79890466346953293</v>
      </c>
      <c r="BR130" s="23">
        <f>EXP(-LN(2)/2)*BR129+(1-EXP(-LN(2)/2))/(LN(2)/2)*BL130*BO130*VLOOKUP('Données projet'!$B$11,Paramètres!$A$1:$I$89,3,0)*0.475*44/12</f>
        <v>3.0395864658444664E-10</v>
      </c>
      <c r="BS130" s="24">
        <f t="shared" si="63"/>
        <v>8.3267351475860565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243.99999999999989</v>
      </c>
      <c r="BZ130" s="14">
        <f>BY130*VLOOKUP('Données projet'!$B$12,Paramètres!$A$1:$I$89,3,0)*VLOOKUP('Données projet'!$B$12,Paramètres!$A$1:$I$89,5,0)</f>
        <v>190.31999999999991</v>
      </c>
      <c r="CA130" s="14">
        <f t="shared" si="93"/>
        <v>47.61069337740188</v>
      </c>
      <c r="CB130" s="22">
        <f t="shared" si="64"/>
        <v>414.39595763230813</v>
      </c>
      <c r="CC130" s="62">
        <f t="shared" si="65"/>
        <v>697.79831449138555</v>
      </c>
      <c r="CD130" s="62">
        <f ca="1">AVERAGE(OFFSET($CC$3,0,0,'Données projet'!$E$12+1,1))-AVERAGE(OFFSET($H$3,0,0,'Données projet'!$E$12+1,1))</f>
        <v>252.45744983674379</v>
      </c>
      <c r="CE130" s="62">
        <f t="shared" si="94"/>
        <v>283.28099819802776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7.5278304838125631</v>
      </c>
      <c r="CL130" s="23">
        <f>EXP(-LN(2)/25)*CL129+(1-EXP(-LN(2)/25))/(LN(2)/25)*Calculateur!CG130*Calculateur!CI130*VLOOKUP('Données projet'!$B$12,Paramètres!$A$1:$I$89,3,0)*0.475*44/12</f>
        <v>0.79890466346953293</v>
      </c>
      <c r="CM130" s="23">
        <f>EXP(-LN(2)/2)*CM129+(1-EXP(-LN(2)/2))/(LN(2)/2)*CG130*CJ130*VLOOKUP('Données projet'!$B$12,Paramètres!$A$1:$I$89,3,0)*0.475*44/12</f>
        <v>3.0395864658444664E-10</v>
      </c>
      <c r="CN130" s="24">
        <f t="shared" si="66"/>
        <v>8.3267351475860565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215.46880000000002</v>
      </c>
      <c r="O131" s="14">
        <f>N131*VLOOKUP('Données projet'!$B$9,Paramètres!$A$1:$I$89,3,0)*VLOOKUP('Données projet'!$B$9,Paramètres!$A$1:$I$89,5,0)</f>
        <v>100.83939840000001</v>
      </c>
      <c r="P131" s="14">
        <f t="shared" si="87"/>
        <v>27.161875252139833</v>
      </c>
      <c r="Q131" s="22">
        <f t="shared" ref="Q131:Q153" si="108">(O131+P131)*0.475*44/12</f>
        <v>222.93555161081022</v>
      </c>
      <c r="R131" s="62">
        <f t="shared" ref="R131:R194" si="109">Q131+(I131+J131)*44/12</f>
        <v>506.51018870937878</v>
      </c>
      <c r="S131" s="62">
        <f ca="1">AVERAGE(OFFSET($R$3,0,0,'Données projet'!$E$9+1,1))-AVERAGE(OFFSET($H$3,0,0,'Données projet'!$E$9+1,1))</f>
        <v>180.76388336802839</v>
      </c>
      <c r="T131" s="62">
        <f t="shared" si="88"/>
        <v>225.35030757566537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5.3615378108038589</v>
      </c>
      <c r="AA131" s="23">
        <f>EXP(-LN(2)/25)*AA130+(1-EXP(-LN(2)/25))/(LN(2)/25)*Calculateur!V131*Calculateur!X131*VLOOKUP('Données projet'!$B$9,Paramètres!$A$1:$I$89,3,0)*0.475*44/12</f>
        <v>1.510460678529554</v>
      </c>
      <c r="AB131" s="23">
        <f>EXP(-LN(2)/2)*AB130+(1-EXP(-LN(2)/2))/(LN(2)/2)*V131*Y131*VLOOKUP('Données projet'!$B$9,Paramètres!$A$1:$I$89,3,0)*0.475*44/12</f>
        <v>5.1251100228942369E-10</v>
      </c>
      <c r="AC131" s="24">
        <f t="shared" si="57"/>
        <v>6.8719984898459234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243.99999999999989</v>
      </c>
      <c r="AJ131" s="14">
        <f>AI131*VLOOKUP('Données projet'!$B$10,Paramètres!$A$1:$I$89,3,0)*VLOOKUP('Données projet'!$B$10,Paramètres!$A$1:$I$89,5,0)</f>
        <v>190.31999999999991</v>
      </c>
      <c r="AK131" s="14">
        <f t="shared" si="89"/>
        <v>47.61069337740188</v>
      </c>
      <c r="AL131" s="22">
        <f t="shared" si="58"/>
        <v>414.39595763230813</v>
      </c>
      <c r="AM131" s="62">
        <f t="shared" si="59"/>
        <v>697.97059473087666</v>
      </c>
      <c r="AN131" s="62">
        <f ca="1">AVERAGE(OFFSET($AM$3,0,0,'Données projet'!$E$10+1,1))-AVERAGE(OFFSET($H$3,0,0,'Données projet'!$E$10+1,1))</f>
        <v>252.45744983674379</v>
      </c>
      <c r="AO131" s="62">
        <f t="shared" si="90"/>
        <v>283.28099819802776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7.3802143195482186</v>
      </c>
      <c r="AV131" s="23">
        <f>EXP(-LN(2)/25)*AV130+(1-EXP(-LN(2)/25))/(LN(2)/25)*Calculateur!AQ131*Calculateur!AS131*VLOOKUP('Données projet'!$B$10,Paramètres!$A$1:$I$89,3,0)*0.475*44/12</f>
        <v>0.77705857343438822</v>
      </c>
      <c r="AW131" s="23">
        <f>EXP(-LN(2)/2)*AW130+(1-EXP(-LN(2)/2))/(LN(2)/2)*AQ131*AT131*VLOOKUP('Données projet'!$B$10,Paramètres!$A$1:$I$89,3,0)*0.475*44/12</f>
        <v>2.1493122020014745E-10</v>
      </c>
      <c r="AX131" s="23">
        <f t="shared" si="60"/>
        <v>8.1572728931975398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243.99999999999989</v>
      </c>
      <c r="BE131" s="14">
        <f>BD131*VLOOKUP('Données projet'!$B$11,Paramètres!$A$1:$I$89,3,0)*VLOOKUP('Données projet'!$B$11,Paramètres!$A$1:$I$89,5,0)</f>
        <v>190.31999999999991</v>
      </c>
      <c r="BF131" s="14">
        <f t="shared" si="91"/>
        <v>47.61069337740188</v>
      </c>
      <c r="BG131" s="22">
        <f t="shared" si="61"/>
        <v>414.39595763230813</v>
      </c>
      <c r="BH131" s="62">
        <f t="shared" si="62"/>
        <v>697.97059473087666</v>
      </c>
      <c r="BI131" s="62">
        <f ca="1">AVERAGE(OFFSET($BH$3,0,0,'Données projet'!$E$11+1,1))-AVERAGE(OFFSET($H$3,0,0,'Données projet'!$E$11+1,1))</f>
        <v>252.45744983674379</v>
      </c>
      <c r="BJ131" s="62">
        <f t="shared" si="92"/>
        <v>283.28099819802776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7.3802143195482186</v>
      </c>
      <c r="BQ131" s="23">
        <f>EXP(-LN(2)/25)*BQ130+(1-EXP(-LN(2)/25))/(LN(2)/25)*Calculateur!BL131*Calculateur!BN131*VLOOKUP('Données projet'!$B$11,Paramètres!$A$1:$I$89,3,0)*0.475*44/12</f>
        <v>0.77705857343438822</v>
      </c>
      <c r="BR131" s="23">
        <f>EXP(-LN(2)/2)*BR130+(1-EXP(-LN(2)/2))/(LN(2)/2)*BL131*BO131*VLOOKUP('Données projet'!$B$11,Paramètres!$A$1:$I$89,3,0)*0.475*44/12</f>
        <v>2.1493122020014745E-10</v>
      </c>
      <c r="BS131" s="24">
        <f t="shared" si="63"/>
        <v>8.1572728931975398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243.99999999999989</v>
      </c>
      <c r="BZ131" s="14">
        <f>BY131*VLOOKUP('Données projet'!$B$12,Paramètres!$A$1:$I$89,3,0)*VLOOKUP('Données projet'!$B$12,Paramètres!$A$1:$I$89,5,0)</f>
        <v>190.31999999999991</v>
      </c>
      <c r="CA131" s="14">
        <f t="shared" si="93"/>
        <v>47.61069337740188</v>
      </c>
      <c r="CB131" s="22">
        <f t="shared" si="64"/>
        <v>414.39595763230813</v>
      </c>
      <c r="CC131" s="62">
        <f t="shared" si="65"/>
        <v>697.97059473087666</v>
      </c>
      <c r="CD131" s="62">
        <f ca="1">AVERAGE(OFFSET($CC$3,0,0,'Données projet'!$E$12+1,1))-AVERAGE(OFFSET($H$3,0,0,'Données projet'!$E$12+1,1))</f>
        <v>252.45744983674379</v>
      </c>
      <c r="CE131" s="62">
        <f t="shared" si="94"/>
        <v>283.28099819802776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7.3802143195482186</v>
      </c>
      <c r="CL131" s="23">
        <f>EXP(-LN(2)/25)*CL130+(1-EXP(-LN(2)/25))/(LN(2)/25)*Calculateur!CG131*Calculateur!CI131*VLOOKUP('Données projet'!$B$12,Paramètres!$A$1:$I$89,3,0)*0.475*44/12</f>
        <v>0.77705857343438822</v>
      </c>
      <c r="CM131" s="23">
        <f>EXP(-LN(2)/2)*CM130+(1-EXP(-LN(2)/2))/(LN(2)/2)*CG131*CJ131*VLOOKUP('Données projet'!$B$12,Paramètres!$A$1:$I$89,3,0)*0.475*44/12</f>
        <v>2.1493122020014745E-10</v>
      </c>
      <c r="CN131" s="24">
        <f t="shared" si="66"/>
        <v>8.1572728931975398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215.46880000000002</v>
      </c>
      <c r="O132" s="14">
        <f>N132*VLOOKUP('Données projet'!$B$9,Paramètres!$A$1:$I$89,3,0)*VLOOKUP('Données projet'!$B$9,Paramètres!$A$1:$I$89,5,0)</f>
        <v>100.83939840000001</v>
      </c>
      <c r="P132" s="14">
        <f t="shared" si="87"/>
        <v>27.161875252139833</v>
      </c>
      <c r="Q132" s="22">
        <f t="shared" si="108"/>
        <v>222.93555161081022</v>
      </c>
      <c r="R132" s="62">
        <f t="shared" si="109"/>
        <v>506.6794802718756</v>
      </c>
      <c r="S132" s="62">
        <f ca="1">AVERAGE(OFFSET($R$3,0,0,'Données projet'!$E$9+1,1))-AVERAGE(OFFSET($H$3,0,0,'Données projet'!$E$9+1,1))</f>
        <v>180.76388336802839</v>
      </c>
      <c r="T132" s="62">
        <f t="shared" si="88"/>
        <v>225.35030757566537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5.2564013245491532</v>
      </c>
      <c r="AA132" s="23">
        <f>EXP(-LN(2)/25)*AA131+(1-EXP(-LN(2)/25))/(LN(2)/25)*Calculateur!V132*Calculateur!X132*VLOOKUP('Données projet'!$B$9,Paramètres!$A$1:$I$89,3,0)*0.475*44/12</f>
        <v>1.4691570518434884</v>
      </c>
      <c r="AB132" s="23">
        <f>EXP(-LN(2)/2)*AB131+(1-EXP(-LN(2)/2))/(LN(2)/2)*V132*Y132*VLOOKUP('Données projet'!$B$9,Paramètres!$A$1:$I$89,3,0)*0.475*44/12</f>
        <v>3.6240000515156568E-10</v>
      </c>
      <c r="AC132" s="24">
        <f t="shared" ref="AC132:AC153" si="111">SUM(Z132:AB132)</f>
        <v>6.7255583767550418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243.99999999999989</v>
      </c>
      <c r="AJ132" s="14">
        <f>AI132*VLOOKUP('Données projet'!$B$10,Paramètres!$A$1:$I$89,3,0)*VLOOKUP('Données projet'!$B$10,Paramètres!$A$1:$I$89,5,0)</f>
        <v>190.31999999999991</v>
      </c>
      <c r="AK132" s="14">
        <f t="shared" si="89"/>
        <v>47.61069337740188</v>
      </c>
      <c r="AL132" s="22">
        <f t="shared" ref="AL132:AL153" si="112">(AJ132+AK132)*0.475*44/12</f>
        <v>414.39595763230813</v>
      </c>
      <c r="AM132" s="62">
        <f t="shared" ref="AM132:AM195" si="113">AL132+(AD132+AE132)*44/12</f>
        <v>698.13988629337348</v>
      </c>
      <c r="AN132" s="62">
        <f ca="1">AVERAGE(OFFSET($AM$3,0,0,'Données projet'!$E$10+1,1))-AVERAGE(OFFSET($H$3,0,0,'Données projet'!$E$10+1,1))</f>
        <v>252.45744983674379</v>
      </c>
      <c r="AO132" s="62">
        <f t="shared" si="90"/>
        <v>283.28099819802776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7.2354928182281277</v>
      </c>
      <c r="AV132" s="23">
        <f>EXP(-LN(2)/25)*AV131+(1-EXP(-LN(2)/25))/(LN(2)/25)*Calculateur!AQ132*Calculateur!AS132*VLOOKUP('Données projet'!$B$10,Paramètres!$A$1:$I$89,3,0)*0.475*44/12</f>
        <v>0.75580986588009047</v>
      </c>
      <c r="AW132" s="23">
        <f>EXP(-LN(2)/2)*AW131+(1-EXP(-LN(2)/2))/(LN(2)/2)*AQ132*AT132*VLOOKUP('Données projet'!$B$10,Paramètres!$A$1:$I$89,3,0)*0.475*44/12</f>
        <v>1.5197932329222332E-10</v>
      </c>
      <c r="AX132" s="23">
        <f t="shared" ref="AX132:AX153" si="114">SUM(AU132:AW132)</f>
        <v>7.991302684260198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243.99999999999989</v>
      </c>
      <c r="BE132" s="14">
        <f>BD132*VLOOKUP('Données projet'!$B$11,Paramètres!$A$1:$I$89,3,0)*VLOOKUP('Données projet'!$B$11,Paramètres!$A$1:$I$89,5,0)</f>
        <v>190.31999999999991</v>
      </c>
      <c r="BF132" s="14">
        <f t="shared" si="91"/>
        <v>47.61069337740188</v>
      </c>
      <c r="BG132" s="22">
        <f t="shared" ref="BG132:BG153" si="115">(BE132+BF132)*0.475*44/12</f>
        <v>414.39595763230813</v>
      </c>
      <c r="BH132" s="62">
        <f t="shared" ref="BH132:BH195" si="116">BG132+(AY132+AZ132)*44/12</f>
        <v>698.13988629337348</v>
      </c>
      <c r="BI132" s="62">
        <f ca="1">AVERAGE(OFFSET($BH$3,0,0,'Données projet'!$E$11+1,1))-AVERAGE(OFFSET($H$3,0,0,'Données projet'!$E$11+1,1))</f>
        <v>252.45744983674379</v>
      </c>
      <c r="BJ132" s="62">
        <f t="shared" si="92"/>
        <v>283.28099819802776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7.2354928182281277</v>
      </c>
      <c r="BQ132" s="23">
        <f>EXP(-LN(2)/25)*BQ131+(1-EXP(-LN(2)/25))/(LN(2)/25)*Calculateur!BL132*Calculateur!BN132*VLOOKUP('Données projet'!$B$11,Paramètres!$A$1:$I$89,3,0)*0.475*44/12</f>
        <v>0.75580986588009047</v>
      </c>
      <c r="BR132" s="23">
        <f>EXP(-LN(2)/2)*BR131+(1-EXP(-LN(2)/2))/(LN(2)/2)*BL132*BO132*VLOOKUP('Données projet'!$B$11,Paramètres!$A$1:$I$89,3,0)*0.475*44/12</f>
        <v>1.5197932329222332E-10</v>
      </c>
      <c r="BS132" s="24">
        <f t="shared" ref="BS132:BS153" si="117">SUM(BP132:BR132)</f>
        <v>7.991302684260198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243.99999999999989</v>
      </c>
      <c r="BZ132" s="14">
        <f>BY132*VLOOKUP('Données projet'!$B$12,Paramètres!$A$1:$I$89,3,0)*VLOOKUP('Données projet'!$B$12,Paramètres!$A$1:$I$89,5,0)</f>
        <v>190.31999999999991</v>
      </c>
      <c r="CA132" s="14">
        <f t="shared" si="93"/>
        <v>47.61069337740188</v>
      </c>
      <c r="CB132" s="22">
        <f t="shared" ref="CB132:CB153" si="118">(BZ132+CA132)*0.475*44/12</f>
        <v>414.39595763230813</v>
      </c>
      <c r="CC132" s="62">
        <f t="shared" ref="CC132:CC195" si="119">CB132+(BT132+BU132)*44/12</f>
        <v>698.13988629337348</v>
      </c>
      <c r="CD132" s="62">
        <f ca="1">AVERAGE(OFFSET($CC$3,0,0,'Données projet'!$E$12+1,1))-AVERAGE(OFFSET($H$3,0,0,'Données projet'!$E$12+1,1))</f>
        <v>252.45744983674379</v>
      </c>
      <c r="CE132" s="62">
        <f t="shared" si="94"/>
        <v>283.28099819802776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7.2354928182281277</v>
      </c>
      <c r="CL132" s="23">
        <f>EXP(-LN(2)/25)*CL131+(1-EXP(-LN(2)/25))/(LN(2)/25)*Calculateur!CG132*Calculateur!CI132*VLOOKUP('Données projet'!$B$12,Paramètres!$A$1:$I$89,3,0)*0.475*44/12</f>
        <v>0.75580986588009047</v>
      </c>
      <c r="CM132" s="23">
        <f>EXP(-LN(2)/2)*CM131+(1-EXP(-LN(2)/2))/(LN(2)/2)*CG132*CJ132*VLOOKUP('Données projet'!$B$12,Paramètres!$A$1:$I$89,3,0)*0.475*44/12</f>
        <v>1.5197932329222332E-10</v>
      </c>
      <c r="CN132" s="24">
        <f t="shared" ref="CN132:CN153" si="120">SUM(CK132:CM132)</f>
        <v>7.991302684260198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215.46880000000002</v>
      </c>
      <c r="O133" s="14">
        <f>N133*VLOOKUP('Données projet'!$B$9,Paramètres!$A$1:$I$89,3,0)*VLOOKUP('Données projet'!$B$9,Paramètres!$A$1:$I$89,5,0)</f>
        <v>100.83939840000001</v>
      </c>
      <c r="P133" s="14">
        <f t="shared" ref="P133:P196" si="141">EXP(-1.0587+0.8836*LN(O133)+0.284)</f>
        <v>27.161875252139833</v>
      </c>
      <c r="Q133" s="22">
        <f t="shared" si="108"/>
        <v>222.93555161081022</v>
      </c>
      <c r="R133" s="62">
        <f t="shared" si="109"/>
        <v>506.8458350042423</v>
      </c>
      <c r="S133" s="62">
        <f ca="1">AVERAGE(OFFSET($R$3,0,0,'Données projet'!$E$9+1,1))-AVERAGE(OFFSET($H$3,0,0,'Données projet'!$E$9+1,1))</f>
        <v>180.76388336802839</v>
      </c>
      <c r="T133" s="62">
        <f t="shared" ref="T133:T196" si="142">$T$3</f>
        <v>225.35030757566537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5.1533265006629776</v>
      </c>
      <c r="AA133" s="23">
        <f>EXP(-LN(2)/25)*AA132+(1-EXP(-LN(2)/25))/(LN(2)/25)*Calculateur!V133*Calculateur!X133*VLOOKUP('Données projet'!$B$9,Paramètres!$A$1:$I$89,3,0)*0.475*44/12</f>
        <v>1.4289828750012168</v>
      </c>
      <c r="AB133" s="23">
        <f>EXP(-LN(2)/2)*AB132+(1-EXP(-LN(2)/2))/(LN(2)/2)*V133*Y133*VLOOKUP('Données projet'!$B$9,Paramètres!$A$1:$I$89,3,0)*0.475*44/12</f>
        <v>2.5625550114471185E-10</v>
      </c>
      <c r="AC133" s="24">
        <f t="shared" si="111"/>
        <v>6.5823093759204498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243.99999999999989</v>
      </c>
      <c r="AJ133" s="14">
        <f>AI133*VLOOKUP('Données projet'!$B$10,Paramètres!$A$1:$I$89,3,0)*VLOOKUP('Données projet'!$B$10,Paramètres!$A$1:$I$89,5,0)</f>
        <v>190.31999999999991</v>
      </c>
      <c r="AK133" s="14">
        <f t="shared" ref="AK133:AK153" si="143">EXP(-1.0587+0.8836*LN(AJ133)+0.284)</f>
        <v>47.61069337740188</v>
      </c>
      <c r="AL133" s="22">
        <f t="shared" si="112"/>
        <v>414.39595763230813</v>
      </c>
      <c r="AM133" s="62">
        <f t="shared" si="113"/>
        <v>698.30624102574029</v>
      </c>
      <c r="AN133" s="62">
        <f ca="1">AVERAGE(OFFSET($AM$3,0,0,'Données projet'!$E$10+1,1))-AVERAGE(OFFSET($H$3,0,0,'Données projet'!$E$10+1,1))</f>
        <v>252.45744983674379</v>
      </c>
      <c r="AO133" s="62">
        <f t="shared" ref="AO133:AO196" si="144">$AO$3</f>
        <v>283.28099819802776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7.0936092172775247</v>
      </c>
      <c r="AV133" s="23">
        <f>EXP(-LN(2)/25)*AV132+(1-EXP(-LN(2)/25))/(LN(2)/25)*Calculateur!AQ133*Calculateur!AS133*VLOOKUP('Données projet'!$B$10,Paramètres!$A$1:$I$89,3,0)*0.475*44/12</f>
        <v>0.73514220535128594</v>
      </c>
      <c r="AW133" s="23">
        <f>EXP(-LN(2)/2)*AW132+(1-EXP(-LN(2)/2))/(LN(2)/2)*AQ133*AT133*VLOOKUP('Données projet'!$B$10,Paramètres!$A$1:$I$89,3,0)*0.475*44/12</f>
        <v>1.0746561010007372E-10</v>
      </c>
      <c r="AX133" s="23">
        <f t="shared" si="114"/>
        <v>7.8287514227362767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243.99999999999989</v>
      </c>
      <c r="BE133" s="14">
        <f>BD133*VLOOKUP('Données projet'!$B$11,Paramètres!$A$1:$I$89,3,0)*VLOOKUP('Données projet'!$B$11,Paramètres!$A$1:$I$89,5,0)</f>
        <v>190.31999999999991</v>
      </c>
      <c r="BF133" s="14">
        <f t="shared" ref="BF133:BF153" si="145">EXP(-1.0587+0.8836*LN(BE133)+0.284)</f>
        <v>47.61069337740188</v>
      </c>
      <c r="BG133" s="22">
        <f t="shared" si="115"/>
        <v>414.39595763230813</v>
      </c>
      <c r="BH133" s="62">
        <f t="shared" si="116"/>
        <v>698.30624102574029</v>
      </c>
      <c r="BI133" s="62">
        <f ca="1">AVERAGE(OFFSET($BH$3,0,0,'Données projet'!$E$11+1,1))-AVERAGE(OFFSET($H$3,0,0,'Données projet'!$E$11+1,1))</f>
        <v>252.45744983674379</v>
      </c>
      <c r="BJ133" s="62">
        <f t="shared" ref="BJ133:BJ196" si="146">$BJ$3</f>
        <v>283.28099819802776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7.0936092172775247</v>
      </c>
      <c r="BQ133" s="23">
        <f>EXP(-LN(2)/25)*BQ132+(1-EXP(-LN(2)/25))/(LN(2)/25)*Calculateur!BL133*Calculateur!BN133*VLOOKUP('Données projet'!$B$11,Paramètres!$A$1:$I$89,3,0)*0.475*44/12</f>
        <v>0.73514220535128594</v>
      </c>
      <c r="BR133" s="23">
        <f>EXP(-LN(2)/2)*BR132+(1-EXP(-LN(2)/2))/(LN(2)/2)*BL133*BO133*VLOOKUP('Données projet'!$B$11,Paramètres!$A$1:$I$89,3,0)*0.475*44/12</f>
        <v>1.0746561010007372E-10</v>
      </c>
      <c r="BS133" s="24">
        <f t="shared" si="117"/>
        <v>7.8287514227362767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243.99999999999989</v>
      </c>
      <c r="BZ133" s="14">
        <f>BY133*VLOOKUP('Données projet'!$B$12,Paramètres!$A$1:$I$89,3,0)*VLOOKUP('Données projet'!$B$12,Paramètres!$A$1:$I$89,5,0)</f>
        <v>190.31999999999991</v>
      </c>
      <c r="CA133" s="14">
        <f t="shared" ref="CA133:CA153" si="147">EXP(-1.0587+0.8836*LN(BZ133)+0.284)</f>
        <v>47.61069337740188</v>
      </c>
      <c r="CB133" s="22">
        <f t="shared" si="118"/>
        <v>414.39595763230813</v>
      </c>
      <c r="CC133" s="62">
        <f t="shared" si="119"/>
        <v>698.30624102574029</v>
      </c>
      <c r="CD133" s="62">
        <f ca="1">AVERAGE(OFFSET($CC$3,0,0,'Données projet'!$E$12+1,1))-AVERAGE(OFFSET($H$3,0,0,'Données projet'!$E$12+1,1))</f>
        <v>252.45744983674379</v>
      </c>
      <c r="CE133" s="62">
        <f t="shared" ref="CE133:CE196" si="148">$CE$3</f>
        <v>283.28099819802776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7.0936092172775247</v>
      </c>
      <c r="CL133" s="23">
        <f>EXP(-LN(2)/25)*CL132+(1-EXP(-LN(2)/25))/(LN(2)/25)*Calculateur!CG133*Calculateur!CI133*VLOOKUP('Données projet'!$B$12,Paramètres!$A$1:$I$89,3,0)*0.475*44/12</f>
        <v>0.73514220535128594</v>
      </c>
      <c r="CM133" s="23">
        <f>EXP(-LN(2)/2)*CM132+(1-EXP(-LN(2)/2))/(LN(2)/2)*CG133*CJ133*VLOOKUP('Données projet'!$B$12,Paramètres!$A$1:$I$89,3,0)*0.475*44/12</f>
        <v>1.0746561010007372E-10</v>
      </c>
      <c r="CN133" s="24">
        <f t="shared" si="120"/>
        <v>7.8287514227362767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215.46880000000002</v>
      </c>
      <c r="O134" s="14">
        <f>N134*VLOOKUP('Données projet'!$B$9,Paramètres!$A$1:$I$89,3,0)*VLOOKUP('Données projet'!$B$9,Paramètres!$A$1:$I$89,5,0)</f>
        <v>100.83939840000001</v>
      </c>
      <c r="P134" s="14">
        <f t="shared" si="141"/>
        <v>27.161875252139833</v>
      </c>
      <c r="Q134" s="22">
        <f t="shared" si="108"/>
        <v>222.93555161081022</v>
      </c>
      <c r="R134" s="62">
        <f t="shared" si="109"/>
        <v>507.00930385391598</v>
      </c>
      <c r="S134" s="62">
        <f ca="1">AVERAGE(OFFSET($R$3,0,0,'Données projet'!$E$9+1,1))-AVERAGE(OFFSET($H$3,0,0,'Données projet'!$E$9+1,1))</f>
        <v>180.76388336802839</v>
      </c>
      <c r="T134" s="62">
        <f t="shared" si="142"/>
        <v>225.35030757566537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5.052272911203775</v>
      </c>
      <c r="AA134" s="23">
        <f>EXP(-LN(2)/25)*AA133+(1-EXP(-LN(2)/25))/(LN(2)/25)*Calculateur!V134*Calculateur!X134*VLOOKUP('Données projet'!$B$9,Paramètres!$A$1:$I$89,3,0)*0.475*44/12</f>
        <v>1.389907263137365</v>
      </c>
      <c r="AB134" s="23">
        <f>EXP(-LN(2)/2)*AB133+(1-EXP(-LN(2)/2))/(LN(2)/2)*V134*Y134*VLOOKUP('Données projet'!$B$9,Paramètres!$A$1:$I$89,3,0)*0.475*44/12</f>
        <v>1.8120000257578284E-10</v>
      </c>
      <c r="AC134" s="24">
        <f t="shared" si="111"/>
        <v>6.4421801745223402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243.99999999999989</v>
      </c>
      <c r="AJ134" s="14">
        <f>AI134*VLOOKUP('Données projet'!$B$10,Paramètres!$A$1:$I$89,3,0)*VLOOKUP('Données projet'!$B$10,Paramètres!$A$1:$I$89,5,0)</f>
        <v>190.31999999999991</v>
      </c>
      <c r="AK134" s="14">
        <f t="shared" si="143"/>
        <v>47.61069337740188</v>
      </c>
      <c r="AL134" s="22">
        <f t="shared" si="112"/>
        <v>414.39595763230813</v>
      </c>
      <c r="AM134" s="62">
        <f t="shared" si="113"/>
        <v>698.46970987541386</v>
      </c>
      <c r="AN134" s="62">
        <f ca="1">AVERAGE(OFFSET($AM$3,0,0,'Données projet'!$E$10+1,1))-AVERAGE(OFFSET($H$3,0,0,'Données projet'!$E$10+1,1))</f>
        <v>252.45744983674379</v>
      </c>
      <c r="AO134" s="62">
        <f t="shared" si="144"/>
        <v>283.28099819802776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6.9545078672011114</v>
      </c>
      <c r="AV134" s="23">
        <f>EXP(-LN(2)/25)*AV133+(1-EXP(-LN(2)/25))/(LN(2)/25)*Calculateur!AQ134*Calculateur!AS134*VLOOKUP('Données projet'!$B$10,Paramètres!$A$1:$I$89,3,0)*0.475*44/12</f>
        <v>0.71503970308650666</v>
      </c>
      <c r="AW134" s="23">
        <f>EXP(-LN(2)/2)*AW133+(1-EXP(-LN(2)/2))/(LN(2)/2)*AQ134*AT134*VLOOKUP('Données projet'!$B$10,Paramètres!$A$1:$I$89,3,0)*0.475*44/12</f>
        <v>7.5989661646111661E-11</v>
      </c>
      <c r="AX134" s="23">
        <f t="shared" si="114"/>
        <v>7.6695475703636076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243.99999999999989</v>
      </c>
      <c r="BE134" s="14">
        <f>BD134*VLOOKUP('Données projet'!$B$11,Paramètres!$A$1:$I$89,3,0)*VLOOKUP('Données projet'!$B$11,Paramètres!$A$1:$I$89,5,0)</f>
        <v>190.31999999999991</v>
      </c>
      <c r="BF134" s="14">
        <f t="shared" si="145"/>
        <v>47.61069337740188</v>
      </c>
      <c r="BG134" s="22">
        <f t="shared" si="115"/>
        <v>414.39595763230813</v>
      </c>
      <c r="BH134" s="62">
        <f t="shared" si="116"/>
        <v>698.46970987541386</v>
      </c>
      <c r="BI134" s="62">
        <f ca="1">AVERAGE(OFFSET($BH$3,0,0,'Données projet'!$E$11+1,1))-AVERAGE(OFFSET($H$3,0,0,'Données projet'!$E$11+1,1))</f>
        <v>252.45744983674379</v>
      </c>
      <c r="BJ134" s="62">
        <f t="shared" si="146"/>
        <v>283.28099819802776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6.9545078672011114</v>
      </c>
      <c r="BQ134" s="23">
        <f>EXP(-LN(2)/25)*BQ133+(1-EXP(-LN(2)/25))/(LN(2)/25)*Calculateur!BL134*Calculateur!BN134*VLOOKUP('Données projet'!$B$11,Paramètres!$A$1:$I$89,3,0)*0.475*44/12</f>
        <v>0.71503970308650666</v>
      </c>
      <c r="BR134" s="23">
        <f>EXP(-LN(2)/2)*BR133+(1-EXP(-LN(2)/2))/(LN(2)/2)*BL134*BO134*VLOOKUP('Données projet'!$B$11,Paramètres!$A$1:$I$89,3,0)*0.475*44/12</f>
        <v>7.5989661646111661E-11</v>
      </c>
      <c r="BS134" s="24">
        <f t="shared" si="117"/>
        <v>7.6695475703636076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243.99999999999989</v>
      </c>
      <c r="BZ134" s="14">
        <f>BY134*VLOOKUP('Données projet'!$B$12,Paramètres!$A$1:$I$89,3,0)*VLOOKUP('Données projet'!$B$12,Paramètres!$A$1:$I$89,5,0)</f>
        <v>190.31999999999991</v>
      </c>
      <c r="CA134" s="14">
        <f t="shared" si="147"/>
        <v>47.61069337740188</v>
      </c>
      <c r="CB134" s="22">
        <f t="shared" si="118"/>
        <v>414.39595763230813</v>
      </c>
      <c r="CC134" s="62">
        <f t="shared" si="119"/>
        <v>698.46970987541386</v>
      </c>
      <c r="CD134" s="62">
        <f ca="1">AVERAGE(OFFSET($CC$3,0,0,'Données projet'!$E$12+1,1))-AVERAGE(OFFSET($H$3,0,0,'Données projet'!$E$12+1,1))</f>
        <v>252.45744983674379</v>
      </c>
      <c r="CE134" s="62">
        <f t="shared" si="148"/>
        <v>283.28099819802776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6.9545078672011114</v>
      </c>
      <c r="CL134" s="23">
        <f>EXP(-LN(2)/25)*CL133+(1-EXP(-LN(2)/25))/(LN(2)/25)*Calculateur!CG134*Calculateur!CI134*VLOOKUP('Données projet'!$B$12,Paramètres!$A$1:$I$89,3,0)*0.475*44/12</f>
        <v>0.71503970308650666</v>
      </c>
      <c r="CM134" s="23">
        <f>EXP(-LN(2)/2)*CM133+(1-EXP(-LN(2)/2))/(LN(2)/2)*CG134*CJ134*VLOOKUP('Données projet'!$B$12,Paramètres!$A$1:$I$89,3,0)*0.475*44/12</f>
        <v>7.5989661646111661E-11</v>
      </c>
      <c r="CN134" s="24">
        <f t="shared" si="120"/>
        <v>7.6695475703636076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215.46880000000002</v>
      </c>
      <c r="O135" s="14">
        <f>N135*VLOOKUP('Données projet'!$B$9,Paramètres!$A$1:$I$89,3,0)*VLOOKUP('Données projet'!$B$9,Paramètres!$A$1:$I$89,5,0)</f>
        <v>100.83939840000001</v>
      </c>
      <c r="P135" s="14">
        <f t="shared" si="141"/>
        <v>27.161875252139833</v>
      </c>
      <c r="Q135" s="22">
        <f t="shared" si="108"/>
        <v>222.93555161081022</v>
      </c>
      <c r="R135" s="62">
        <f t="shared" si="109"/>
        <v>507.16993688450941</v>
      </c>
      <c r="S135" s="62">
        <f ca="1">AVERAGE(OFFSET($R$3,0,0,'Données projet'!$E$9+1,1))-AVERAGE(OFFSET($H$3,0,0,'Données projet'!$E$9+1,1))</f>
        <v>180.76388336802839</v>
      </c>
      <c r="T135" s="62">
        <f t="shared" si="142"/>
        <v>225.35030757566537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4.9532009209972641</v>
      </c>
      <c r="AA135" s="23">
        <f>EXP(-LN(2)/25)*AA134+(1-EXP(-LN(2)/25))/(LN(2)/25)*Calculateur!V135*Calculateur!X135*VLOOKUP('Données projet'!$B$9,Paramètres!$A$1:$I$89,3,0)*0.475*44/12</f>
        <v>1.3519001759348275</v>
      </c>
      <c r="AB135" s="23">
        <f>EXP(-LN(2)/2)*AB134+(1-EXP(-LN(2)/2))/(LN(2)/2)*V135*Y135*VLOOKUP('Données projet'!$B$9,Paramètres!$A$1:$I$89,3,0)*0.475*44/12</f>
        <v>1.2812775057235592E-10</v>
      </c>
      <c r="AC135" s="24">
        <f t="shared" si="111"/>
        <v>6.305101097060219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243.99999999999989</v>
      </c>
      <c r="AJ135" s="14">
        <f>AI135*VLOOKUP('Données projet'!$B$10,Paramètres!$A$1:$I$89,3,0)*VLOOKUP('Données projet'!$B$10,Paramètres!$A$1:$I$89,5,0)</f>
        <v>190.31999999999991</v>
      </c>
      <c r="AK135" s="14">
        <f t="shared" si="143"/>
        <v>47.61069337740188</v>
      </c>
      <c r="AL135" s="22">
        <f t="shared" si="112"/>
        <v>414.39595763230813</v>
      </c>
      <c r="AM135" s="62">
        <f t="shared" si="113"/>
        <v>698.63034290600729</v>
      </c>
      <c r="AN135" s="62">
        <f ca="1">AVERAGE(OFFSET($AM$3,0,0,'Données projet'!$E$10+1,1))-AVERAGE(OFFSET($H$3,0,0,'Données projet'!$E$10+1,1))</f>
        <v>252.45744983674379</v>
      </c>
      <c r="AO135" s="62">
        <f t="shared" si="144"/>
        <v>283.28099819802776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6.8181342097562503</v>
      </c>
      <c r="AV135" s="23">
        <f>EXP(-LN(2)/25)*AV134+(1-EXP(-LN(2)/25))/(LN(2)/25)*Calculateur!AQ135*Calculateur!AS135*VLOOKUP('Données projet'!$B$10,Paramètres!$A$1:$I$89,3,0)*0.475*44/12</f>
        <v>0.69548690480330244</v>
      </c>
      <c r="AW135" s="23">
        <f>EXP(-LN(2)/2)*AW134+(1-EXP(-LN(2)/2))/(LN(2)/2)*AQ135*AT135*VLOOKUP('Données projet'!$B$10,Paramètres!$A$1:$I$89,3,0)*0.475*44/12</f>
        <v>5.3732805050036862E-11</v>
      </c>
      <c r="AX135" s="23">
        <f t="shared" si="114"/>
        <v>7.5136211146132856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243.99999999999989</v>
      </c>
      <c r="BE135" s="14">
        <f>BD135*VLOOKUP('Données projet'!$B$11,Paramètres!$A$1:$I$89,3,0)*VLOOKUP('Données projet'!$B$11,Paramètres!$A$1:$I$89,5,0)</f>
        <v>190.31999999999991</v>
      </c>
      <c r="BF135" s="14">
        <f t="shared" si="145"/>
        <v>47.61069337740188</v>
      </c>
      <c r="BG135" s="22">
        <f t="shared" si="115"/>
        <v>414.39595763230813</v>
      </c>
      <c r="BH135" s="62">
        <f t="shared" si="116"/>
        <v>698.63034290600729</v>
      </c>
      <c r="BI135" s="62">
        <f ca="1">AVERAGE(OFFSET($BH$3,0,0,'Données projet'!$E$11+1,1))-AVERAGE(OFFSET($H$3,0,0,'Données projet'!$E$11+1,1))</f>
        <v>252.45744983674379</v>
      </c>
      <c r="BJ135" s="62">
        <f t="shared" si="146"/>
        <v>283.28099819802776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6.8181342097562503</v>
      </c>
      <c r="BQ135" s="23">
        <f>EXP(-LN(2)/25)*BQ134+(1-EXP(-LN(2)/25))/(LN(2)/25)*Calculateur!BL135*Calculateur!BN135*VLOOKUP('Données projet'!$B$11,Paramètres!$A$1:$I$89,3,0)*0.475*44/12</f>
        <v>0.69548690480330244</v>
      </c>
      <c r="BR135" s="23">
        <f>EXP(-LN(2)/2)*BR134+(1-EXP(-LN(2)/2))/(LN(2)/2)*BL135*BO135*VLOOKUP('Données projet'!$B$11,Paramètres!$A$1:$I$89,3,0)*0.475*44/12</f>
        <v>5.3732805050036862E-11</v>
      </c>
      <c r="BS135" s="24">
        <f t="shared" si="117"/>
        <v>7.5136211146132856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243.99999999999989</v>
      </c>
      <c r="BZ135" s="14">
        <f>BY135*VLOOKUP('Données projet'!$B$12,Paramètres!$A$1:$I$89,3,0)*VLOOKUP('Données projet'!$B$12,Paramètres!$A$1:$I$89,5,0)</f>
        <v>190.31999999999991</v>
      </c>
      <c r="CA135" s="14">
        <f t="shared" si="147"/>
        <v>47.61069337740188</v>
      </c>
      <c r="CB135" s="22">
        <f t="shared" si="118"/>
        <v>414.39595763230813</v>
      </c>
      <c r="CC135" s="62">
        <f t="shared" si="119"/>
        <v>698.63034290600729</v>
      </c>
      <c r="CD135" s="62">
        <f ca="1">AVERAGE(OFFSET($CC$3,0,0,'Données projet'!$E$12+1,1))-AVERAGE(OFFSET($H$3,0,0,'Données projet'!$E$12+1,1))</f>
        <v>252.45744983674379</v>
      </c>
      <c r="CE135" s="62">
        <f t="shared" si="148"/>
        <v>283.28099819802776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6.8181342097562503</v>
      </c>
      <c r="CL135" s="23">
        <f>EXP(-LN(2)/25)*CL134+(1-EXP(-LN(2)/25))/(LN(2)/25)*Calculateur!CG135*Calculateur!CI135*VLOOKUP('Données projet'!$B$12,Paramètres!$A$1:$I$89,3,0)*0.475*44/12</f>
        <v>0.69548690480330244</v>
      </c>
      <c r="CM135" s="23">
        <f>EXP(-LN(2)/2)*CM134+(1-EXP(-LN(2)/2))/(LN(2)/2)*CG135*CJ135*VLOOKUP('Données projet'!$B$12,Paramètres!$A$1:$I$89,3,0)*0.475*44/12</f>
        <v>5.3732805050036862E-11</v>
      </c>
      <c r="CN135" s="24">
        <f t="shared" si="120"/>
        <v>7.5136211146132856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215.46880000000002</v>
      </c>
      <c r="O136" s="14">
        <f>N136*VLOOKUP('Données projet'!$B$9,Paramètres!$A$1:$I$89,3,0)*VLOOKUP('Données projet'!$B$9,Paramètres!$A$1:$I$89,5,0)</f>
        <v>100.83939840000001</v>
      </c>
      <c r="P136" s="14">
        <f t="shared" si="141"/>
        <v>27.161875252139833</v>
      </c>
      <c r="Q136" s="22">
        <f t="shared" si="108"/>
        <v>222.93555161081022</v>
      </c>
      <c r="R136" s="62">
        <f t="shared" si="109"/>
        <v>507.32778329114365</v>
      </c>
      <c r="S136" s="62">
        <f ca="1">AVERAGE(OFFSET($R$3,0,0,'Données projet'!$E$9+1,1))-AVERAGE(OFFSET($H$3,0,0,'Données projet'!$E$9+1,1))</f>
        <v>180.76388336802839</v>
      </c>
      <c r="T136" s="62">
        <f t="shared" si="142"/>
        <v>225.35030757566537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4.8560716720907555</v>
      </c>
      <c r="AA136" s="23">
        <f>EXP(-LN(2)/25)*AA135+(1-EXP(-LN(2)/25))/(LN(2)/25)*Calculateur!V136*Calculateur!X136*VLOOKUP('Données projet'!$B$9,Paramètres!$A$1:$I$89,3,0)*0.475*44/12</f>
        <v>1.3149323945305491</v>
      </c>
      <c r="AB136" s="23">
        <f>EXP(-LN(2)/2)*AB135+(1-EXP(-LN(2)/2))/(LN(2)/2)*V136*Y136*VLOOKUP('Données projet'!$B$9,Paramètres!$A$1:$I$89,3,0)*0.475*44/12</f>
        <v>9.060000128789142E-11</v>
      </c>
      <c r="AC136" s="24">
        <f t="shared" si="111"/>
        <v>6.1710040667119053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243.99999999999989</v>
      </c>
      <c r="AJ136" s="14">
        <f>AI136*VLOOKUP('Données projet'!$B$10,Paramètres!$A$1:$I$89,3,0)*VLOOKUP('Données projet'!$B$10,Paramètres!$A$1:$I$89,5,0)</f>
        <v>190.31999999999991</v>
      </c>
      <c r="AK136" s="14">
        <f t="shared" si="143"/>
        <v>47.61069337740188</v>
      </c>
      <c r="AL136" s="22">
        <f t="shared" si="112"/>
        <v>414.39595763230813</v>
      </c>
      <c r="AM136" s="62">
        <f t="shared" si="113"/>
        <v>698.78818931264152</v>
      </c>
      <c r="AN136" s="62">
        <f ca="1">AVERAGE(OFFSET($AM$3,0,0,'Données projet'!$E$10+1,1))-AVERAGE(OFFSET($H$3,0,0,'Données projet'!$E$10+1,1))</f>
        <v>252.45744983674379</v>
      </c>
      <c r="AO136" s="62">
        <f t="shared" si="144"/>
        <v>283.28099819802776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6.6844347565541655</v>
      </c>
      <c r="AV136" s="23">
        <f>EXP(-LN(2)/25)*AV135+(1-EXP(-LN(2)/25))/(LN(2)/25)*Calculateur!AQ136*Calculateur!AS136*VLOOKUP('Données projet'!$B$10,Paramètres!$A$1:$I$89,3,0)*0.475*44/12</f>
        <v>0.67646877881738932</v>
      </c>
      <c r="AW136" s="23">
        <f>EXP(-LN(2)/2)*AW135+(1-EXP(-LN(2)/2))/(LN(2)/2)*AQ136*AT136*VLOOKUP('Données projet'!$B$10,Paramètres!$A$1:$I$89,3,0)*0.475*44/12</f>
        <v>3.799483082305583E-11</v>
      </c>
      <c r="AX136" s="23">
        <f t="shared" si="114"/>
        <v>7.3609035354095491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243.99999999999989</v>
      </c>
      <c r="BE136" s="14">
        <f>BD136*VLOOKUP('Données projet'!$B$11,Paramètres!$A$1:$I$89,3,0)*VLOOKUP('Données projet'!$B$11,Paramètres!$A$1:$I$89,5,0)</f>
        <v>190.31999999999991</v>
      </c>
      <c r="BF136" s="14">
        <f t="shared" si="145"/>
        <v>47.61069337740188</v>
      </c>
      <c r="BG136" s="22">
        <f t="shared" si="115"/>
        <v>414.39595763230813</v>
      </c>
      <c r="BH136" s="62">
        <f t="shared" si="116"/>
        <v>698.78818931264152</v>
      </c>
      <c r="BI136" s="62">
        <f ca="1">AVERAGE(OFFSET($BH$3,0,0,'Données projet'!$E$11+1,1))-AVERAGE(OFFSET($H$3,0,0,'Données projet'!$E$11+1,1))</f>
        <v>252.45744983674379</v>
      </c>
      <c r="BJ136" s="62">
        <f t="shared" si="146"/>
        <v>283.28099819802776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6.6844347565541655</v>
      </c>
      <c r="BQ136" s="23">
        <f>EXP(-LN(2)/25)*BQ135+(1-EXP(-LN(2)/25))/(LN(2)/25)*Calculateur!BL136*Calculateur!BN136*VLOOKUP('Données projet'!$B$11,Paramètres!$A$1:$I$89,3,0)*0.475*44/12</f>
        <v>0.67646877881738932</v>
      </c>
      <c r="BR136" s="23">
        <f>EXP(-LN(2)/2)*BR135+(1-EXP(-LN(2)/2))/(LN(2)/2)*BL136*BO136*VLOOKUP('Données projet'!$B$11,Paramètres!$A$1:$I$89,3,0)*0.475*44/12</f>
        <v>3.799483082305583E-11</v>
      </c>
      <c r="BS136" s="24">
        <f t="shared" si="117"/>
        <v>7.3609035354095491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243.99999999999989</v>
      </c>
      <c r="BZ136" s="14">
        <f>BY136*VLOOKUP('Données projet'!$B$12,Paramètres!$A$1:$I$89,3,0)*VLOOKUP('Données projet'!$B$12,Paramètres!$A$1:$I$89,5,0)</f>
        <v>190.31999999999991</v>
      </c>
      <c r="CA136" s="14">
        <f t="shared" si="147"/>
        <v>47.61069337740188</v>
      </c>
      <c r="CB136" s="22">
        <f t="shared" si="118"/>
        <v>414.39595763230813</v>
      </c>
      <c r="CC136" s="62">
        <f t="shared" si="119"/>
        <v>698.78818931264152</v>
      </c>
      <c r="CD136" s="62">
        <f ca="1">AVERAGE(OFFSET($CC$3,0,0,'Données projet'!$E$12+1,1))-AVERAGE(OFFSET($H$3,0,0,'Données projet'!$E$12+1,1))</f>
        <v>252.45744983674379</v>
      </c>
      <c r="CE136" s="62">
        <f t="shared" si="148"/>
        <v>283.28099819802776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6.6844347565541655</v>
      </c>
      <c r="CL136" s="23">
        <f>EXP(-LN(2)/25)*CL135+(1-EXP(-LN(2)/25))/(LN(2)/25)*Calculateur!CG136*Calculateur!CI136*VLOOKUP('Données projet'!$B$12,Paramètres!$A$1:$I$89,3,0)*0.475*44/12</f>
        <v>0.67646877881738932</v>
      </c>
      <c r="CM136" s="23">
        <f>EXP(-LN(2)/2)*CM135+(1-EXP(-LN(2)/2))/(LN(2)/2)*CG136*CJ136*VLOOKUP('Données projet'!$B$12,Paramètres!$A$1:$I$89,3,0)*0.475*44/12</f>
        <v>3.799483082305583E-11</v>
      </c>
      <c r="CN136" s="24">
        <f t="shared" si="120"/>
        <v>7.3609035354095491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215.46880000000002</v>
      </c>
      <c r="O137" s="14">
        <f>N137*VLOOKUP('Données projet'!$B$9,Paramètres!$A$1:$I$89,3,0)*VLOOKUP('Données projet'!$B$9,Paramètres!$A$1:$I$89,5,0)</f>
        <v>100.83939840000001</v>
      </c>
      <c r="P137" s="14">
        <f t="shared" si="141"/>
        <v>27.161875252139833</v>
      </c>
      <c r="Q137" s="22">
        <f t="shared" si="108"/>
        <v>222.93555161081022</v>
      </c>
      <c r="R137" s="62">
        <f t="shared" si="109"/>
        <v>507.48289141551447</v>
      </c>
      <c r="S137" s="62">
        <f ca="1">AVERAGE(OFFSET($R$3,0,0,'Données projet'!$E$9+1,1))-AVERAGE(OFFSET($H$3,0,0,'Données projet'!$E$9+1,1))</f>
        <v>180.76388336802839</v>
      </c>
      <c r="T137" s="62">
        <f t="shared" si="142"/>
        <v>225.35030757566537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4.7608470685123114</v>
      </c>
      <c r="AA137" s="23">
        <f>EXP(-LN(2)/25)*AA136+(1-EXP(-LN(2)/25))/(LN(2)/25)*Calculateur!V137*Calculateur!X137*VLOOKUP('Données projet'!$B$9,Paramètres!$A$1:$I$89,3,0)*0.475*44/12</f>
        <v>1.2789754990528219</v>
      </c>
      <c r="AB137" s="23">
        <f>EXP(-LN(2)/2)*AB136+(1-EXP(-LN(2)/2))/(LN(2)/2)*V137*Y137*VLOOKUP('Données projet'!$B$9,Paramètres!$A$1:$I$89,3,0)*0.475*44/12</f>
        <v>6.4063875286177961E-11</v>
      </c>
      <c r="AC137" s="24">
        <f t="shared" si="111"/>
        <v>6.0398225676291979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243.99999999999989</v>
      </c>
      <c r="AJ137" s="14">
        <f>AI137*VLOOKUP('Données projet'!$B$10,Paramètres!$A$1:$I$89,3,0)*VLOOKUP('Données projet'!$B$10,Paramètres!$A$1:$I$89,5,0)</f>
        <v>190.31999999999991</v>
      </c>
      <c r="AK137" s="14">
        <f t="shared" si="143"/>
        <v>47.61069337740188</v>
      </c>
      <c r="AL137" s="22">
        <f t="shared" si="112"/>
        <v>414.39595763230813</v>
      </c>
      <c r="AM137" s="62">
        <f t="shared" si="113"/>
        <v>698.94329743701246</v>
      </c>
      <c r="AN137" s="62">
        <f ca="1">AVERAGE(OFFSET($AM$3,0,0,'Données projet'!$E$10+1,1))-AVERAGE(OFFSET($H$3,0,0,'Données projet'!$E$10+1,1))</f>
        <v>252.45744983674379</v>
      </c>
      <c r="AO137" s="62">
        <f t="shared" si="144"/>
        <v>283.28099819802776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6.5533570680807598</v>
      </c>
      <c r="AV137" s="23">
        <f>EXP(-LN(2)/25)*AV136+(1-EXP(-LN(2)/25))/(LN(2)/25)*Calculateur!AQ137*Calculateur!AS137*VLOOKUP('Données projet'!$B$10,Paramètres!$A$1:$I$89,3,0)*0.475*44/12</f>
        <v>0.65797070448668082</v>
      </c>
      <c r="AW137" s="23">
        <f>EXP(-LN(2)/2)*AW136+(1-EXP(-LN(2)/2))/(LN(2)/2)*AQ137*AT137*VLOOKUP('Données projet'!$B$10,Paramètres!$A$1:$I$89,3,0)*0.475*44/12</f>
        <v>2.6866402525018431E-11</v>
      </c>
      <c r="AX137" s="23">
        <f t="shared" si="114"/>
        <v>7.2113277725943075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243.99999999999989</v>
      </c>
      <c r="BE137" s="14">
        <f>BD137*VLOOKUP('Données projet'!$B$11,Paramètres!$A$1:$I$89,3,0)*VLOOKUP('Données projet'!$B$11,Paramètres!$A$1:$I$89,5,0)</f>
        <v>190.31999999999991</v>
      </c>
      <c r="BF137" s="14">
        <f t="shared" si="145"/>
        <v>47.61069337740188</v>
      </c>
      <c r="BG137" s="22">
        <f t="shared" si="115"/>
        <v>414.39595763230813</v>
      </c>
      <c r="BH137" s="62">
        <f t="shared" si="116"/>
        <v>698.94329743701246</v>
      </c>
      <c r="BI137" s="62">
        <f ca="1">AVERAGE(OFFSET($BH$3,0,0,'Données projet'!$E$11+1,1))-AVERAGE(OFFSET($H$3,0,0,'Données projet'!$E$11+1,1))</f>
        <v>252.45744983674379</v>
      </c>
      <c r="BJ137" s="62">
        <f t="shared" si="146"/>
        <v>283.28099819802776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6.5533570680807598</v>
      </c>
      <c r="BQ137" s="23">
        <f>EXP(-LN(2)/25)*BQ136+(1-EXP(-LN(2)/25))/(LN(2)/25)*Calculateur!BL137*Calculateur!BN137*VLOOKUP('Données projet'!$B$11,Paramètres!$A$1:$I$89,3,0)*0.475*44/12</f>
        <v>0.65797070448668082</v>
      </c>
      <c r="BR137" s="23">
        <f>EXP(-LN(2)/2)*BR136+(1-EXP(-LN(2)/2))/(LN(2)/2)*BL137*BO137*VLOOKUP('Données projet'!$B$11,Paramètres!$A$1:$I$89,3,0)*0.475*44/12</f>
        <v>2.6866402525018431E-11</v>
      </c>
      <c r="BS137" s="24">
        <f t="shared" si="117"/>
        <v>7.2113277725943075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243.99999999999989</v>
      </c>
      <c r="BZ137" s="14">
        <f>BY137*VLOOKUP('Données projet'!$B$12,Paramètres!$A$1:$I$89,3,0)*VLOOKUP('Données projet'!$B$12,Paramètres!$A$1:$I$89,5,0)</f>
        <v>190.31999999999991</v>
      </c>
      <c r="CA137" s="14">
        <f t="shared" si="147"/>
        <v>47.61069337740188</v>
      </c>
      <c r="CB137" s="22">
        <f t="shared" si="118"/>
        <v>414.39595763230813</v>
      </c>
      <c r="CC137" s="62">
        <f t="shared" si="119"/>
        <v>698.94329743701246</v>
      </c>
      <c r="CD137" s="62">
        <f ca="1">AVERAGE(OFFSET($CC$3,0,0,'Données projet'!$E$12+1,1))-AVERAGE(OFFSET($H$3,0,0,'Données projet'!$E$12+1,1))</f>
        <v>252.45744983674379</v>
      </c>
      <c r="CE137" s="62">
        <f t="shared" si="148"/>
        <v>283.28099819802776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6.5533570680807598</v>
      </c>
      <c r="CL137" s="23">
        <f>EXP(-LN(2)/25)*CL136+(1-EXP(-LN(2)/25))/(LN(2)/25)*Calculateur!CG137*Calculateur!CI137*VLOOKUP('Données projet'!$B$12,Paramètres!$A$1:$I$89,3,0)*0.475*44/12</f>
        <v>0.65797070448668082</v>
      </c>
      <c r="CM137" s="23">
        <f>EXP(-LN(2)/2)*CM136+(1-EXP(-LN(2)/2))/(LN(2)/2)*CG137*CJ137*VLOOKUP('Données projet'!$B$12,Paramètres!$A$1:$I$89,3,0)*0.475*44/12</f>
        <v>2.6866402525018431E-11</v>
      </c>
      <c r="CN137" s="24">
        <f t="shared" si="120"/>
        <v>7.2113277725943075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215.46880000000002</v>
      </c>
      <c r="O138" s="14">
        <f>N138*VLOOKUP('Données projet'!$B$9,Paramètres!$A$1:$I$89,3,0)*VLOOKUP('Données projet'!$B$9,Paramètres!$A$1:$I$89,5,0)</f>
        <v>100.83939840000001</v>
      </c>
      <c r="P138" s="14">
        <f t="shared" si="141"/>
        <v>27.161875252139833</v>
      </c>
      <c r="Q138" s="22">
        <f t="shared" si="108"/>
        <v>222.93555161081022</v>
      </c>
      <c r="R138" s="62">
        <f t="shared" si="109"/>
        <v>507.6353087606974</v>
      </c>
      <c r="S138" s="62">
        <f ca="1">AVERAGE(OFFSET($R$3,0,0,'Données projet'!$E$9+1,1))-AVERAGE(OFFSET($H$3,0,0,'Données projet'!$E$9+1,1))</f>
        <v>180.76388336802839</v>
      </c>
      <c r="T138" s="62">
        <f t="shared" si="142"/>
        <v>225.35030757566537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4.6674897613287678</v>
      </c>
      <c r="AA138" s="23">
        <f>EXP(-LN(2)/25)*AA137+(1-EXP(-LN(2)/25))/(LN(2)/25)*Calculateur!V138*Calculateur!X138*VLOOKUP('Données projet'!$B$9,Paramètres!$A$1:$I$89,3,0)*0.475*44/12</f>
        <v>1.2440018467728242</v>
      </c>
      <c r="AB138" s="23">
        <f>EXP(-LN(2)/2)*AB137+(1-EXP(-LN(2)/2))/(LN(2)/2)*V138*Y138*VLOOKUP('Données projet'!$B$9,Paramètres!$A$1:$I$89,3,0)*0.475*44/12</f>
        <v>4.530000064394571E-11</v>
      </c>
      <c r="AC138" s="24">
        <f t="shared" si="111"/>
        <v>5.9114916081468918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243.99999999999989</v>
      </c>
      <c r="AJ138" s="14">
        <f>AI138*VLOOKUP('Données projet'!$B$10,Paramètres!$A$1:$I$89,3,0)*VLOOKUP('Données projet'!$B$10,Paramètres!$A$1:$I$89,5,0)</f>
        <v>190.31999999999991</v>
      </c>
      <c r="AK138" s="14">
        <f t="shared" si="143"/>
        <v>47.61069337740188</v>
      </c>
      <c r="AL138" s="22">
        <f t="shared" si="112"/>
        <v>414.39595763230813</v>
      </c>
      <c r="AM138" s="62">
        <f t="shared" si="113"/>
        <v>699.09571478219527</v>
      </c>
      <c r="AN138" s="62">
        <f ca="1">AVERAGE(OFFSET($AM$3,0,0,'Données projet'!$E$10+1,1))-AVERAGE(OFFSET($H$3,0,0,'Données projet'!$E$10+1,1))</f>
        <v>252.45744983674379</v>
      </c>
      <c r="AO138" s="62">
        <f t="shared" si="144"/>
        <v>283.28099819802776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6.4248497331288217</v>
      </c>
      <c r="AV138" s="23">
        <f>EXP(-LN(2)/25)*AV137+(1-EXP(-LN(2)/25))/(LN(2)/25)*Calculateur!AQ138*Calculateur!AS138*VLOOKUP('Données projet'!$B$10,Paramètres!$A$1:$I$89,3,0)*0.475*44/12</f>
        <v>0.63997846097131705</v>
      </c>
      <c r="AW138" s="23">
        <f>EXP(-LN(2)/2)*AW137+(1-EXP(-LN(2)/2))/(LN(2)/2)*AQ138*AT138*VLOOKUP('Données projet'!$B$10,Paramètres!$A$1:$I$89,3,0)*0.475*44/12</f>
        <v>1.8997415411527915E-11</v>
      </c>
      <c r="AX138" s="23">
        <f t="shared" si="114"/>
        <v>7.0648281941191362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243.99999999999989</v>
      </c>
      <c r="BE138" s="14">
        <f>BD138*VLOOKUP('Données projet'!$B$11,Paramètres!$A$1:$I$89,3,0)*VLOOKUP('Données projet'!$B$11,Paramètres!$A$1:$I$89,5,0)</f>
        <v>190.31999999999991</v>
      </c>
      <c r="BF138" s="14">
        <f t="shared" si="145"/>
        <v>47.61069337740188</v>
      </c>
      <c r="BG138" s="22">
        <f t="shared" si="115"/>
        <v>414.39595763230813</v>
      </c>
      <c r="BH138" s="62">
        <f t="shared" si="116"/>
        <v>699.09571478219527</v>
      </c>
      <c r="BI138" s="62">
        <f ca="1">AVERAGE(OFFSET($BH$3,0,0,'Données projet'!$E$11+1,1))-AVERAGE(OFFSET($H$3,0,0,'Données projet'!$E$11+1,1))</f>
        <v>252.45744983674379</v>
      </c>
      <c r="BJ138" s="62">
        <f t="shared" si="146"/>
        <v>283.28099819802776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6.4248497331288217</v>
      </c>
      <c r="BQ138" s="23">
        <f>EXP(-LN(2)/25)*BQ137+(1-EXP(-LN(2)/25))/(LN(2)/25)*Calculateur!BL138*Calculateur!BN138*VLOOKUP('Données projet'!$B$11,Paramètres!$A$1:$I$89,3,0)*0.475*44/12</f>
        <v>0.63997846097131705</v>
      </c>
      <c r="BR138" s="23">
        <f>EXP(-LN(2)/2)*BR137+(1-EXP(-LN(2)/2))/(LN(2)/2)*BL138*BO138*VLOOKUP('Données projet'!$B$11,Paramètres!$A$1:$I$89,3,0)*0.475*44/12</f>
        <v>1.8997415411527915E-11</v>
      </c>
      <c r="BS138" s="24">
        <f t="shared" si="117"/>
        <v>7.0648281941191362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243.99999999999989</v>
      </c>
      <c r="BZ138" s="14">
        <f>BY138*VLOOKUP('Données projet'!$B$12,Paramètres!$A$1:$I$89,3,0)*VLOOKUP('Données projet'!$B$12,Paramètres!$A$1:$I$89,5,0)</f>
        <v>190.31999999999991</v>
      </c>
      <c r="CA138" s="14">
        <f t="shared" si="147"/>
        <v>47.61069337740188</v>
      </c>
      <c r="CB138" s="22">
        <f t="shared" si="118"/>
        <v>414.39595763230813</v>
      </c>
      <c r="CC138" s="62">
        <f t="shared" si="119"/>
        <v>699.09571478219527</v>
      </c>
      <c r="CD138" s="62">
        <f ca="1">AVERAGE(OFFSET($CC$3,0,0,'Données projet'!$E$12+1,1))-AVERAGE(OFFSET($H$3,0,0,'Données projet'!$E$12+1,1))</f>
        <v>252.45744983674379</v>
      </c>
      <c r="CE138" s="62">
        <f t="shared" si="148"/>
        <v>283.28099819802776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6.4248497331288217</v>
      </c>
      <c r="CL138" s="23">
        <f>EXP(-LN(2)/25)*CL137+(1-EXP(-LN(2)/25))/(LN(2)/25)*Calculateur!CG138*Calculateur!CI138*VLOOKUP('Données projet'!$B$12,Paramètres!$A$1:$I$89,3,0)*0.475*44/12</f>
        <v>0.63997846097131705</v>
      </c>
      <c r="CM138" s="23">
        <f>EXP(-LN(2)/2)*CM137+(1-EXP(-LN(2)/2))/(LN(2)/2)*CG138*CJ138*VLOOKUP('Données projet'!$B$12,Paramètres!$A$1:$I$89,3,0)*0.475*44/12</f>
        <v>1.8997415411527915E-11</v>
      </c>
      <c r="CN138" s="24">
        <f t="shared" si="120"/>
        <v>7.0648281941191362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215.46880000000002</v>
      </c>
      <c r="O139" s="14">
        <f>N139*VLOOKUP('Données projet'!$B$9,Paramètres!$A$1:$I$89,3,0)*VLOOKUP('Données projet'!$B$9,Paramètres!$A$1:$I$89,5,0)</f>
        <v>100.83939840000001</v>
      </c>
      <c r="P139" s="14">
        <f t="shared" si="141"/>
        <v>27.161875252139833</v>
      </c>
      <c r="Q139" s="22">
        <f t="shared" si="108"/>
        <v>222.93555161081022</v>
      </c>
      <c r="R139" s="62">
        <f t="shared" si="109"/>
        <v>507.78508200569547</v>
      </c>
      <c r="S139" s="62">
        <f ca="1">AVERAGE(OFFSET($R$3,0,0,'Données projet'!$E$9+1,1))-AVERAGE(OFFSET($H$3,0,0,'Données projet'!$E$9+1,1))</f>
        <v>180.76388336802839</v>
      </c>
      <c r="T139" s="62">
        <f t="shared" si="142"/>
        <v>225.35030757566537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4.5759631339967584</v>
      </c>
      <c r="AA139" s="23">
        <f>EXP(-LN(2)/25)*AA138+(1-EXP(-LN(2)/25))/(LN(2)/25)*Calculateur!V139*Calculateur!X139*VLOOKUP('Données projet'!$B$9,Paramètres!$A$1:$I$89,3,0)*0.475*44/12</f>
        <v>1.2099845508536073</v>
      </c>
      <c r="AB139" s="23">
        <f>EXP(-LN(2)/2)*AB138+(1-EXP(-LN(2)/2))/(LN(2)/2)*V139*Y139*VLOOKUP('Données projet'!$B$9,Paramètres!$A$1:$I$89,3,0)*0.475*44/12</f>
        <v>3.2031937643088981E-11</v>
      </c>
      <c r="AC139" s="24">
        <f t="shared" si="111"/>
        <v>5.7859476848823981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243.99999999999989</v>
      </c>
      <c r="AJ139" s="14">
        <f>AI139*VLOOKUP('Données projet'!$B$10,Paramètres!$A$1:$I$89,3,0)*VLOOKUP('Données projet'!$B$10,Paramètres!$A$1:$I$89,5,0)</f>
        <v>190.31999999999991</v>
      </c>
      <c r="AK139" s="14">
        <f t="shared" si="143"/>
        <v>47.61069337740188</v>
      </c>
      <c r="AL139" s="22">
        <f t="shared" si="112"/>
        <v>414.39595763230813</v>
      </c>
      <c r="AM139" s="62">
        <f t="shared" si="113"/>
        <v>699.24548802719335</v>
      </c>
      <c r="AN139" s="62">
        <f ca="1">AVERAGE(OFFSET($AM$3,0,0,'Données projet'!$E$10+1,1))-AVERAGE(OFFSET($H$3,0,0,'Données projet'!$E$10+1,1))</f>
        <v>252.45744983674379</v>
      </c>
      <c r="AO139" s="62">
        <f t="shared" si="144"/>
        <v>283.28099819802776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6.2988623486335564</v>
      </c>
      <c r="AV139" s="23">
        <f>EXP(-LN(2)/25)*AV138+(1-EXP(-LN(2)/25))/(LN(2)/25)*Calculateur!AQ139*Calculateur!AS139*VLOOKUP('Données projet'!$B$10,Paramètres!$A$1:$I$89,3,0)*0.475*44/12</f>
        <v>0.62247821630105182</v>
      </c>
      <c r="AW139" s="23">
        <f>EXP(-LN(2)/2)*AW138+(1-EXP(-LN(2)/2))/(LN(2)/2)*AQ139*AT139*VLOOKUP('Données projet'!$B$10,Paramètres!$A$1:$I$89,3,0)*0.475*44/12</f>
        <v>1.3433201262509215E-11</v>
      </c>
      <c r="AX139" s="23">
        <f t="shared" si="114"/>
        <v>6.9213405649480411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243.99999999999989</v>
      </c>
      <c r="BE139" s="14">
        <f>BD139*VLOOKUP('Données projet'!$B$11,Paramètres!$A$1:$I$89,3,0)*VLOOKUP('Données projet'!$B$11,Paramètres!$A$1:$I$89,5,0)</f>
        <v>190.31999999999991</v>
      </c>
      <c r="BF139" s="14">
        <f t="shared" si="145"/>
        <v>47.61069337740188</v>
      </c>
      <c r="BG139" s="22">
        <f t="shared" si="115"/>
        <v>414.39595763230813</v>
      </c>
      <c r="BH139" s="62">
        <f t="shared" si="116"/>
        <v>699.24548802719335</v>
      </c>
      <c r="BI139" s="62">
        <f ca="1">AVERAGE(OFFSET($BH$3,0,0,'Données projet'!$E$11+1,1))-AVERAGE(OFFSET($H$3,0,0,'Données projet'!$E$11+1,1))</f>
        <v>252.45744983674379</v>
      </c>
      <c r="BJ139" s="62">
        <f t="shared" si="146"/>
        <v>283.28099819802776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6.2988623486335564</v>
      </c>
      <c r="BQ139" s="23">
        <f>EXP(-LN(2)/25)*BQ138+(1-EXP(-LN(2)/25))/(LN(2)/25)*Calculateur!BL139*Calculateur!BN139*VLOOKUP('Données projet'!$B$11,Paramètres!$A$1:$I$89,3,0)*0.475*44/12</f>
        <v>0.62247821630105182</v>
      </c>
      <c r="BR139" s="23">
        <f>EXP(-LN(2)/2)*BR138+(1-EXP(-LN(2)/2))/(LN(2)/2)*BL139*BO139*VLOOKUP('Données projet'!$B$11,Paramètres!$A$1:$I$89,3,0)*0.475*44/12</f>
        <v>1.3433201262509215E-11</v>
      </c>
      <c r="BS139" s="24">
        <f t="shared" si="117"/>
        <v>6.9213405649480411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243.99999999999989</v>
      </c>
      <c r="BZ139" s="14">
        <f>BY139*VLOOKUP('Données projet'!$B$12,Paramètres!$A$1:$I$89,3,0)*VLOOKUP('Données projet'!$B$12,Paramètres!$A$1:$I$89,5,0)</f>
        <v>190.31999999999991</v>
      </c>
      <c r="CA139" s="14">
        <f t="shared" si="147"/>
        <v>47.61069337740188</v>
      </c>
      <c r="CB139" s="22">
        <f t="shared" si="118"/>
        <v>414.39595763230813</v>
      </c>
      <c r="CC139" s="62">
        <f t="shared" si="119"/>
        <v>699.24548802719335</v>
      </c>
      <c r="CD139" s="62">
        <f ca="1">AVERAGE(OFFSET($CC$3,0,0,'Données projet'!$E$12+1,1))-AVERAGE(OFFSET($H$3,0,0,'Données projet'!$E$12+1,1))</f>
        <v>252.45744983674379</v>
      </c>
      <c r="CE139" s="62">
        <f t="shared" si="148"/>
        <v>283.28099819802776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6.2988623486335564</v>
      </c>
      <c r="CL139" s="23">
        <f>EXP(-LN(2)/25)*CL138+(1-EXP(-LN(2)/25))/(LN(2)/25)*Calculateur!CG139*Calculateur!CI139*VLOOKUP('Données projet'!$B$12,Paramètres!$A$1:$I$89,3,0)*0.475*44/12</f>
        <v>0.62247821630105182</v>
      </c>
      <c r="CM139" s="23">
        <f>EXP(-LN(2)/2)*CM138+(1-EXP(-LN(2)/2))/(LN(2)/2)*CG139*CJ139*VLOOKUP('Données projet'!$B$12,Paramètres!$A$1:$I$89,3,0)*0.475*44/12</f>
        <v>1.3433201262509215E-11</v>
      </c>
      <c r="CN139" s="24">
        <f t="shared" si="120"/>
        <v>6.9213405649480411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215.46880000000002</v>
      </c>
      <c r="O140" s="14">
        <f>N140*VLOOKUP('Données projet'!$B$9,Paramètres!$A$1:$I$89,3,0)*VLOOKUP('Données projet'!$B$9,Paramètres!$A$1:$I$89,5,0)</f>
        <v>100.83939840000001</v>
      </c>
      <c r="P140" s="14">
        <f t="shared" si="141"/>
        <v>27.161875252139833</v>
      </c>
      <c r="Q140" s="22">
        <f t="shared" si="108"/>
        <v>222.93555161081022</v>
      </c>
      <c r="R140" s="62">
        <f t="shared" si="109"/>
        <v>507.93225701973563</v>
      </c>
      <c r="S140" s="62">
        <f ca="1">AVERAGE(OFFSET($R$3,0,0,'Données projet'!$E$9+1,1))-AVERAGE(OFFSET($H$3,0,0,'Données projet'!$E$9+1,1))</f>
        <v>180.76388336802839</v>
      </c>
      <c r="T140" s="62">
        <f t="shared" si="142"/>
        <v>225.35030757566537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4.4862312880009991</v>
      </c>
      <c r="AA140" s="23">
        <f>EXP(-LN(2)/25)*AA139+(1-EXP(-LN(2)/25))/(LN(2)/25)*Calculateur!V140*Calculateur!X140*VLOOKUP('Données projet'!$B$9,Paramètres!$A$1:$I$89,3,0)*0.475*44/12</f>
        <v>1.1768974596801933</v>
      </c>
      <c r="AB140" s="23">
        <f>EXP(-LN(2)/2)*AB139+(1-EXP(-LN(2)/2))/(LN(2)/2)*V140*Y140*VLOOKUP('Données projet'!$B$9,Paramètres!$A$1:$I$89,3,0)*0.475*44/12</f>
        <v>2.2650000321972855E-11</v>
      </c>
      <c r="AC140" s="24">
        <f t="shared" si="111"/>
        <v>5.6631287477038423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243.99999999999989</v>
      </c>
      <c r="AJ140" s="14">
        <f>AI140*VLOOKUP('Données projet'!$B$10,Paramètres!$A$1:$I$89,3,0)*VLOOKUP('Données projet'!$B$10,Paramètres!$A$1:$I$89,5,0)</f>
        <v>190.31999999999991</v>
      </c>
      <c r="AK140" s="14">
        <f t="shared" si="143"/>
        <v>47.61069337740188</v>
      </c>
      <c r="AL140" s="22">
        <f t="shared" si="112"/>
        <v>414.39595763230813</v>
      </c>
      <c r="AM140" s="62">
        <f t="shared" si="113"/>
        <v>699.3926630412335</v>
      </c>
      <c r="AN140" s="62">
        <f ca="1">AVERAGE(OFFSET($AM$3,0,0,'Données projet'!$E$10+1,1))-AVERAGE(OFFSET($H$3,0,0,'Données projet'!$E$10+1,1))</f>
        <v>252.45744983674379</v>
      </c>
      <c r="AO140" s="62">
        <f t="shared" si="144"/>
        <v>283.28099819802776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6.1753454999035267</v>
      </c>
      <c r="AV140" s="23">
        <f>EXP(-LN(2)/25)*AV139+(1-EXP(-LN(2)/25))/(LN(2)/25)*Calculateur!AQ140*Calculateur!AS140*VLOOKUP('Données projet'!$B$10,Paramètres!$A$1:$I$89,3,0)*0.475*44/12</f>
        <v>0.60545651674159284</v>
      </c>
      <c r="AW140" s="23">
        <f>EXP(-LN(2)/2)*AW139+(1-EXP(-LN(2)/2))/(LN(2)/2)*AQ140*AT140*VLOOKUP('Données projet'!$B$10,Paramètres!$A$1:$I$89,3,0)*0.475*44/12</f>
        <v>9.4987077057639576E-12</v>
      </c>
      <c r="AX140" s="23">
        <f t="shared" si="114"/>
        <v>6.7808020166546186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243.99999999999989</v>
      </c>
      <c r="BE140" s="14">
        <f>BD140*VLOOKUP('Données projet'!$B$11,Paramètres!$A$1:$I$89,3,0)*VLOOKUP('Données projet'!$B$11,Paramètres!$A$1:$I$89,5,0)</f>
        <v>190.31999999999991</v>
      </c>
      <c r="BF140" s="14">
        <f t="shared" si="145"/>
        <v>47.61069337740188</v>
      </c>
      <c r="BG140" s="22">
        <f t="shared" si="115"/>
        <v>414.39595763230813</v>
      </c>
      <c r="BH140" s="62">
        <f t="shared" si="116"/>
        <v>699.3926630412335</v>
      </c>
      <c r="BI140" s="62">
        <f ca="1">AVERAGE(OFFSET($BH$3,0,0,'Données projet'!$E$11+1,1))-AVERAGE(OFFSET($H$3,0,0,'Données projet'!$E$11+1,1))</f>
        <v>252.45744983674379</v>
      </c>
      <c r="BJ140" s="62">
        <f t="shared" si="146"/>
        <v>283.28099819802776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6.1753454999035267</v>
      </c>
      <c r="BQ140" s="23">
        <f>EXP(-LN(2)/25)*BQ139+(1-EXP(-LN(2)/25))/(LN(2)/25)*Calculateur!BL140*Calculateur!BN140*VLOOKUP('Données projet'!$B$11,Paramètres!$A$1:$I$89,3,0)*0.475*44/12</f>
        <v>0.60545651674159284</v>
      </c>
      <c r="BR140" s="23">
        <f>EXP(-LN(2)/2)*BR139+(1-EXP(-LN(2)/2))/(LN(2)/2)*BL140*BO140*VLOOKUP('Données projet'!$B$11,Paramètres!$A$1:$I$89,3,0)*0.475*44/12</f>
        <v>9.4987077057639576E-12</v>
      </c>
      <c r="BS140" s="24">
        <f t="shared" si="117"/>
        <v>6.7808020166546186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243.99999999999989</v>
      </c>
      <c r="BZ140" s="14">
        <f>BY140*VLOOKUP('Données projet'!$B$12,Paramètres!$A$1:$I$89,3,0)*VLOOKUP('Données projet'!$B$12,Paramètres!$A$1:$I$89,5,0)</f>
        <v>190.31999999999991</v>
      </c>
      <c r="CA140" s="14">
        <f t="shared" si="147"/>
        <v>47.61069337740188</v>
      </c>
      <c r="CB140" s="22">
        <f t="shared" si="118"/>
        <v>414.39595763230813</v>
      </c>
      <c r="CC140" s="62">
        <f t="shared" si="119"/>
        <v>699.3926630412335</v>
      </c>
      <c r="CD140" s="62">
        <f ca="1">AVERAGE(OFFSET($CC$3,0,0,'Données projet'!$E$12+1,1))-AVERAGE(OFFSET($H$3,0,0,'Données projet'!$E$12+1,1))</f>
        <v>252.45744983674379</v>
      </c>
      <c r="CE140" s="62">
        <f t="shared" si="148"/>
        <v>283.28099819802776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6.1753454999035267</v>
      </c>
      <c r="CL140" s="23">
        <f>EXP(-LN(2)/25)*CL139+(1-EXP(-LN(2)/25))/(LN(2)/25)*Calculateur!CG140*Calculateur!CI140*VLOOKUP('Données projet'!$B$12,Paramètres!$A$1:$I$89,3,0)*0.475*44/12</f>
        <v>0.60545651674159284</v>
      </c>
      <c r="CM140" s="23">
        <f>EXP(-LN(2)/2)*CM139+(1-EXP(-LN(2)/2))/(LN(2)/2)*CG140*CJ140*VLOOKUP('Données projet'!$B$12,Paramètres!$A$1:$I$89,3,0)*0.475*44/12</f>
        <v>9.4987077057639576E-12</v>
      </c>
      <c r="CN140" s="24">
        <f t="shared" si="120"/>
        <v>6.7808020166546186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215.46880000000002</v>
      </c>
      <c r="O141" s="14">
        <f>N141*VLOOKUP('Données projet'!$B$9,Paramètres!$A$1:$I$89,3,0)*VLOOKUP('Données projet'!$B$9,Paramètres!$A$1:$I$89,5,0)</f>
        <v>100.83939840000001</v>
      </c>
      <c r="P141" s="14">
        <f t="shared" si="141"/>
        <v>27.161875252139833</v>
      </c>
      <c r="Q141" s="22">
        <f t="shared" si="108"/>
        <v>222.93555161081022</v>
      </c>
      <c r="R141" s="62">
        <f t="shared" si="109"/>
        <v>508.07687887631619</v>
      </c>
      <c r="S141" s="62">
        <f ca="1">AVERAGE(OFFSET($R$3,0,0,'Données projet'!$E$9+1,1))-AVERAGE(OFFSET($H$3,0,0,'Données projet'!$E$9+1,1))</f>
        <v>180.76388336802839</v>
      </c>
      <c r="T141" s="62">
        <f t="shared" si="142"/>
        <v>225.35030757566537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4.3982590287741949</v>
      </c>
      <c r="AA141" s="23">
        <f>EXP(-LN(2)/25)*AA140+(1-EXP(-LN(2)/25))/(LN(2)/25)*Calculateur!V141*Calculateur!X141*VLOOKUP('Données projet'!$B$9,Paramètres!$A$1:$I$89,3,0)*0.475*44/12</f>
        <v>1.1447151367548909</v>
      </c>
      <c r="AB141" s="23">
        <f>EXP(-LN(2)/2)*AB140+(1-EXP(-LN(2)/2))/(LN(2)/2)*V141*Y141*VLOOKUP('Données projet'!$B$9,Paramètres!$A$1:$I$89,3,0)*0.475*44/12</f>
        <v>1.601596882154449E-11</v>
      </c>
      <c r="AC141" s="24">
        <f t="shared" si="111"/>
        <v>5.5429741655451013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243.99999999999989</v>
      </c>
      <c r="AJ141" s="14">
        <f>AI141*VLOOKUP('Données projet'!$B$10,Paramètres!$A$1:$I$89,3,0)*VLOOKUP('Données projet'!$B$10,Paramètres!$A$1:$I$89,5,0)</f>
        <v>190.31999999999991</v>
      </c>
      <c r="AK141" s="14">
        <f t="shared" si="143"/>
        <v>47.61069337740188</v>
      </c>
      <c r="AL141" s="22">
        <f t="shared" si="112"/>
        <v>414.39595763230813</v>
      </c>
      <c r="AM141" s="62">
        <f t="shared" si="113"/>
        <v>699.53728489781406</v>
      </c>
      <c r="AN141" s="62">
        <f ca="1">AVERAGE(OFFSET($AM$3,0,0,'Données projet'!$E$10+1,1))-AVERAGE(OFFSET($H$3,0,0,'Données projet'!$E$10+1,1))</f>
        <v>252.45744983674379</v>
      </c>
      <c r="AO141" s="62">
        <f t="shared" si="144"/>
        <v>283.28099819802776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6.0542507412392537</v>
      </c>
      <c r="AV141" s="23">
        <f>EXP(-LN(2)/25)*AV140+(1-EXP(-LN(2)/25))/(LN(2)/25)*Calculateur!AQ141*Calculateur!AS141*VLOOKUP('Données projet'!$B$10,Paramètres!$A$1:$I$89,3,0)*0.475*44/12</f>
        <v>0.58890027645171961</v>
      </c>
      <c r="AW141" s="23">
        <f>EXP(-LN(2)/2)*AW140+(1-EXP(-LN(2)/2))/(LN(2)/2)*AQ141*AT141*VLOOKUP('Données projet'!$B$10,Paramètres!$A$1:$I$89,3,0)*0.475*44/12</f>
        <v>6.7166006312546077E-12</v>
      </c>
      <c r="AX141" s="23">
        <f t="shared" si="114"/>
        <v>6.64315101769769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243.99999999999989</v>
      </c>
      <c r="BE141" s="14">
        <f>BD141*VLOOKUP('Données projet'!$B$11,Paramètres!$A$1:$I$89,3,0)*VLOOKUP('Données projet'!$B$11,Paramètres!$A$1:$I$89,5,0)</f>
        <v>190.31999999999991</v>
      </c>
      <c r="BF141" s="14">
        <f t="shared" si="145"/>
        <v>47.61069337740188</v>
      </c>
      <c r="BG141" s="22">
        <f t="shared" si="115"/>
        <v>414.39595763230813</v>
      </c>
      <c r="BH141" s="62">
        <f t="shared" si="116"/>
        <v>699.53728489781406</v>
      </c>
      <c r="BI141" s="62">
        <f ca="1">AVERAGE(OFFSET($BH$3,0,0,'Données projet'!$E$11+1,1))-AVERAGE(OFFSET($H$3,0,0,'Données projet'!$E$11+1,1))</f>
        <v>252.45744983674379</v>
      </c>
      <c r="BJ141" s="62">
        <f t="shared" si="146"/>
        <v>283.28099819802776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6.0542507412392537</v>
      </c>
      <c r="BQ141" s="23">
        <f>EXP(-LN(2)/25)*BQ140+(1-EXP(-LN(2)/25))/(LN(2)/25)*Calculateur!BL141*Calculateur!BN141*VLOOKUP('Données projet'!$B$11,Paramètres!$A$1:$I$89,3,0)*0.475*44/12</f>
        <v>0.58890027645171961</v>
      </c>
      <c r="BR141" s="23">
        <f>EXP(-LN(2)/2)*BR140+(1-EXP(-LN(2)/2))/(LN(2)/2)*BL141*BO141*VLOOKUP('Données projet'!$B$11,Paramètres!$A$1:$I$89,3,0)*0.475*44/12</f>
        <v>6.7166006312546077E-12</v>
      </c>
      <c r="BS141" s="24">
        <f t="shared" si="117"/>
        <v>6.64315101769769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243.99999999999989</v>
      </c>
      <c r="BZ141" s="14">
        <f>BY141*VLOOKUP('Données projet'!$B$12,Paramètres!$A$1:$I$89,3,0)*VLOOKUP('Données projet'!$B$12,Paramètres!$A$1:$I$89,5,0)</f>
        <v>190.31999999999991</v>
      </c>
      <c r="CA141" s="14">
        <f t="shared" si="147"/>
        <v>47.61069337740188</v>
      </c>
      <c r="CB141" s="22">
        <f t="shared" si="118"/>
        <v>414.39595763230813</v>
      </c>
      <c r="CC141" s="62">
        <f t="shared" si="119"/>
        <v>699.53728489781406</v>
      </c>
      <c r="CD141" s="62">
        <f ca="1">AVERAGE(OFFSET($CC$3,0,0,'Données projet'!$E$12+1,1))-AVERAGE(OFFSET($H$3,0,0,'Données projet'!$E$12+1,1))</f>
        <v>252.45744983674379</v>
      </c>
      <c r="CE141" s="62">
        <f t="shared" si="148"/>
        <v>283.28099819802776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6.0542507412392537</v>
      </c>
      <c r="CL141" s="23">
        <f>EXP(-LN(2)/25)*CL140+(1-EXP(-LN(2)/25))/(LN(2)/25)*Calculateur!CG141*Calculateur!CI141*VLOOKUP('Données projet'!$B$12,Paramètres!$A$1:$I$89,3,0)*0.475*44/12</f>
        <v>0.58890027645171961</v>
      </c>
      <c r="CM141" s="23">
        <f>EXP(-LN(2)/2)*CM140+(1-EXP(-LN(2)/2))/(LN(2)/2)*CG141*CJ141*VLOOKUP('Données projet'!$B$12,Paramètres!$A$1:$I$89,3,0)*0.475*44/12</f>
        <v>6.7166006312546077E-12</v>
      </c>
      <c r="CN141" s="24">
        <f t="shared" si="120"/>
        <v>6.64315101769769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215.46880000000002</v>
      </c>
      <c r="O142" s="14">
        <f>N142*VLOOKUP('Données projet'!$B$9,Paramètres!$A$1:$I$89,3,0)*VLOOKUP('Données projet'!$B$9,Paramètres!$A$1:$I$89,5,0)</f>
        <v>100.83939840000001</v>
      </c>
      <c r="P142" s="14">
        <f t="shared" si="141"/>
        <v>27.161875252139833</v>
      </c>
      <c r="Q142" s="22">
        <f t="shared" si="108"/>
        <v>222.93555161081022</v>
      </c>
      <c r="R142" s="62">
        <f t="shared" si="109"/>
        <v>508.21899186701114</v>
      </c>
      <c r="S142" s="62">
        <f ca="1">AVERAGE(OFFSET($R$3,0,0,'Données projet'!$E$9+1,1))-AVERAGE(OFFSET($H$3,0,0,'Données projet'!$E$9+1,1))</f>
        <v>180.76388336802839</v>
      </c>
      <c r="T142" s="62">
        <f t="shared" si="142"/>
        <v>225.35030757566537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4.3120118518930486</v>
      </c>
      <c r="AA142" s="23">
        <f>EXP(-LN(2)/25)*AA141+(1-EXP(-LN(2)/25))/(LN(2)/25)*Calculateur!V142*Calculateur!X142*VLOOKUP('Données projet'!$B$9,Paramètres!$A$1:$I$89,3,0)*0.475*44/12</f>
        <v>1.1134128411423756</v>
      </c>
      <c r="AB142" s="23">
        <f>EXP(-LN(2)/2)*AB141+(1-EXP(-LN(2)/2))/(LN(2)/2)*V142*Y142*VLOOKUP('Données projet'!$B$9,Paramètres!$A$1:$I$89,3,0)*0.475*44/12</f>
        <v>1.1325000160986428E-11</v>
      </c>
      <c r="AC142" s="24">
        <f t="shared" si="111"/>
        <v>5.4254246930467493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243.99999999999989</v>
      </c>
      <c r="AJ142" s="14">
        <f>AI142*VLOOKUP('Données projet'!$B$10,Paramètres!$A$1:$I$89,3,0)*VLOOKUP('Données projet'!$B$10,Paramètres!$A$1:$I$89,5,0)</f>
        <v>190.31999999999991</v>
      </c>
      <c r="AK142" s="14">
        <f t="shared" si="143"/>
        <v>47.61069337740188</v>
      </c>
      <c r="AL142" s="22">
        <f t="shared" si="112"/>
        <v>414.39595763230813</v>
      </c>
      <c r="AM142" s="62">
        <f t="shared" si="113"/>
        <v>699.67939788850902</v>
      </c>
      <c r="AN142" s="62">
        <f ca="1">AVERAGE(OFFSET($AM$3,0,0,'Données projet'!$E$10+1,1))-AVERAGE(OFFSET($H$3,0,0,'Données projet'!$E$10+1,1))</f>
        <v>252.45744983674379</v>
      </c>
      <c r="AO142" s="62">
        <f t="shared" si="144"/>
        <v>283.28099819802776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5.9355305769318774</v>
      </c>
      <c r="AV142" s="23">
        <f>EXP(-LN(2)/25)*AV141+(1-EXP(-LN(2)/25))/(LN(2)/25)*Calculateur!AQ142*Calculateur!AS142*VLOOKUP('Données projet'!$B$10,Paramètres!$A$1:$I$89,3,0)*0.475*44/12</f>
        <v>0.57279676742322772</v>
      </c>
      <c r="AW142" s="23">
        <f>EXP(-LN(2)/2)*AW141+(1-EXP(-LN(2)/2))/(LN(2)/2)*AQ142*AT142*VLOOKUP('Données projet'!$B$10,Paramètres!$A$1:$I$89,3,0)*0.475*44/12</f>
        <v>4.7493538528819788E-12</v>
      </c>
      <c r="AX142" s="23">
        <f t="shared" si="114"/>
        <v>6.5083273443598539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243.99999999999989</v>
      </c>
      <c r="BE142" s="14">
        <f>BD142*VLOOKUP('Données projet'!$B$11,Paramètres!$A$1:$I$89,3,0)*VLOOKUP('Données projet'!$B$11,Paramètres!$A$1:$I$89,5,0)</f>
        <v>190.31999999999991</v>
      </c>
      <c r="BF142" s="14">
        <f t="shared" si="145"/>
        <v>47.61069337740188</v>
      </c>
      <c r="BG142" s="22">
        <f t="shared" si="115"/>
        <v>414.39595763230813</v>
      </c>
      <c r="BH142" s="62">
        <f t="shared" si="116"/>
        <v>699.67939788850902</v>
      </c>
      <c r="BI142" s="62">
        <f ca="1">AVERAGE(OFFSET($BH$3,0,0,'Données projet'!$E$11+1,1))-AVERAGE(OFFSET($H$3,0,0,'Données projet'!$E$11+1,1))</f>
        <v>252.45744983674379</v>
      </c>
      <c r="BJ142" s="62">
        <f t="shared" si="146"/>
        <v>283.28099819802776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5.9355305769318774</v>
      </c>
      <c r="BQ142" s="23">
        <f>EXP(-LN(2)/25)*BQ141+(1-EXP(-LN(2)/25))/(LN(2)/25)*Calculateur!BL142*Calculateur!BN142*VLOOKUP('Données projet'!$B$11,Paramètres!$A$1:$I$89,3,0)*0.475*44/12</f>
        <v>0.57279676742322772</v>
      </c>
      <c r="BR142" s="23">
        <f>EXP(-LN(2)/2)*BR141+(1-EXP(-LN(2)/2))/(LN(2)/2)*BL142*BO142*VLOOKUP('Données projet'!$B$11,Paramètres!$A$1:$I$89,3,0)*0.475*44/12</f>
        <v>4.7493538528819788E-12</v>
      </c>
      <c r="BS142" s="24">
        <f t="shared" si="117"/>
        <v>6.5083273443598539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243.99999999999989</v>
      </c>
      <c r="BZ142" s="14">
        <f>BY142*VLOOKUP('Données projet'!$B$12,Paramètres!$A$1:$I$89,3,0)*VLOOKUP('Données projet'!$B$12,Paramètres!$A$1:$I$89,5,0)</f>
        <v>190.31999999999991</v>
      </c>
      <c r="CA142" s="14">
        <f t="shared" si="147"/>
        <v>47.61069337740188</v>
      </c>
      <c r="CB142" s="22">
        <f t="shared" si="118"/>
        <v>414.39595763230813</v>
      </c>
      <c r="CC142" s="62">
        <f t="shared" si="119"/>
        <v>699.67939788850902</v>
      </c>
      <c r="CD142" s="62">
        <f ca="1">AVERAGE(OFFSET($CC$3,0,0,'Données projet'!$E$12+1,1))-AVERAGE(OFFSET($H$3,0,0,'Données projet'!$E$12+1,1))</f>
        <v>252.45744983674379</v>
      </c>
      <c r="CE142" s="62">
        <f t="shared" si="148"/>
        <v>283.28099819802776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5.9355305769318774</v>
      </c>
      <c r="CL142" s="23">
        <f>EXP(-LN(2)/25)*CL141+(1-EXP(-LN(2)/25))/(LN(2)/25)*Calculateur!CG142*Calculateur!CI142*VLOOKUP('Données projet'!$B$12,Paramètres!$A$1:$I$89,3,0)*0.475*44/12</f>
        <v>0.57279676742322772</v>
      </c>
      <c r="CM142" s="23">
        <f>EXP(-LN(2)/2)*CM141+(1-EXP(-LN(2)/2))/(LN(2)/2)*CG142*CJ142*VLOOKUP('Données projet'!$B$12,Paramètres!$A$1:$I$89,3,0)*0.475*44/12</f>
        <v>4.7493538528819788E-12</v>
      </c>
      <c r="CN142" s="24">
        <f t="shared" si="120"/>
        <v>6.5083273443598539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215.46880000000002</v>
      </c>
      <c r="O143" s="14">
        <f>N143*VLOOKUP('Données projet'!$B$9,Paramètres!$A$1:$I$89,3,0)*VLOOKUP('Données projet'!$B$9,Paramètres!$A$1:$I$89,5,0)</f>
        <v>100.83939840000001</v>
      </c>
      <c r="P143" s="14">
        <f t="shared" si="141"/>
        <v>27.161875252139833</v>
      </c>
      <c r="Q143" s="22">
        <f t="shared" si="108"/>
        <v>222.93555161081022</v>
      </c>
      <c r="R143" s="62">
        <f t="shared" si="109"/>
        <v>508.35863951503461</v>
      </c>
      <c r="S143" s="62">
        <f ca="1">AVERAGE(OFFSET($R$3,0,0,'Données projet'!$E$9+1,1))-AVERAGE(OFFSET($H$3,0,0,'Données projet'!$E$9+1,1))</f>
        <v>180.76388336802839</v>
      </c>
      <c r="T143" s="62">
        <f t="shared" si="142"/>
        <v>225.35030757566537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4.2274559295449583</v>
      </c>
      <c r="AA143" s="23">
        <f>EXP(-LN(2)/25)*AA142+(1-EXP(-LN(2)/25))/(LN(2)/25)*Calculateur!V143*Calculateur!X143*VLOOKUP('Données projet'!$B$9,Paramètres!$A$1:$I$89,3,0)*0.475*44/12</f>
        <v>1.0829665084495008</v>
      </c>
      <c r="AB143" s="23">
        <f>EXP(-LN(2)/2)*AB142+(1-EXP(-LN(2)/2))/(LN(2)/2)*V143*Y143*VLOOKUP('Données projet'!$B$9,Paramètres!$A$1:$I$89,3,0)*0.475*44/12</f>
        <v>8.0079844107722452E-12</v>
      </c>
      <c r="AC143" s="24">
        <f t="shared" si="111"/>
        <v>5.3104224380024672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243.99999999999989</v>
      </c>
      <c r="AJ143" s="14">
        <f>AI143*VLOOKUP('Données projet'!$B$10,Paramètres!$A$1:$I$89,3,0)*VLOOKUP('Données projet'!$B$10,Paramètres!$A$1:$I$89,5,0)</f>
        <v>190.31999999999991</v>
      </c>
      <c r="AK143" s="14">
        <f t="shared" si="143"/>
        <v>47.61069337740188</v>
      </c>
      <c r="AL143" s="22">
        <f t="shared" si="112"/>
        <v>414.39595763230813</v>
      </c>
      <c r="AM143" s="62">
        <f t="shared" si="113"/>
        <v>699.81904553653249</v>
      </c>
      <c r="AN143" s="62">
        <f ca="1">AVERAGE(OFFSET($AM$3,0,0,'Données projet'!$E$10+1,1))-AVERAGE(OFFSET($H$3,0,0,'Données projet'!$E$10+1,1))</f>
        <v>252.45744983674379</v>
      </c>
      <c r="AO143" s="62">
        <f t="shared" si="144"/>
        <v>283.28099819802776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5.8191384426344186</v>
      </c>
      <c r="AV143" s="23">
        <f>EXP(-LN(2)/25)*AV142+(1-EXP(-LN(2)/25))/(LN(2)/25)*Calculateur!AQ143*Calculateur!AS143*VLOOKUP('Données projet'!$B$10,Paramètres!$A$1:$I$89,3,0)*0.475*44/12</f>
        <v>0.5571336096959667</v>
      </c>
      <c r="AW143" s="23">
        <f>EXP(-LN(2)/2)*AW142+(1-EXP(-LN(2)/2))/(LN(2)/2)*AQ143*AT143*VLOOKUP('Données projet'!$B$10,Paramètres!$A$1:$I$89,3,0)*0.475*44/12</f>
        <v>3.3583003156273038E-12</v>
      </c>
      <c r="AX143" s="23">
        <f t="shared" si="114"/>
        <v>6.3762720523337437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243.99999999999989</v>
      </c>
      <c r="BE143" s="14">
        <f>BD143*VLOOKUP('Données projet'!$B$11,Paramètres!$A$1:$I$89,3,0)*VLOOKUP('Données projet'!$B$11,Paramètres!$A$1:$I$89,5,0)</f>
        <v>190.31999999999991</v>
      </c>
      <c r="BF143" s="14">
        <f t="shared" si="145"/>
        <v>47.61069337740188</v>
      </c>
      <c r="BG143" s="22">
        <f t="shared" si="115"/>
        <v>414.39595763230813</v>
      </c>
      <c r="BH143" s="62">
        <f t="shared" si="116"/>
        <v>699.81904553653249</v>
      </c>
      <c r="BI143" s="62">
        <f ca="1">AVERAGE(OFFSET($BH$3,0,0,'Données projet'!$E$11+1,1))-AVERAGE(OFFSET($H$3,0,0,'Données projet'!$E$11+1,1))</f>
        <v>252.45744983674379</v>
      </c>
      <c r="BJ143" s="62">
        <f t="shared" si="146"/>
        <v>283.28099819802776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5.8191384426344186</v>
      </c>
      <c r="BQ143" s="23">
        <f>EXP(-LN(2)/25)*BQ142+(1-EXP(-LN(2)/25))/(LN(2)/25)*Calculateur!BL143*Calculateur!BN143*VLOOKUP('Données projet'!$B$11,Paramètres!$A$1:$I$89,3,0)*0.475*44/12</f>
        <v>0.5571336096959667</v>
      </c>
      <c r="BR143" s="23">
        <f>EXP(-LN(2)/2)*BR142+(1-EXP(-LN(2)/2))/(LN(2)/2)*BL143*BO143*VLOOKUP('Données projet'!$B$11,Paramètres!$A$1:$I$89,3,0)*0.475*44/12</f>
        <v>3.3583003156273038E-12</v>
      </c>
      <c r="BS143" s="24">
        <f t="shared" si="117"/>
        <v>6.3762720523337437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243.99999999999989</v>
      </c>
      <c r="BZ143" s="14">
        <f>BY143*VLOOKUP('Données projet'!$B$12,Paramètres!$A$1:$I$89,3,0)*VLOOKUP('Données projet'!$B$12,Paramètres!$A$1:$I$89,5,0)</f>
        <v>190.31999999999991</v>
      </c>
      <c r="CA143" s="14">
        <f t="shared" si="147"/>
        <v>47.61069337740188</v>
      </c>
      <c r="CB143" s="22">
        <f t="shared" si="118"/>
        <v>414.39595763230813</v>
      </c>
      <c r="CC143" s="62">
        <f t="shared" si="119"/>
        <v>699.81904553653249</v>
      </c>
      <c r="CD143" s="62">
        <f ca="1">AVERAGE(OFFSET($CC$3,0,0,'Données projet'!$E$12+1,1))-AVERAGE(OFFSET($H$3,0,0,'Données projet'!$E$12+1,1))</f>
        <v>252.45744983674379</v>
      </c>
      <c r="CE143" s="62">
        <f t="shared" si="148"/>
        <v>283.28099819802776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5.8191384426344186</v>
      </c>
      <c r="CL143" s="23">
        <f>EXP(-LN(2)/25)*CL142+(1-EXP(-LN(2)/25))/(LN(2)/25)*Calculateur!CG143*Calculateur!CI143*VLOOKUP('Données projet'!$B$12,Paramètres!$A$1:$I$89,3,0)*0.475*44/12</f>
        <v>0.5571336096959667</v>
      </c>
      <c r="CM143" s="23">
        <f>EXP(-LN(2)/2)*CM142+(1-EXP(-LN(2)/2))/(LN(2)/2)*CG143*CJ143*VLOOKUP('Données projet'!$B$12,Paramètres!$A$1:$I$89,3,0)*0.475*44/12</f>
        <v>3.3583003156273038E-12</v>
      </c>
      <c r="CN143" s="24">
        <f t="shared" si="120"/>
        <v>6.3762720523337437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215.46880000000002</v>
      </c>
      <c r="O144" s="14">
        <f>N144*VLOOKUP('Données projet'!$B$9,Paramètres!$A$1:$I$89,3,0)*VLOOKUP('Données projet'!$B$9,Paramètres!$A$1:$I$89,5,0)</f>
        <v>100.83939840000001</v>
      </c>
      <c r="P144" s="14">
        <f t="shared" si="141"/>
        <v>27.161875252139833</v>
      </c>
      <c r="Q144" s="22">
        <f t="shared" si="108"/>
        <v>222.93555161081022</v>
      </c>
      <c r="R144" s="62">
        <f t="shared" si="109"/>
        <v>508.49586458857027</v>
      </c>
      <c r="S144" s="62">
        <f ca="1">AVERAGE(OFFSET($R$3,0,0,'Données projet'!$E$9+1,1))-AVERAGE(OFFSET($H$3,0,0,'Données projet'!$E$9+1,1))</f>
        <v>180.76388336802839</v>
      </c>
      <c r="T144" s="62">
        <f t="shared" si="142"/>
        <v>225.35030757566537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4.1445580972600933</v>
      </c>
      <c r="AA144" s="23">
        <f>EXP(-LN(2)/25)*AA143+(1-EXP(-LN(2)/25))/(LN(2)/25)*Calculateur!V144*Calculateur!X144*VLOOKUP('Données projet'!$B$9,Paramètres!$A$1:$I$89,3,0)*0.475*44/12</f>
        <v>1.0533527323252156</v>
      </c>
      <c r="AB144" s="23">
        <f>EXP(-LN(2)/2)*AB143+(1-EXP(-LN(2)/2))/(LN(2)/2)*V144*Y144*VLOOKUP('Données projet'!$B$9,Paramètres!$A$1:$I$89,3,0)*0.475*44/12</f>
        <v>5.6625000804932138E-12</v>
      </c>
      <c r="AC144" s="24">
        <f t="shared" si="111"/>
        <v>5.1979108295909713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243.99999999999989</v>
      </c>
      <c r="AJ144" s="14">
        <f>AI144*VLOOKUP('Données projet'!$B$10,Paramètres!$A$1:$I$89,3,0)*VLOOKUP('Données projet'!$B$10,Paramètres!$A$1:$I$89,5,0)</f>
        <v>190.31999999999991</v>
      </c>
      <c r="AK144" s="14">
        <f t="shared" si="143"/>
        <v>47.61069337740188</v>
      </c>
      <c r="AL144" s="22">
        <f t="shared" si="112"/>
        <v>414.39595763230813</v>
      </c>
      <c r="AM144" s="62">
        <f t="shared" si="113"/>
        <v>699.95627061006815</v>
      </c>
      <c r="AN144" s="62">
        <f ca="1">AVERAGE(OFFSET($AM$3,0,0,'Données projet'!$E$10+1,1))-AVERAGE(OFFSET($H$3,0,0,'Données projet'!$E$10+1,1))</f>
        <v>252.45744983674379</v>
      </c>
      <c r="AO144" s="62">
        <f t="shared" si="144"/>
        <v>283.28099819802776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5.7050286870983413</v>
      </c>
      <c r="AV144" s="23">
        <f>EXP(-LN(2)/25)*AV143+(1-EXP(-LN(2)/25))/(LN(2)/25)*Calculateur!AQ144*Calculateur!AS144*VLOOKUP('Données projet'!$B$10,Paramètres!$A$1:$I$89,3,0)*0.475*44/12</f>
        <v>0.54189876184044727</v>
      </c>
      <c r="AW144" s="23">
        <f>EXP(-LN(2)/2)*AW143+(1-EXP(-LN(2)/2))/(LN(2)/2)*AQ144*AT144*VLOOKUP('Données projet'!$B$10,Paramètres!$A$1:$I$89,3,0)*0.475*44/12</f>
        <v>2.3746769264409894E-12</v>
      </c>
      <c r="AX144" s="23">
        <f t="shared" si="114"/>
        <v>6.2469274489411637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243.99999999999989</v>
      </c>
      <c r="BE144" s="14">
        <f>BD144*VLOOKUP('Données projet'!$B$11,Paramètres!$A$1:$I$89,3,0)*VLOOKUP('Données projet'!$B$11,Paramètres!$A$1:$I$89,5,0)</f>
        <v>190.31999999999991</v>
      </c>
      <c r="BF144" s="14">
        <f t="shared" si="145"/>
        <v>47.61069337740188</v>
      </c>
      <c r="BG144" s="22">
        <f t="shared" si="115"/>
        <v>414.39595763230813</v>
      </c>
      <c r="BH144" s="62">
        <f t="shared" si="116"/>
        <v>699.95627061006815</v>
      </c>
      <c r="BI144" s="62">
        <f ca="1">AVERAGE(OFFSET($BH$3,0,0,'Données projet'!$E$11+1,1))-AVERAGE(OFFSET($H$3,0,0,'Données projet'!$E$11+1,1))</f>
        <v>252.45744983674379</v>
      </c>
      <c r="BJ144" s="62">
        <f t="shared" si="146"/>
        <v>283.28099819802776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5.7050286870983413</v>
      </c>
      <c r="BQ144" s="23">
        <f>EXP(-LN(2)/25)*BQ143+(1-EXP(-LN(2)/25))/(LN(2)/25)*Calculateur!BL144*Calculateur!BN144*VLOOKUP('Données projet'!$B$11,Paramètres!$A$1:$I$89,3,0)*0.475*44/12</f>
        <v>0.54189876184044727</v>
      </c>
      <c r="BR144" s="23">
        <f>EXP(-LN(2)/2)*BR143+(1-EXP(-LN(2)/2))/(LN(2)/2)*BL144*BO144*VLOOKUP('Données projet'!$B$11,Paramètres!$A$1:$I$89,3,0)*0.475*44/12</f>
        <v>2.3746769264409894E-12</v>
      </c>
      <c r="BS144" s="24">
        <f t="shared" si="117"/>
        <v>6.2469274489411637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243.99999999999989</v>
      </c>
      <c r="BZ144" s="14">
        <f>BY144*VLOOKUP('Données projet'!$B$12,Paramètres!$A$1:$I$89,3,0)*VLOOKUP('Données projet'!$B$12,Paramètres!$A$1:$I$89,5,0)</f>
        <v>190.31999999999991</v>
      </c>
      <c r="CA144" s="14">
        <f t="shared" si="147"/>
        <v>47.61069337740188</v>
      </c>
      <c r="CB144" s="22">
        <f t="shared" si="118"/>
        <v>414.39595763230813</v>
      </c>
      <c r="CC144" s="62">
        <f t="shared" si="119"/>
        <v>699.95627061006815</v>
      </c>
      <c r="CD144" s="62">
        <f ca="1">AVERAGE(OFFSET($CC$3,0,0,'Données projet'!$E$12+1,1))-AVERAGE(OFFSET($H$3,0,0,'Données projet'!$E$12+1,1))</f>
        <v>252.45744983674379</v>
      </c>
      <c r="CE144" s="62">
        <f t="shared" si="148"/>
        <v>283.28099819802776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5.7050286870983413</v>
      </c>
      <c r="CL144" s="23">
        <f>EXP(-LN(2)/25)*CL143+(1-EXP(-LN(2)/25))/(LN(2)/25)*Calculateur!CG144*Calculateur!CI144*VLOOKUP('Données projet'!$B$12,Paramètres!$A$1:$I$89,3,0)*0.475*44/12</f>
        <v>0.54189876184044727</v>
      </c>
      <c r="CM144" s="23">
        <f>EXP(-LN(2)/2)*CM143+(1-EXP(-LN(2)/2))/(LN(2)/2)*CG144*CJ144*VLOOKUP('Données projet'!$B$12,Paramètres!$A$1:$I$89,3,0)*0.475*44/12</f>
        <v>2.3746769264409894E-12</v>
      </c>
      <c r="CN144" s="24">
        <f t="shared" si="120"/>
        <v>6.2469274489411637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215.46880000000002</v>
      </c>
      <c r="O145" s="14">
        <f>N145*VLOOKUP('Données projet'!$B$9,Paramètres!$A$1:$I$89,3,0)*VLOOKUP('Données projet'!$B$9,Paramètres!$A$1:$I$89,5,0)</f>
        <v>100.83939840000001</v>
      </c>
      <c r="P145" s="14">
        <f t="shared" si="141"/>
        <v>27.161875252139833</v>
      </c>
      <c r="Q145" s="22">
        <f t="shared" si="108"/>
        <v>222.93555161081022</v>
      </c>
      <c r="R145" s="62">
        <f t="shared" si="109"/>
        <v>508.63070911386933</v>
      </c>
      <c r="S145" s="62">
        <f ca="1">AVERAGE(OFFSET($R$3,0,0,'Données projet'!$E$9+1,1))-AVERAGE(OFFSET($H$3,0,0,'Données projet'!$E$9+1,1))</f>
        <v>180.76388336802839</v>
      </c>
      <c r="T145" s="62">
        <f t="shared" si="142"/>
        <v>225.35030757566537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4.0632858409036494</v>
      </c>
      <c r="AA145" s="23">
        <f>EXP(-LN(2)/25)*AA144+(1-EXP(-LN(2)/25))/(LN(2)/25)*Calculateur!V145*Calculateur!X145*VLOOKUP('Données projet'!$B$9,Paramètres!$A$1:$I$89,3,0)*0.475*44/12</f>
        <v>1.0245487464663698</v>
      </c>
      <c r="AB145" s="23">
        <f>EXP(-LN(2)/2)*AB144+(1-EXP(-LN(2)/2))/(LN(2)/2)*V145*Y145*VLOOKUP('Données projet'!$B$9,Paramètres!$A$1:$I$89,3,0)*0.475*44/12</f>
        <v>4.0039922053861226E-12</v>
      </c>
      <c r="AC145" s="24">
        <f t="shared" si="111"/>
        <v>5.0878345873740232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243.99999999999989</v>
      </c>
      <c r="AJ145" s="14">
        <f>AI145*VLOOKUP('Données projet'!$B$10,Paramètres!$A$1:$I$89,3,0)*VLOOKUP('Données projet'!$B$10,Paramètres!$A$1:$I$89,5,0)</f>
        <v>190.31999999999991</v>
      </c>
      <c r="AK145" s="14">
        <f t="shared" si="143"/>
        <v>47.61069337740188</v>
      </c>
      <c r="AL145" s="22">
        <f t="shared" si="112"/>
        <v>414.39595763230813</v>
      </c>
      <c r="AM145" s="62">
        <f t="shared" si="113"/>
        <v>700.0911151353672</v>
      </c>
      <c r="AN145" s="62">
        <f ca="1">AVERAGE(OFFSET($AM$3,0,0,'Données projet'!$E$10+1,1))-AVERAGE(OFFSET($H$3,0,0,'Données projet'!$E$10+1,1))</f>
        <v>252.45744983674379</v>
      </c>
      <c r="AO145" s="62">
        <f t="shared" si="144"/>
        <v>283.28099819802776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5.5931565542682478</v>
      </c>
      <c r="AV145" s="23">
        <f>EXP(-LN(2)/25)*AV144+(1-EXP(-LN(2)/25))/(LN(2)/25)*Calculateur!AQ145*Calculateur!AS145*VLOOKUP('Données projet'!$B$10,Paramètres!$A$1:$I$89,3,0)*0.475*44/12</f>
        <v>0.52708051170070291</v>
      </c>
      <c r="AW145" s="23">
        <f>EXP(-LN(2)/2)*AW144+(1-EXP(-LN(2)/2))/(LN(2)/2)*AQ145*AT145*VLOOKUP('Données projet'!$B$10,Paramètres!$A$1:$I$89,3,0)*0.475*44/12</f>
        <v>1.6791501578136519E-12</v>
      </c>
      <c r="AX145" s="23">
        <f t="shared" si="114"/>
        <v>6.1202370659706302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243.99999999999989</v>
      </c>
      <c r="BE145" s="14">
        <f>BD145*VLOOKUP('Données projet'!$B$11,Paramètres!$A$1:$I$89,3,0)*VLOOKUP('Données projet'!$B$11,Paramètres!$A$1:$I$89,5,0)</f>
        <v>190.31999999999991</v>
      </c>
      <c r="BF145" s="14">
        <f t="shared" si="145"/>
        <v>47.61069337740188</v>
      </c>
      <c r="BG145" s="22">
        <f t="shared" si="115"/>
        <v>414.39595763230813</v>
      </c>
      <c r="BH145" s="62">
        <f t="shared" si="116"/>
        <v>700.0911151353672</v>
      </c>
      <c r="BI145" s="62">
        <f ca="1">AVERAGE(OFFSET($BH$3,0,0,'Données projet'!$E$11+1,1))-AVERAGE(OFFSET($H$3,0,0,'Données projet'!$E$11+1,1))</f>
        <v>252.45744983674379</v>
      </c>
      <c r="BJ145" s="62">
        <f t="shared" si="146"/>
        <v>283.28099819802776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5.5931565542682478</v>
      </c>
      <c r="BQ145" s="23">
        <f>EXP(-LN(2)/25)*BQ144+(1-EXP(-LN(2)/25))/(LN(2)/25)*Calculateur!BL145*Calculateur!BN145*VLOOKUP('Données projet'!$B$11,Paramètres!$A$1:$I$89,3,0)*0.475*44/12</f>
        <v>0.52708051170070291</v>
      </c>
      <c r="BR145" s="23">
        <f>EXP(-LN(2)/2)*BR144+(1-EXP(-LN(2)/2))/(LN(2)/2)*BL145*BO145*VLOOKUP('Données projet'!$B$11,Paramètres!$A$1:$I$89,3,0)*0.475*44/12</f>
        <v>1.6791501578136519E-12</v>
      </c>
      <c r="BS145" s="24">
        <f t="shared" si="117"/>
        <v>6.1202370659706302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243.99999999999989</v>
      </c>
      <c r="BZ145" s="14">
        <f>BY145*VLOOKUP('Données projet'!$B$12,Paramètres!$A$1:$I$89,3,0)*VLOOKUP('Données projet'!$B$12,Paramètres!$A$1:$I$89,5,0)</f>
        <v>190.31999999999991</v>
      </c>
      <c r="CA145" s="14">
        <f t="shared" si="147"/>
        <v>47.61069337740188</v>
      </c>
      <c r="CB145" s="22">
        <f t="shared" si="118"/>
        <v>414.39595763230813</v>
      </c>
      <c r="CC145" s="62">
        <f t="shared" si="119"/>
        <v>700.0911151353672</v>
      </c>
      <c r="CD145" s="62">
        <f ca="1">AVERAGE(OFFSET($CC$3,0,0,'Données projet'!$E$12+1,1))-AVERAGE(OFFSET($H$3,0,0,'Données projet'!$E$12+1,1))</f>
        <v>252.45744983674379</v>
      </c>
      <c r="CE145" s="62">
        <f t="shared" si="148"/>
        <v>283.28099819802776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5.5931565542682478</v>
      </c>
      <c r="CL145" s="23">
        <f>EXP(-LN(2)/25)*CL144+(1-EXP(-LN(2)/25))/(LN(2)/25)*Calculateur!CG145*Calculateur!CI145*VLOOKUP('Données projet'!$B$12,Paramètres!$A$1:$I$89,3,0)*0.475*44/12</f>
        <v>0.52708051170070291</v>
      </c>
      <c r="CM145" s="23">
        <f>EXP(-LN(2)/2)*CM144+(1-EXP(-LN(2)/2))/(LN(2)/2)*CG145*CJ145*VLOOKUP('Données projet'!$B$12,Paramètres!$A$1:$I$89,3,0)*0.475*44/12</f>
        <v>1.6791501578136519E-12</v>
      </c>
      <c r="CN145" s="24">
        <f t="shared" si="120"/>
        <v>6.1202370659706302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215.46880000000002</v>
      </c>
      <c r="O146" s="14">
        <f>N146*VLOOKUP('Données projet'!$B$9,Paramètres!$A$1:$I$89,3,0)*VLOOKUP('Données projet'!$B$9,Paramètres!$A$1:$I$89,5,0)</f>
        <v>100.83939840000001</v>
      </c>
      <c r="P146" s="14">
        <f t="shared" si="141"/>
        <v>27.161875252139833</v>
      </c>
      <c r="Q146" s="22">
        <f t="shared" si="108"/>
        <v>222.93555161081022</v>
      </c>
      <c r="R146" s="62">
        <f t="shared" si="109"/>
        <v>508.7632143881217</v>
      </c>
      <c r="S146" s="62">
        <f ca="1">AVERAGE(OFFSET($R$3,0,0,'Données projet'!$E$9+1,1))-AVERAGE(OFFSET($H$3,0,0,'Données projet'!$E$9+1,1))</f>
        <v>180.76388336802839</v>
      </c>
      <c r="T146" s="62">
        <f t="shared" si="142"/>
        <v>225.35030757566537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3.983607283923174</v>
      </c>
      <c r="AA146" s="23">
        <f>EXP(-LN(2)/25)*AA145+(1-EXP(-LN(2)/25))/(LN(2)/25)*Calculateur!V146*Calculateur!X146*VLOOKUP('Données projet'!$B$9,Paramètres!$A$1:$I$89,3,0)*0.475*44/12</f>
        <v>0.99653240711557001</v>
      </c>
      <c r="AB146" s="23">
        <f>EXP(-LN(2)/2)*AB145+(1-EXP(-LN(2)/2))/(LN(2)/2)*V146*Y146*VLOOKUP('Données projet'!$B$9,Paramètres!$A$1:$I$89,3,0)*0.475*44/12</f>
        <v>2.8312500402466069E-12</v>
      </c>
      <c r="AC146" s="24">
        <f t="shared" si="111"/>
        <v>4.9801396910415754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243.99999999999989</v>
      </c>
      <c r="AJ146" s="14">
        <f>AI146*VLOOKUP('Données projet'!$B$10,Paramètres!$A$1:$I$89,3,0)*VLOOKUP('Données projet'!$B$10,Paramètres!$A$1:$I$89,5,0)</f>
        <v>190.31999999999991</v>
      </c>
      <c r="AK146" s="14">
        <f t="shared" si="143"/>
        <v>47.61069337740188</v>
      </c>
      <c r="AL146" s="22">
        <f t="shared" si="112"/>
        <v>414.39595763230813</v>
      </c>
      <c r="AM146" s="62">
        <f t="shared" si="113"/>
        <v>700.22362040961957</v>
      </c>
      <c r="AN146" s="62">
        <f ca="1">AVERAGE(OFFSET($AM$3,0,0,'Données projet'!$E$10+1,1))-AVERAGE(OFFSET($H$3,0,0,'Données projet'!$E$10+1,1))</f>
        <v>252.45744983674379</v>
      </c>
      <c r="AO146" s="62">
        <f t="shared" si="144"/>
        <v>283.28099819802776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5.4834781657276892</v>
      </c>
      <c r="AV146" s="23">
        <f>EXP(-LN(2)/25)*AV145+(1-EXP(-LN(2)/25))/(LN(2)/25)*Calculateur!AQ146*Calculateur!AS146*VLOOKUP('Données projet'!$B$10,Paramètres!$A$1:$I$89,3,0)*0.475*44/12</f>
        <v>0.51266746739028779</v>
      </c>
      <c r="AW146" s="23">
        <f>EXP(-LN(2)/2)*AW145+(1-EXP(-LN(2)/2))/(LN(2)/2)*AQ146*AT146*VLOOKUP('Données projet'!$B$10,Paramètres!$A$1:$I$89,3,0)*0.475*44/12</f>
        <v>1.1873384632204947E-12</v>
      </c>
      <c r="AX146" s="23">
        <f t="shared" si="114"/>
        <v>5.9961456331191645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243.99999999999989</v>
      </c>
      <c r="BE146" s="14">
        <f>BD146*VLOOKUP('Données projet'!$B$11,Paramètres!$A$1:$I$89,3,0)*VLOOKUP('Données projet'!$B$11,Paramètres!$A$1:$I$89,5,0)</f>
        <v>190.31999999999991</v>
      </c>
      <c r="BF146" s="14">
        <f t="shared" si="145"/>
        <v>47.61069337740188</v>
      </c>
      <c r="BG146" s="22">
        <f t="shared" si="115"/>
        <v>414.39595763230813</v>
      </c>
      <c r="BH146" s="62">
        <f t="shared" si="116"/>
        <v>700.22362040961957</v>
      </c>
      <c r="BI146" s="62">
        <f ca="1">AVERAGE(OFFSET($BH$3,0,0,'Données projet'!$E$11+1,1))-AVERAGE(OFFSET($H$3,0,0,'Données projet'!$E$11+1,1))</f>
        <v>252.45744983674379</v>
      </c>
      <c r="BJ146" s="62">
        <f t="shared" si="146"/>
        <v>283.28099819802776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5.4834781657276892</v>
      </c>
      <c r="BQ146" s="23">
        <f>EXP(-LN(2)/25)*BQ145+(1-EXP(-LN(2)/25))/(LN(2)/25)*Calculateur!BL146*Calculateur!BN146*VLOOKUP('Données projet'!$B$11,Paramètres!$A$1:$I$89,3,0)*0.475*44/12</f>
        <v>0.51266746739028779</v>
      </c>
      <c r="BR146" s="23">
        <f>EXP(-LN(2)/2)*BR145+(1-EXP(-LN(2)/2))/(LN(2)/2)*BL146*BO146*VLOOKUP('Données projet'!$B$11,Paramètres!$A$1:$I$89,3,0)*0.475*44/12</f>
        <v>1.1873384632204947E-12</v>
      </c>
      <c r="BS146" s="24">
        <f t="shared" si="117"/>
        <v>5.9961456331191645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243.99999999999989</v>
      </c>
      <c r="BZ146" s="14">
        <f>BY146*VLOOKUP('Données projet'!$B$12,Paramètres!$A$1:$I$89,3,0)*VLOOKUP('Données projet'!$B$12,Paramètres!$A$1:$I$89,5,0)</f>
        <v>190.31999999999991</v>
      </c>
      <c r="CA146" s="14">
        <f t="shared" si="147"/>
        <v>47.61069337740188</v>
      </c>
      <c r="CB146" s="22">
        <f t="shared" si="118"/>
        <v>414.39595763230813</v>
      </c>
      <c r="CC146" s="62">
        <f t="shared" si="119"/>
        <v>700.22362040961957</v>
      </c>
      <c r="CD146" s="62">
        <f ca="1">AVERAGE(OFFSET($CC$3,0,0,'Données projet'!$E$12+1,1))-AVERAGE(OFFSET($H$3,0,0,'Données projet'!$E$12+1,1))</f>
        <v>252.45744983674379</v>
      </c>
      <c r="CE146" s="62">
        <f t="shared" si="148"/>
        <v>283.28099819802776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5.4834781657276892</v>
      </c>
      <c r="CL146" s="23">
        <f>EXP(-LN(2)/25)*CL145+(1-EXP(-LN(2)/25))/(LN(2)/25)*Calculateur!CG146*Calculateur!CI146*VLOOKUP('Données projet'!$B$12,Paramètres!$A$1:$I$89,3,0)*0.475*44/12</f>
        <v>0.51266746739028779</v>
      </c>
      <c r="CM146" s="23">
        <f>EXP(-LN(2)/2)*CM145+(1-EXP(-LN(2)/2))/(LN(2)/2)*CG146*CJ146*VLOOKUP('Données projet'!$B$12,Paramètres!$A$1:$I$89,3,0)*0.475*44/12</f>
        <v>1.1873384632204947E-12</v>
      </c>
      <c r="CN146" s="24">
        <f t="shared" si="120"/>
        <v>5.9961456331191645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215.46880000000002</v>
      </c>
      <c r="O147" s="14">
        <f>N147*VLOOKUP('Données projet'!$B$9,Paramètres!$A$1:$I$89,3,0)*VLOOKUP('Données projet'!$B$9,Paramètres!$A$1:$I$89,5,0)</f>
        <v>100.83939840000001</v>
      </c>
      <c r="P147" s="14">
        <f t="shared" si="141"/>
        <v>27.161875252139833</v>
      </c>
      <c r="Q147" s="22">
        <f t="shared" si="108"/>
        <v>222.93555161081022</v>
      </c>
      <c r="R147" s="62">
        <f t="shared" si="109"/>
        <v>508.89342099210307</v>
      </c>
      <c r="S147" s="62">
        <f ca="1">AVERAGE(OFFSET($R$3,0,0,'Données projet'!$E$9+1,1))-AVERAGE(OFFSET($H$3,0,0,'Données projet'!$E$9+1,1))</f>
        <v>180.76388336802839</v>
      </c>
      <c r="T147" s="62">
        <f t="shared" si="142"/>
        <v>225.35030757566537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3.9054911748459649</v>
      </c>
      <c r="AA147" s="23">
        <f>EXP(-LN(2)/25)*AA146+(1-EXP(-LN(2)/25))/(LN(2)/25)*Calculateur!V147*Calculateur!X147*VLOOKUP('Données projet'!$B$9,Paramètres!$A$1:$I$89,3,0)*0.475*44/12</f>
        <v>0.96928217603763311</v>
      </c>
      <c r="AB147" s="23">
        <f>EXP(-LN(2)/2)*AB146+(1-EXP(-LN(2)/2))/(LN(2)/2)*V147*Y147*VLOOKUP('Données projet'!$B$9,Paramètres!$A$1:$I$89,3,0)*0.475*44/12</f>
        <v>2.0019961026930613E-12</v>
      </c>
      <c r="AC147" s="24">
        <f t="shared" si="111"/>
        <v>4.8747733508855999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243.99999999999989</v>
      </c>
      <c r="AJ147" s="14">
        <f>AI147*VLOOKUP('Données projet'!$B$10,Paramètres!$A$1:$I$89,3,0)*VLOOKUP('Données projet'!$B$10,Paramètres!$A$1:$I$89,5,0)</f>
        <v>190.31999999999991</v>
      </c>
      <c r="AK147" s="14">
        <f t="shared" si="143"/>
        <v>47.61069337740188</v>
      </c>
      <c r="AL147" s="22">
        <f t="shared" si="112"/>
        <v>414.39595763230813</v>
      </c>
      <c r="AM147" s="62">
        <f t="shared" si="113"/>
        <v>700.35382701360095</v>
      </c>
      <c r="AN147" s="62">
        <f ca="1">AVERAGE(OFFSET($AM$3,0,0,'Données projet'!$E$10+1,1))-AVERAGE(OFFSET($H$3,0,0,'Données projet'!$E$10+1,1))</f>
        <v>252.45744983674379</v>
      </c>
      <c r="AO147" s="62">
        <f t="shared" si="144"/>
        <v>283.28099819802776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5.3759505034891992</v>
      </c>
      <c r="AV147" s="23">
        <f>EXP(-LN(2)/25)*AV146+(1-EXP(-LN(2)/25))/(LN(2)/25)*Calculateur!AQ147*Calculateur!AS147*VLOOKUP('Données projet'!$B$10,Paramètres!$A$1:$I$89,3,0)*0.475*44/12</f>
        <v>0.49864854853448998</v>
      </c>
      <c r="AW147" s="23">
        <f>EXP(-LN(2)/2)*AW146+(1-EXP(-LN(2)/2))/(LN(2)/2)*AQ147*AT147*VLOOKUP('Données projet'!$B$10,Paramètres!$A$1:$I$89,3,0)*0.475*44/12</f>
        <v>8.3957507890682596E-13</v>
      </c>
      <c r="AX147" s="23">
        <f t="shared" si="114"/>
        <v>5.8745990520245286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243.99999999999989</v>
      </c>
      <c r="BE147" s="14">
        <f>BD147*VLOOKUP('Données projet'!$B$11,Paramètres!$A$1:$I$89,3,0)*VLOOKUP('Données projet'!$B$11,Paramètres!$A$1:$I$89,5,0)</f>
        <v>190.31999999999991</v>
      </c>
      <c r="BF147" s="14">
        <f t="shared" si="145"/>
        <v>47.61069337740188</v>
      </c>
      <c r="BG147" s="22">
        <f t="shared" si="115"/>
        <v>414.39595763230813</v>
      </c>
      <c r="BH147" s="62">
        <f t="shared" si="116"/>
        <v>700.35382701360095</v>
      </c>
      <c r="BI147" s="62">
        <f ca="1">AVERAGE(OFFSET($BH$3,0,0,'Données projet'!$E$11+1,1))-AVERAGE(OFFSET($H$3,0,0,'Données projet'!$E$11+1,1))</f>
        <v>252.45744983674379</v>
      </c>
      <c r="BJ147" s="62">
        <f t="shared" si="146"/>
        <v>283.28099819802776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5.3759505034891992</v>
      </c>
      <c r="BQ147" s="23">
        <f>EXP(-LN(2)/25)*BQ146+(1-EXP(-LN(2)/25))/(LN(2)/25)*Calculateur!BL147*Calculateur!BN147*VLOOKUP('Données projet'!$B$11,Paramètres!$A$1:$I$89,3,0)*0.475*44/12</f>
        <v>0.49864854853448998</v>
      </c>
      <c r="BR147" s="23">
        <f>EXP(-LN(2)/2)*BR146+(1-EXP(-LN(2)/2))/(LN(2)/2)*BL147*BO147*VLOOKUP('Données projet'!$B$11,Paramètres!$A$1:$I$89,3,0)*0.475*44/12</f>
        <v>8.3957507890682596E-13</v>
      </c>
      <c r="BS147" s="24">
        <f t="shared" si="117"/>
        <v>5.8745990520245286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243.99999999999989</v>
      </c>
      <c r="BZ147" s="14">
        <f>BY147*VLOOKUP('Données projet'!$B$12,Paramètres!$A$1:$I$89,3,0)*VLOOKUP('Données projet'!$B$12,Paramètres!$A$1:$I$89,5,0)</f>
        <v>190.31999999999991</v>
      </c>
      <c r="CA147" s="14">
        <f t="shared" si="147"/>
        <v>47.61069337740188</v>
      </c>
      <c r="CB147" s="22">
        <f t="shared" si="118"/>
        <v>414.39595763230813</v>
      </c>
      <c r="CC147" s="62">
        <f t="shared" si="119"/>
        <v>700.35382701360095</v>
      </c>
      <c r="CD147" s="62">
        <f ca="1">AVERAGE(OFFSET($CC$3,0,0,'Données projet'!$E$12+1,1))-AVERAGE(OFFSET($H$3,0,0,'Données projet'!$E$12+1,1))</f>
        <v>252.45744983674379</v>
      </c>
      <c r="CE147" s="62">
        <f t="shared" si="148"/>
        <v>283.28099819802776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5.3759505034891992</v>
      </c>
      <c r="CL147" s="23">
        <f>EXP(-LN(2)/25)*CL146+(1-EXP(-LN(2)/25))/(LN(2)/25)*Calculateur!CG147*Calculateur!CI147*VLOOKUP('Données projet'!$B$12,Paramètres!$A$1:$I$89,3,0)*0.475*44/12</f>
        <v>0.49864854853448998</v>
      </c>
      <c r="CM147" s="23">
        <f>EXP(-LN(2)/2)*CM146+(1-EXP(-LN(2)/2))/(LN(2)/2)*CG147*CJ147*VLOOKUP('Données projet'!$B$12,Paramètres!$A$1:$I$89,3,0)*0.475*44/12</f>
        <v>8.3957507890682596E-13</v>
      </c>
      <c r="CN147" s="24">
        <f t="shared" si="120"/>
        <v>5.8745990520245286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215.46880000000002</v>
      </c>
      <c r="O148" s="14">
        <f>N148*VLOOKUP('Données projet'!$B$9,Paramètres!$A$1:$I$89,3,0)*VLOOKUP('Données projet'!$B$9,Paramètres!$A$1:$I$89,5,0)</f>
        <v>100.83939840000001</v>
      </c>
      <c r="P148" s="14">
        <f t="shared" si="141"/>
        <v>27.161875252139833</v>
      </c>
      <c r="Q148" s="22">
        <f t="shared" si="108"/>
        <v>222.93555161081022</v>
      </c>
      <c r="R148" s="62">
        <f t="shared" si="109"/>
        <v>509.02136880260377</v>
      </c>
      <c r="S148" s="62">
        <f ca="1">AVERAGE(OFFSET($R$3,0,0,'Données projet'!$E$9+1,1))-AVERAGE(OFFSET($H$3,0,0,'Données projet'!$E$9+1,1))</f>
        <v>180.76388336802839</v>
      </c>
      <c r="T148" s="62">
        <f t="shared" si="142"/>
        <v>225.35030757566537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3.8289068750216377</v>
      </c>
      <c r="AA148" s="23">
        <f>EXP(-LN(2)/25)*AA147+(1-EXP(-LN(2)/25))/(LN(2)/25)*Calculateur!V148*Calculateur!X148*VLOOKUP('Données projet'!$B$9,Paramètres!$A$1:$I$89,3,0)*0.475*44/12</f>
        <v>0.94277710396154968</v>
      </c>
      <c r="AB148" s="23">
        <f>EXP(-LN(2)/2)*AB147+(1-EXP(-LN(2)/2))/(LN(2)/2)*V148*Y148*VLOOKUP('Données projet'!$B$9,Paramètres!$A$1:$I$89,3,0)*0.475*44/12</f>
        <v>1.4156250201233034E-12</v>
      </c>
      <c r="AC148" s="24">
        <f t="shared" si="111"/>
        <v>4.7716839789846031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243.99999999999989</v>
      </c>
      <c r="AJ148" s="14">
        <f>AI148*VLOOKUP('Données projet'!$B$10,Paramètres!$A$1:$I$89,3,0)*VLOOKUP('Données projet'!$B$10,Paramètres!$A$1:$I$89,5,0)</f>
        <v>190.31999999999991</v>
      </c>
      <c r="AK148" s="14">
        <f t="shared" si="143"/>
        <v>47.61069337740188</v>
      </c>
      <c r="AL148" s="22">
        <f t="shared" si="112"/>
        <v>414.39595763230813</v>
      </c>
      <c r="AM148" s="62">
        <f t="shared" si="113"/>
        <v>700.48177482410165</v>
      </c>
      <c r="AN148" s="62">
        <f ca="1">AVERAGE(OFFSET($AM$3,0,0,'Données projet'!$E$10+1,1))-AVERAGE(OFFSET($H$3,0,0,'Données projet'!$E$10+1,1))</f>
        <v>252.45744983674379</v>
      </c>
      <c r="AO148" s="62">
        <f t="shared" si="144"/>
        <v>283.28099819802776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5.2705313931218081</v>
      </c>
      <c r="AV148" s="23">
        <f>EXP(-LN(2)/25)*AV147+(1-EXP(-LN(2)/25))/(LN(2)/25)*Calculateur!AQ148*Calculateur!AS148*VLOOKUP('Données projet'!$B$10,Paramètres!$A$1:$I$89,3,0)*0.475*44/12</f>
        <v>0.48501297775202684</v>
      </c>
      <c r="AW148" s="23">
        <f>EXP(-LN(2)/2)*AW147+(1-EXP(-LN(2)/2))/(LN(2)/2)*AQ148*AT148*VLOOKUP('Données projet'!$B$10,Paramètres!$A$1:$I$89,3,0)*0.475*44/12</f>
        <v>5.9366923161024735E-13</v>
      </c>
      <c r="AX148" s="23">
        <f t="shared" si="114"/>
        <v>5.7555443708744285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243.99999999999989</v>
      </c>
      <c r="BE148" s="14">
        <f>BD148*VLOOKUP('Données projet'!$B$11,Paramètres!$A$1:$I$89,3,0)*VLOOKUP('Données projet'!$B$11,Paramètres!$A$1:$I$89,5,0)</f>
        <v>190.31999999999991</v>
      </c>
      <c r="BF148" s="14">
        <f t="shared" si="145"/>
        <v>47.61069337740188</v>
      </c>
      <c r="BG148" s="22">
        <f t="shared" si="115"/>
        <v>414.39595763230813</v>
      </c>
      <c r="BH148" s="62">
        <f t="shared" si="116"/>
        <v>700.48177482410165</v>
      </c>
      <c r="BI148" s="62">
        <f ca="1">AVERAGE(OFFSET($BH$3,0,0,'Données projet'!$E$11+1,1))-AVERAGE(OFFSET($H$3,0,0,'Données projet'!$E$11+1,1))</f>
        <v>252.45744983674379</v>
      </c>
      <c r="BJ148" s="62">
        <f t="shared" si="146"/>
        <v>283.28099819802776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5.2705313931218081</v>
      </c>
      <c r="BQ148" s="23">
        <f>EXP(-LN(2)/25)*BQ147+(1-EXP(-LN(2)/25))/(LN(2)/25)*Calculateur!BL148*Calculateur!BN148*VLOOKUP('Données projet'!$B$11,Paramètres!$A$1:$I$89,3,0)*0.475*44/12</f>
        <v>0.48501297775202684</v>
      </c>
      <c r="BR148" s="23">
        <f>EXP(-LN(2)/2)*BR147+(1-EXP(-LN(2)/2))/(LN(2)/2)*BL148*BO148*VLOOKUP('Données projet'!$B$11,Paramètres!$A$1:$I$89,3,0)*0.475*44/12</f>
        <v>5.9366923161024735E-13</v>
      </c>
      <c r="BS148" s="24">
        <f t="shared" si="117"/>
        <v>5.7555443708744285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243.99999999999989</v>
      </c>
      <c r="BZ148" s="14">
        <f>BY148*VLOOKUP('Données projet'!$B$12,Paramètres!$A$1:$I$89,3,0)*VLOOKUP('Données projet'!$B$12,Paramètres!$A$1:$I$89,5,0)</f>
        <v>190.31999999999991</v>
      </c>
      <c r="CA148" s="14">
        <f t="shared" si="147"/>
        <v>47.61069337740188</v>
      </c>
      <c r="CB148" s="22">
        <f t="shared" si="118"/>
        <v>414.39595763230813</v>
      </c>
      <c r="CC148" s="62">
        <f t="shared" si="119"/>
        <v>700.48177482410165</v>
      </c>
      <c r="CD148" s="62">
        <f ca="1">AVERAGE(OFFSET($CC$3,0,0,'Données projet'!$E$12+1,1))-AVERAGE(OFFSET($H$3,0,0,'Données projet'!$E$12+1,1))</f>
        <v>252.45744983674379</v>
      </c>
      <c r="CE148" s="62">
        <f t="shared" si="148"/>
        <v>283.28099819802776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5.2705313931218081</v>
      </c>
      <c r="CL148" s="23">
        <f>EXP(-LN(2)/25)*CL147+(1-EXP(-LN(2)/25))/(LN(2)/25)*Calculateur!CG148*Calculateur!CI148*VLOOKUP('Données projet'!$B$12,Paramètres!$A$1:$I$89,3,0)*0.475*44/12</f>
        <v>0.48501297775202684</v>
      </c>
      <c r="CM148" s="23">
        <f>EXP(-LN(2)/2)*CM147+(1-EXP(-LN(2)/2))/(LN(2)/2)*CG148*CJ148*VLOOKUP('Données projet'!$B$12,Paramètres!$A$1:$I$89,3,0)*0.475*44/12</f>
        <v>5.9366923161024735E-13</v>
      </c>
      <c r="CN148" s="24">
        <f t="shared" si="120"/>
        <v>5.7555443708744285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215.46880000000002</v>
      </c>
      <c r="O149" s="14">
        <f>N149*VLOOKUP('Données projet'!$B$9,Paramètres!$A$1:$I$89,3,0)*VLOOKUP('Données projet'!$B$9,Paramètres!$A$1:$I$89,5,0)</f>
        <v>100.83939840000001</v>
      </c>
      <c r="P149" s="14">
        <f t="shared" si="141"/>
        <v>27.161875252139833</v>
      </c>
      <c r="Q149" s="22">
        <f t="shared" si="108"/>
        <v>222.93555161081022</v>
      </c>
      <c r="R149" s="62">
        <f t="shared" si="109"/>
        <v>509.14709700464084</v>
      </c>
      <c r="S149" s="62">
        <f ca="1">AVERAGE(OFFSET($R$3,0,0,'Données projet'!$E$9+1,1))-AVERAGE(OFFSET($H$3,0,0,'Données projet'!$E$9+1,1))</f>
        <v>180.76388336802839</v>
      </c>
      <c r="T149" s="62">
        <f t="shared" si="142"/>
        <v>225.35030757566537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3.7538243466050552</v>
      </c>
      <c r="AA149" s="23">
        <f>EXP(-LN(2)/25)*AA148+(1-EXP(-LN(2)/25))/(LN(2)/25)*Calculateur!V149*Calculateur!X149*VLOOKUP('Données projet'!$B$9,Paramètres!$A$1:$I$89,3,0)*0.475*44/12</f>
        <v>0.91699681447522796</v>
      </c>
      <c r="AB149" s="23">
        <f>EXP(-LN(2)/2)*AB148+(1-EXP(-LN(2)/2))/(LN(2)/2)*V149*Y149*VLOOKUP('Données projet'!$B$9,Paramètres!$A$1:$I$89,3,0)*0.475*44/12</f>
        <v>1.0009980513465306E-12</v>
      </c>
      <c r="AC149" s="24">
        <f t="shared" si="111"/>
        <v>4.6708211610812844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243.99999999999989</v>
      </c>
      <c r="AJ149" s="14">
        <f>AI149*VLOOKUP('Données projet'!$B$10,Paramètres!$A$1:$I$89,3,0)*VLOOKUP('Données projet'!$B$10,Paramètres!$A$1:$I$89,5,0)</f>
        <v>190.31999999999991</v>
      </c>
      <c r="AK149" s="14">
        <f t="shared" si="143"/>
        <v>47.61069337740188</v>
      </c>
      <c r="AL149" s="22">
        <f t="shared" si="112"/>
        <v>414.39595763230813</v>
      </c>
      <c r="AM149" s="62">
        <f t="shared" si="113"/>
        <v>700.60750302613883</v>
      </c>
      <c r="AN149" s="62">
        <f ca="1">AVERAGE(OFFSET($AM$3,0,0,'Données projet'!$E$10+1,1))-AVERAGE(OFFSET($H$3,0,0,'Données projet'!$E$10+1,1))</f>
        <v>252.45744983674379</v>
      </c>
      <c r="AO149" s="62">
        <f t="shared" si="144"/>
        <v>283.28099819802776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5.1671794872094132</v>
      </c>
      <c r="AV149" s="23">
        <f>EXP(-LN(2)/25)*AV148+(1-EXP(-LN(2)/25))/(LN(2)/25)*Calculateur!AQ149*Calculateur!AS149*VLOOKUP('Données projet'!$B$10,Paramètres!$A$1:$I$89,3,0)*0.475*44/12</f>
        <v>0.47175027236967371</v>
      </c>
      <c r="AW149" s="23">
        <f>EXP(-LN(2)/2)*AW148+(1-EXP(-LN(2)/2))/(LN(2)/2)*AQ149*AT149*VLOOKUP('Données projet'!$B$10,Paramètres!$A$1:$I$89,3,0)*0.475*44/12</f>
        <v>4.1978753945341298E-13</v>
      </c>
      <c r="AX149" s="23">
        <f t="shared" si="114"/>
        <v>5.6389297595795069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243.99999999999989</v>
      </c>
      <c r="BE149" s="14">
        <f>BD149*VLOOKUP('Données projet'!$B$11,Paramètres!$A$1:$I$89,3,0)*VLOOKUP('Données projet'!$B$11,Paramètres!$A$1:$I$89,5,0)</f>
        <v>190.31999999999991</v>
      </c>
      <c r="BF149" s="14">
        <f t="shared" si="145"/>
        <v>47.61069337740188</v>
      </c>
      <c r="BG149" s="22">
        <f t="shared" si="115"/>
        <v>414.39595763230813</v>
      </c>
      <c r="BH149" s="62">
        <f t="shared" si="116"/>
        <v>700.60750302613883</v>
      </c>
      <c r="BI149" s="62">
        <f ca="1">AVERAGE(OFFSET($BH$3,0,0,'Données projet'!$E$11+1,1))-AVERAGE(OFFSET($H$3,0,0,'Données projet'!$E$11+1,1))</f>
        <v>252.45744983674379</v>
      </c>
      <c r="BJ149" s="62">
        <f t="shared" si="146"/>
        <v>283.28099819802776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5.1671794872094132</v>
      </c>
      <c r="BQ149" s="23">
        <f>EXP(-LN(2)/25)*BQ148+(1-EXP(-LN(2)/25))/(LN(2)/25)*Calculateur!BL149*Calculateur!BN149*VLOOKUP('Données projet'!$B$11,Paramètres!$A$1:$I$89,3,0)*0.475*44/12</f>
        <v>0.47175027236967371</v>
      </c>
      <c r="BR149" s="23">
        <f>EXP(-LN(2)/2)*BR148+(1-EXP(-LN(2)/2))/(LN(2)/2)*BL149*BO149*VLOOKUP('Données projet'!$B$11,Paramètres!$A$1:$I$89,3,0)*0.475*44/12</f>
        <v>4.1978753945341298E-13</v>
      </c>
      <c r="BS149" s="24">
        <f t="shared" si="117"/>
        <v>5.6389297595795069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243.99999999999989</v>
      </c>
      <c r="BZ149" s="14">
        <f>BY149*VLOOKUP('Données projet'!$B$12,Paramètres!$A$1:$I$89,3,0)*VLOOKUP('Données projet'!$B$12,Paramètres!$A$1:$I$89,5,0)</f>
        <v>190.31999999999991</v>
      </c>
      <c r="CA149" s="14">
        <f t="shared" si="147"/>
        <v>47.61069337740188</v>
      </c>
      <c r="CB149" s="22">
        <f t="shared" si="118"/>
        <v>414.39595763230813</v>
      </c>
      <c r="CC149" s="62">
        <f t="shared" si="119"/>
        <v>700.60750302613883</v>
      </c>
      <c r="CD149" s="62">
        <f ca="1">AVERAGE(OFFSET($CC$3,0,0,'Données projet'!$E$12+1,1))-AVERAGE(OFFSET($H$3,0,0,'Données projet'!$E$12+1,1))</f>
        <v>252.45744983674379</v>
      </c>
      <c r="CE149" s="62">
        <f t="shared" si="148"/>
        <v>283.28099819802776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5.1671794872094132</v>
      </c>
      <c r="CL149" s="23">
        <f>EXP(-LN(2)/25)*CL148+(1-EXP(-LN(2)/25))/(LN(2)/25)*Calculateur!CG149*Calculateur!CI149*VLOOKUP('Données projet'!$B$12,Paramètres!$A$1:$I$89,3,0)*0.475*44/12</f>
        <v>0.47175027236967371</v>
      </c>
      <c r="CM149" s="23">
        <f>EXP(-LN(2)/2)*CM148+(1-EXP(-LN(2)/2))/(LN(2)/2)*CG149*CJ149*VLOOKUP('Données projet'!$B$12,Paramètres!$A$1:$I$89,3,0)*0.475*44/12</f>
        <v>4.1978753945341298E-13</v>
      </c>
      <c r="CN149" s="24">
        <f t="shared" si="120"/>
        <v>5.6389297595795069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215.46880000000002</v>
      </c>
      <c r="O150" s="14">
        <f>N150*VLOOKUP('Données projet'!$B$9,Paramètres!$A$1:$I$89,3,0)*VLOOKUP('Données projet'!$B$9,Paramètres!$A$1:$I$89,5,0)</f>
        <v>100.83939840000001</v>
      </c>
      <c r="P150" s="14">
        <f t="shared" si="141"/>
        <v>27.161875252139833</v>
      </c>
      <c r="Q150" s="22">
        <f t="shared" si="108"/>
        <v>222.93555161081022</v>
      </c>
      <c r="R150" s="62">
        <f t="shared" si="109"/>
        <v>509.27064410345861</v>
      </c>
      <c r="S150" s="62">
        <f ca="1">AVERAGE(OFFSET($R$3,0,0,'Données projet'!$E$9+1,1))-AVERAGE(OFFSET($H$3,0,0,'Données projet'!$E$9+1,1))</f>
        <v>180.76388336802839</v>
      </c>
      <c r="T150" s="62">
        <f t="shared" si="142"/>
        <v>225.35030757566537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3.6802141407749014</v>
      </c>
      <c r="AA150" s="23">
        <f>EXP(-LN(2)/25)*AA149+(1-EXP(-LN(2)/25))/(LN(2)/25)*Calculateur!V150*Calculateur!X150*VLOOKUP('Données projet'!$B$9,Paramètres!$A$1:$I$89,3,0)*0.475*44/12</f>
        <v>0.89192148836063623</v>
      </c>
      <c r="AB150" s="23">
        <f>EXP(-LN(2)/2)*AB149+(1-EXP(-LN(2)/2))/(LN(2)/2)*V150*Y150*VLOOKUP('Données projet'!$B$9,Paramètres!$A$1:$I$89,3,0)*0.475*44/12</f>
        <v>7.0781251006165172E-13</v>
      </c>
      <c r="AC150" s="24">
        <f t="shared" si="111"/>
        <v>4.5721356291362456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243.99999999999989</v>
      </c>
      <c r="AJ150" s="14">
        <f>AI150*VLOOKUP('Données projet'!$B$10,Paramètres!$A$1:$I$89,3,0)*VLOOKUP('Données projet'!$B$10,Paramètres!$A$1:$I$89,5,0)</f>
        <v>190.31999999999991</v>
      </c>
      <c r="AK150" s="14">
        <f t="shared" si="143"/>
        <v>47.61069337740188</v>
      </c>
      <c r="AL150" s="22">
        <f t="shared" si="112"/>
        <v>414.39595763230813</v>
      </c>
      <c r="AM150" s="62">
        <f t="shared" si="113"/>
        <v>700.73105012495648</v>
      </c>
      <c r="AN150" s="62">
        <f ca="1">AVERAGE(OFFSET($AM$3,0,0,'Données projet'!$E$10+1,1))-AVERAGE(OFFSET($H$3,0,0,'Données projet'!$E$10+1,1))</f>
        <v>252.45744983674379</v>
      </c>
      <c r="AO150" s="62">
        <f t="shared" si="144"/>
        <v>283.28099819802776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5.0658542491335226</v>
      </c>
      <c r="AV150" s="23">
        <f>EXP(-LN(2)/25)*AV149+(1-EXP(-LN(2)/25))/(LN(2)/25)*Calculateur!AQ150*Calculateur!AS150*VLOOKUP('Données projet'!$B$10,Paramètres!$A$1:$I$89,3,0)*0.475*44/12</f>
        <v>0.45885023636345634</v>
      </c>
      <c r="AW150" s="23">
        <f>EXP(-LN(2)/2)*AW149+(1-EXP(-LN(2)/2))/(LN(2)/2)*AQ150*AT150*VLOOKUP('Données projet'!$B$10,Paramètres!$A$1:$I$89,3,0)*0.475*44/12</f>
        <v>2.9683461580512367E-13</v>
      </c>
      <c r="AX150" s="23">
        <f t="shared" si="114"/>
        <v>5.524704485497276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243.99999999999989</v>
      </c>
      <c r="BE150" s="14">
        <f>BD150*VLOOKUP('Données projet'!$B$11,Paramètres!$A$1:$I$89,3,0)*VLOOKUP('Données projet'!$B$11,Paramètres!$A$1:$I$89,5,0)</f>
        <v>190.31999999999991</v>
      </c>
      <c r="BF150" s="14">
        <f t="shared" si="145"/>
        <v>47.61069337740188</v>
      </c>
      <c r="BG150" s="22">
        <f t="shared" si="115"/>
        <v>414.39595763230813</v>
      </c>
      <c r="BH150" s="62">
        <f t="shared" si="116"/>
        <v>700.73105012495648</v>
      </c>
      <c r="BI150" s="62">
        <f ca="1">AVERAGE(OFFSET($BH$3,0,0,'Données projet'!$E$11+1,1))-AVERAGE(OFFSET($H$3,0,0,'Données projet'!$E$11+1,1))</f>
        <v>252.45744983674379</v>
      </c>
      <c r="BJ150" s="62">
        <f t="shared" si="146"/>
        <v>283.28099819802776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5.0658542491335226</v>
      </c>
      <c r="BQ150" s="23">
        <f>EXP(-LN(2)/25)*BQ149+(1-EXP(-LN(2)/25))/(LN(2)/25)*Calculateur!BL150*Calculateur!BN150*VLOOKUP('Données projet'!$B$11,Paramètres!$A$1:$I$89,3,0)*0.475*44/12</f>
        <v>0.45885023636345634</v>
      </c>
      <c r="BR150" s="23">
        <f>EXP(-LN(2)/2)*BR149+(1-EXP(-LN(2)/2))/(LN(2)/2)*BL150*BO150*VLOOKUP('Données projet'!$B$11,Paramètres!$A$1:$I$89,3,0)*0.475*44/12</f>
        <v>2.9683461580512367E-13</v>
      </c>
      <c r="BS150" s="24">
        <f t="shared" si="117"/>
        <v>5.524704485497276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243.99999999999989</v>
      </c>
      <c r="BZ150" s="14">
        <f>BY150*VLOOKUP('Données projet'!$B$12,Paramètres!$A$1:$I$89,3,0)*VLOOKUP('Données projet'!$B$12,Paramètres!$A$1:$I$89,5,0)</f>
        <v>190.31999999999991</v>
      </c>
      <c r="CA150" s="14">
        <f t="shared" si="147"/>
        <v>47.61069337740188</v>
      </c>
      <c r="CB150" s="22">
        <f t="shared" si="118"/>
        <v>414.39595763230813</v>
      </c>
      <c r="CC150" s="62">
        <f t="shared" si="119"/>
        <v>700.73105012495648</v>
      </c>
      <c r="CD150" s="62">
        <f ca="1">AVERAGE(OFFSET($CC$3,0,0,'Données projet'!$E$12+1,1))-AVERAGE(OFFSET($H$3,0,0,'Données projet'!$E$12+1,1))</f>
        <v>252.45744983674379</v>
      </c>
      <c r="CE150" s="62">
        <f t="shared" si="148"/>
        <v>283.28099819802776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5.0658542491335226</v>
      </c>
      <c r="CL150" s="23">
        <f>EXP(-LN(2)/25)*CL149+(1-EXP(-LN(2)/25))/(LN(2)/25)*Calculateur!CG150*Calculateur!CI150*VLOOKUP('Données projet'!$B$12,Paramètres!$A$1:$I$89,3,0)*0.475*44/12</f>
        <v>0.45885023636345634</v>
      </c>
      <c r="CM150" s="23">
        <f>EXP(-LN(2)/2)*CM149+(1-EXP(-LN(2)/2))/(LN(2)/2)*CG150*CJ150*VLOOKUP('Données projet'!$B$12,Paramètres!$A$1:$I$89,3,0)*0.475*44/12</f>
        <v>2.9683461580512367E-13</v>
      </c>
      <c r="CN150" s="24">
        <f t="shared" si="120"/>
        <v>5.524704485497276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215.46880000000002</v>
      </c>
      <c r="O151" s="14">
        <f>N151*VLOOKUP('Données projet'!$B$9,Paramètres!$A$1:$I$89,3,0)*VLOOKUP('Données projet'!$B$9,Paramètres!$A$1:$I$89,5,0)</f>
        <v>100.83939840000001</v>
      </c>
      <c r="P151" s="14">
        <f t="shared" si="141"/>
        <v>27.161875252139833</v>
      </c>
      <c r="Q151" s="22">
        <f t="shared" si="108"/>
        <v>222.93555161081022</v>
      </c>
      <c r="R151" s="62">
        <f t="shared" si="109"/>
        <v>509.39204793632189</v>
      </c>
      <c r="S151" s="62">
        <f ca="1">AVERAGE(OFFSET($R$3,0,0,'Données projet'!$E$9+1,1))-AVERAGE(OFFSET($H$3,0,0,'Données projet'!$E$9+1,1))</f>
        <v>180.76388336802839</v>
      </c>
      <c r="T151" s="62">
        <f t="shared" si="142"/>
        <v>225.35030757566537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3.6080473861832849</v>
      </c>
      <c r="AA151" s="23">
        <f>EXP(-LN(2)/25)*AA150+(1-EXP(-LN(2)/25))/(LN(2)/25)*Calculateur!V151*Calculateur!X151*VLOOKUP('Données projet'!$B$9,Paramètres!$A$1:$I$89,3,0)*0.475*44/12</f>
        <v>0.86753184835730213</v>
      </c>
      <c r="AB151" s="23">
        <f>EXP(-LN(2)/2)*AB150+(1-EXP(-LN(2)/2))/(LN(2)/2)*V151*Y151*VLOOKUP('Données projet'!$B$9,Paramètres!$A$1:$I$89,3,0)*0.475*44/12</f>
        <v>5.0049902567326532E-13</v>
      </c>
      <c r="AC151" s="24">
        <f t="shared" si="111"/>
        <v>4.4755792345410876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243.99999999999989</v>
      </c>
      <c r="AJ151" s="14">
        <f>AI151*VLOOKUP('Données projet'!$B$10,Paramètres!$A$1:$I$89,3,0)*VLOOKUP('Données projet'!$B$10,Paramètres!$A$1:$I$89,5,0)</f>
        <v>190.31999999999991</v>
      </c>
      <c r="AK151" s="14">
        <f t="shared" si="143"/>
        <v>47.61069337740188</v>
      </c>
      <c r="AL151" s="22">
        <f t="shared" si="112"/>
        <v>414.39595763230813</v>
      </c>
      <c r="AM151" s="62">
        <f t="shared" si="113"/>
        <v>700.85245395781976</v>
      </c>
      <c r="AN151" s="62">
        <f ca="1">AVERAGE(OFFSET($AM$3,0,0,'Données projet'!$E$10+1,1))-AVERAGE(OFFSET($H$3,0,0,'Données projet'!$E$10+1,1))</f>
        <v>252.45744983674379</v>
      </c>
      <c r="AO151" s="62">
        <f t="shared" si="144"/>
        <v>283.28099819802776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4.9665159371740071</v>
      </c>
      <c r="AV151" s="23">
        <f>EXP(-LN(2)/25)*AV150+(1-EXP(-LN(2)/25))/(LN(2)/25)*Calculateur!AQ151*Calculateur!AS151*VLOOKUP('Données projet'!$B$10,Paramètres!$A$1:$I$89,3,0)*0.475*44/12</f>
        <v>0.4463029525202124</v>
      </c>
      <c r="AW151" s="23">
        <f>EXP(-LN(2)/2)*AW150+(1-EXP(-LN(2)/2))/(LN(2)/2)*AQ151*AT151*VLOOKUP('Données projet'!$B$10,Paramètres!$A$1:$I$89,3,0)*0.475*44/12</f>
        <v>2.0989376972670649E-13</v>
      </c>
      <c r="AX151" s="23">
        <f t="shared" si="114"/>
        <v>5.4128188896944289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243.99999999999989</v>
      </c>
      <c r="BE151" s="14">
        <f>BD151*VLOOKUP('Données projet'!$B$11,Paramètres!$A$1:$I$89,3,0)*VLOOKUP('Données projet'!$B$11,Paramètres!$A$1:$I$89,5,0)</f>
        <v>190.31999999999991</v>
      </c>
      <c r="BF151" s="14">
        <f t="shared" si="145"/>
        <v>47.61069337740188</v>
      </c>
      <c r="BG151" s="22">
        <f t="shared" si="115"/>
        <v>414.39595763230813</v>
      </c>
      <c r="BH151" s="62">
        <f t="shared" si="116"/>
        <v>700.85245395781976</v>
      </c>
      <c r="BI151" s="62">
        <f ca="1">AVERAGE(OFFSET($BH$3,0,0,'Données projet'!$E$11+1,1))-AVERAGE(OFFSET($H$3,0,0,'Données projet'!$E$11+1,1))</f>
        <v>252.45744983674379</v>
      </c>
      <c r="BJ151" s="62">
        <f t="shared" si="146"/>
        <v>283.28099819802776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4.9665159371740071</v>
      </c>
      <c r="BQ151" s="23">
        <f>EXP(-LN(2)/25)*BQ150+(1-EXP(-LN(2)/25))/(LN(2)/25)*Calculateur!BL151*Calculateur!BN151*VLOOKUP('Données projet'!$B$11,Paramètres!$A$1:$I$89,3,0)*0.475*44/12</f>
        <v>0.4463029525202124</v>
      </c>
      <c r="BR151" s="23">
        <f>EXP(-LN(2)/2)*BR150+(1-EXP(-LN(2)/2))/(LN(2)/2)*BL151*BO151*VLOOKUP('Données projet'!$B$11,Paramètres!$A$1:$I$89,3,0)*0.475*44/12</f>
        <v>2.0989376972670649E-13</v>
      </c>
      <c r="BS151" s="24">
        <f t="shared" si="117"/>
        <v>5.4128188896944289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243.99999999999989</v>
      </c>
      <c r="BZ151" s="14">
        <f>BY151*VLOOKUP('Données projet'!$B$12,Paramètres!$A$1:$I$89,3,0)*VLOOKUP('Données projet'!$B$12,Paramètres!$A$1:$I$89,5,0)</f>
        <v>190.31999999999991</v>
      </c>
      <c r="CA151" s="14">
        <f t="shared" si="147"/>
        <v>47.61069337740188</v>
      </c>
      <c r="CB151" s="22">
        <f t="shared" si="118"/>
        <v>414.39595763230813</v>
      </c>
      <c r="CC151" s="62">
        <f t="shared" si="119"/>
        <v>700.85245395781976</v>
      </c>
      <c r="CD151" s="62">
        <f ca="1">AVERAGE(OFFSET($CC$3,0,0,'Données projet'!$E$12+1,1))-AVERAGE(OFFSET($H$3,0,0,'Données projet'!$E$12+1,1))</f>
        <v>252.45744983674379</v>
      </c>
      <c r="CE151" s="62">
        <f t="shared" si="148"/>
        <v>283.28099819802776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4.9665159371740071</v>
      </c>
      <c r="CL151" s="23">
        <f>EXP(-LN(2)/25)*CL150+(1-EXP(-LN(2)/25))/(LN(2)/25)*Calculateur!CG151*Calculateur!CI151*VLOOKUP('Données projet'!$B$12,Paramètres!$A$1:$I$89,3,0)*0.475*44/12</f>
        <v>0.4463029525202124</v>
      </c>
      <c r="CM151" s="23">
        <f>EXP(-LN(2)/2)*CM150+(1-EXP(-LN(2)/2))/(LN(2)/2)*CG151*CJ151*VLOOKUP('Données projet'!$B$12,Paramètres!$A$1:$I$89,3,0)*0.475*44/12</f>
        <v>2.0989376972670649E-13</v>
      </c>
      <c r="CN151" s="24">
        <f t="shared" si="120"/>
        <v>5.4128188896944289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215.46880000000002</v>
      </c>
      <c r="O152" s="14">
        <f>N152*VLOOKUP('Données projet'!$B$9,Paramètres!$A$1:$I$89,3,0)*VLOOKUP('Données projet'!$B$9,Paramètres!$A$1:$I$89,5,0)</f>
        <v>100.83939840000001</v>
      </c>
      <c r="P152" s="14">
        <f t="shared" si="141"/>
        <v>27.161875252139833</v>
      </c>
      <c r="Q152" s="22">
        <f t="shared" si="108"/>
        <v>222.93555161081022</v>
      </c>
      <c r="R152" s="62">
        <f t="shared" si="109"/>
        <v>509.51134568410328</v>
      </c>
      <c r="S152" s="62">
        <f ca="1">AVERAGE(OFFSET($R$3,0,0,'Données projet'!$E$9+1,1))-AVERAGE(OFFSET($H$3,0,0,'Données projet'!$E$9+1,1))</f>
        <v>180.76388336802839</v>
      </c>
      <c r="T152" s="62">
        <f t="shared" si="142"/>
        <v>225.35030757566537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3.5372957776318361</v>
      </c>
      <c r="AA152" s="23">
        <f>EXP(-LN(2)/25)*AA151+(1-EXP(-LN(2)/25))/(LN(2)/25)*Calculateur!V152*Calculateur!X152*VLOOKUP('Données projet'!$B$9,Paramètres!$A$1:$I$89,3,0)*0.475*44/12</f>
        <v>0.84380914434245458</v>
      </c>
      <c r="AB152" s="23">
        <f>EXP(-LN(2)/2)*AB151+(1-EXP(-LN(2)/2))/(LN(2)/2)*V152*Y152*VLOOKUP('Données projet'!$B$9,Paramètres!$A$1:$I$89,3,0)*0.475*44/12</f>
        <v>3.5390625503082586E-13</v>
      </c>
      <c r="AC152" s="24">
        <f t="shared" si="111"/>
        <v>4.3811049219746439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243.99999999999989</v>
      </c>
      <c r="AJ152" s="14">
        <f>AI152*VLOOKUP('Données projet'!$B$10,Paramètres!$A$1:$I$89,3,0)*VLOOKUP('Données projet'!$B$10,Paramètres!$A$1:$I$89,5,0)</f>
        <v>190.31999999999991</v>
      </c>
      <c r="AK152" s="14">
        <f t="shared" si="143"/>
        <v>47.61069337740188</v>
      </c>
      <c r="AL152" s="22">
        <f t="shared" si="112"/>
        <v>414.39595763230813</v>
      </c>
      <c r="AM152" s="62">
        <f t="shared" si="113"/>
        <v>700.97175170560126</v>
      </c>
      <c r="AN152" s="62">
        <f ca="1">AVERAGE(OFFSET($AM$3,0,0,'Données projet'!$E$10+1,1))-AVERAGE(OFFSET($H$3,0,0,'Données projet'!$E$10+1,1))</f>
        <v>252.45744983674379</v>
      </c>
      <c r="AO152" s="62">
        <f t="shared" si="144"/>
        <v>283.28099819802776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4.8691255889216301</v>
      </c>
      <c r="AV152" s="23">
        <f>EXP(-LN(2)/25)*AV151+(1-EXP(-LN(2)/25))/(LN(2)/25)*Calculateur!AQ152*Calculateur!AS152*VLOOKUP('Données projet'!$B$10,Paramètres!$A$1:$I$89,3,0)*0.475*44/12</f>
        <v>0.43409877481349496</v>
      </c>
      <c r="AW152" s="23">
        <f>EXP(-LN(2)/2)*AW151+(1-EXP(-LN(2)/2))/(LN(2)/2)*AQ152*AT152*VLOOKUP('Données projet'!$B$10,Paramètres!$A$1:$I$89,3,0)*0.475*44/12</f>
        <v>1.4841730790256184E-13</v>
      </c>
      <c r="AX152" s="23">
        <f t="shared" si="114"/>
        <v>5.3032243637352732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243.99999999999989</v>
      </c>
      <c r="BE152" s="14">
        <f>BD152*VLOOKUP('Données projet'!$B$11,Paramètres!$A$1:$I$89,3,0)*VLOOKUP('Données projet'!$B$11,Paramètres!$A$1:$I$89,5,0)</f>
        <v>190.31999999999991</v>
      </c>
      <c r="BF152" s="14">
        <f t="shared" si="145"/>
        <v>47.61069337740188</v>
      </c>
      <c r="BG152" s="22">
        <f t="shared" si="115"/>
        <v>414.39595763230813</v>
      </c>
      <c r="BH152" s="62">
        <f t="shared" si="116"/>
        <v>700.97175170560126</v>
      </c>
      <c r="BI152" s="62">
        <f ca="1">AVERAGE(OFFSET($BH$3,0,0,'Données projet'!$E$11+1,1))-AVERAGE(OFFSET($H$3,0,0,'Données projet'!$E$11+1,1))</f>
        <v>252.45744983674379</v>
      </c>
      <c r="BJ152" s="62">
        <f t="shared" si="146"/>
        <v>283.28099819802776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4.8691255889216301</v>
      </c>
      <c r="BQ152" s="23">
        <f>EXP(-LN(2)/25)*BQ151+(1-EXP(-LN(2)/25))/(LN(2)/25)*Calculateur!BL152*Calculateur!BN152*VLOOKUP('Données projet'!$B$11,Paramètres!$A$1:$I$89,3,0)*0.475*44/12</f>
        <v>0.43409877481349496</v>
      </c>
      <c r="BR152" s="23">
        <f>EXP(-LN(2)/2)*BR151+(1-EXP(-LN(2)/2))/(LN(2)/2)*BL152*BO152*VLOOKUP('Données projet'!$B$11,Paramètres!$A$1:$I$89,3,0)*0.475*44/12</f>
        <v>1.4841730790256184E-13</v>
      </c>
      <c r="BS152" s="24">
        <f t="shared" si="117"/>
        <v>5.3032243637352732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243.99999999999989</v>
      </c>
      <c r="BZ152" s="14">
        <f>BY152*VLOOKUP('Données projet'!$B$12,Paramètres!$A$1:$I$89,3,0)*VLOOKUP('Données projet'!$B$12,Paramètres!$A$1:$I$89,5,0)</f>
        <v>190.31999999999991</v>
      </c>
      <c r="CA152" s="14">
        <f t="shared" si="147"/>
        <v>47.61069337740188</v>
      </c>
      <c r="CB152" s="22">
        <f t="shared" si="118"/>
        <v>414.39595763230813</v>
      </c>
      <c r="CC152" s="62">
        <f t="shared" si="119"/>
        <v>700.97175170560126</v>
      </c>
      <c r="CD152" s="62">
        <f ca="1">AVERAGE(OFFSET($CC$3,0,0,'Données projet'!$E$12+1,1))-AVERAGE(OFFSET($H$3,0,0,'Données projet'!$E$12+1,1))</f>
        <v>252.45744983674379</v>
      </c>
      <c r="CE152" s="62">
        <f t="shared" si="148"/>
        <v>283.28099819802776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4.8691255889216301</v>
      </c>
      <c r="CL152" s="23">
        <f>EXP(-LN(2)/25)*CL151+(1-EXP(-LN(2)/25))/(LN(2)/25)*Calculateur!CG152*Calculateur!CI152*VLOOKUP('Données projet'!$B$12,Paramètres!$A$1:$I$89,3,0)*0.475*44/12</f>
        <v>0.43409877481349496</v>
      </c>
      <c r="CM152" s="23">
        <f>EXP(-LN(2)/2)*CM151+(1-EXP(-LN(2)/2))/(LN(2)/2)*CG152*CJ152*VLOOKUP('Données projet'!$B$12,Paramètres!$A$1:$I$89,3,0)*0.475*44/12</f>
        <v>1.4841730790256184E-13</v>
      </c>
      <c r="CN152" s="24">
        <f t="shared" si="120"/>
        <v>5.3032243637352732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215.46880000000002</v>
      </c>
      <c r="O153" s="14">
        <f>N153*VLOOKUP('Données projet'!$B$9,Paramètres!$A$1:$I$89,3,0)*VLOOKUP('Données projet'!$B$9,Paramètres!$A$1:$I$89,5,0)</f>
        <v>100.83939840000001</v>
      </c>
      <c r="P153" s="14">
        <f t="shared" si="141"/>
        <v>27.161875252139833</v>
      </c>
      <c r="Q153" s="22">
        <f t="shared" si="108"/>
        <v>222.93555161081022</v>
      </c>
      <c r="R153" s="62">
        <f t="shared" si="109"/>
        <v>509.62857388267059</v>
      </c>
      <c r="S153" s="62">
        <f ca="1">AVERAGE(OFFSET($R$3,0,0,'Données projet'!$E$9+1,1))-AVERAGE(OFFSET($H$3,0,0,'Données projet'!$E$9+1,1))</f>
        <v>180.76388336802839</v>
      </c>
      <c r="T153" s="62">
        <f t="shared" si="142"/>
        <v>225.35030757566537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3.4679315649698612</v>
      </c>
      <c r="AA153" s="23">
        <f>EXP(-LN(2)/25)*AA152+(1-EXP(-LN(2)/25))/(LN(2)/25)*Calculateur!V153*Calculateur!X153*VLOOKUP('Données projet'!$B$9,Paramètres!$A$1:$I$89,3,0)*0.475*44/12</f>
        <v>0.82073513891641581</v>
      </c>
      <c r="AB153" s="23">
        <f>EXP(-LN(2)/2)*AB152+(1-EXP(-LN(2)/2))/(LN(2)/2)*V153*Y153*VLOOKUP('Données projet'!$B$9,Paramètres!$A$1:$I$89,3,0)*0.475*44/12</f>
        <v>2.5024951283663266E-13</v>
      </c>
      <c r="AC153" s="24">
        <f t="shared" si="111"/>
        <v>4.2886667038865278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243.99999999999989</v>
      </c>
      <c r="AJ153" s="14">
        <f>AI153*VLOOKUP('Données projet'!$B$10,Paramètres!$A$1:$I$89,3,0)*VLOOKUP('Données projet'!$B$10,Paramètres!$A$1:$I$89,5,0)</f>
        <v>190.31999999999991</v>
      </c>
      <c r="AK153" s="14">
        <f t="shared" si="143"/>
        <v>47.61069337740188</v>
      </c>
      <c r="AL153" s="22">
        <f t="shared" si="112"/>
        <v>414.39595763230813</v>
      </c>
      <c r="AM153" s="62">
        <f t="shared" si="113"/>
        <v>701.08897990416847</v>
      </c>
      <c r="AN153" s="62">
        <f ca="1">AVERAGE(OFFSET($AM$3,0,0,'Données projet'!$E$10+1,1))-AVERAGE(OFFSET($H$3,0,0,'Données projet'!$E$10+1,1))</f>
        <v>252.45744983674379</v>
      </c>
      <c r="AO153" s="62">
        <f t="shared" si="144"/>
        <v>283.28099819802776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4.7736450059962356</v>
      </c>
      <c r="AV153" s="23">
        <f>EXP(-LN(2)/25)*AV152+(1-EXP(-LN(2)/25))/(LN(2)/25)*Calculateur!AQ153*Calculateur!AS153*VLOOKUP('Données projet'!$B$10,Paramètres!$A$1:$I$89,3,0)*0.475*44/12</f>
        <v>0.42222832098795754</v>
      </c>
      <c r="AW153" s="23">
        <f>EXP(-LN(2)/2)*AW152+(1-EXP(-LN(2)/2))/(LN(2)/2)*AQ153*AT153*VLOOKUP('Données projet'!$B$10,Paramètres!$A$1:$I$89,3,0)*0.475*44/12</f>
        <v>1.0494688486335325E-13</v>
      </c>
      <c r="AX153" s="23">
        <f t="shared" si="114"/>
        <v>5.195873326984298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243.99999999999989</v>
      </c>
      <c r="BE153" s="14">
        <f>BD153*VLOOKUP('Données projet'!$B$11,Paramètres!$A$1:$I$89,3,0)*VLOOKUP('Données projet'!$B$11,Paramètres!$A$1:$I$89,5,0)</f>
        <v>190.31999999999991</v>
      </c>
      <c r="BF153" s="14">
        <f t="shared" si="145"/>
        <v>47.61069337740188</v>
      </c>
      <c r="BG153" s="22">
        <f t="shared" si="115"/>
        <v>414.39595763230813</v>
      </c>
      <c r="BH153" s="62">
        <f t="shared" si="116"/>
        <v>701.08897990416847</v>
      </c>
      <c r="BI153" s="62">
        <f ca="1">AVERAGE(OFFSET($BH$3,0,0,'Données projet'!$E$11+1,1))-AVERAGE(OFFSET($H$3,0,0,'Données projet'!$E$11+1,1))</f>
        <v>252.45744983674379</v>
      </c>
      <c r="BJ153" s="62">
        <f t="shared" si="146"/>
        <v>283.28099819802776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4.7736450059962356</v>
      </c>
      <c r="BQ153" s="23">
        <f>EXP(-LN(2)/25)*BQ152+(1-EXP(-LN(2)/25))/(LN(2)/25)*Calculateur!BL153*Calculateur!BN153*VLOOKUP('Données projet'!$B$11,Paramètres!$A$1:$I$89,3,0)*0.475*44/12</f>
        <v>0.42222832098795754</v>
      </c>
      <c r="BR153" s="23">
        <f>EXP(-LN(2)/2)*BR152+(1-EXP(-LN(2)/2))/(LN(2)/2)*BL153*BO153*VLOOKUP('Données projet'!$B$11,Paramètres!$A$1:$I$89,3,0)*0.475*44/12</f>
        <v>1.0494688486335325E-13</v>
      </c>
      <c r="BS153" s="24">
        <f t="shared" si="117"/>
        <v>5.195873326984298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243.99999999999989</v>
      </c>
      <c r="BZ153" s="14">
        <f>BY153*VLOOKUP('Données projet'!$B$12,Paramètres!$A$1:$I$89,3,0)*VLOOKUP('Données projet'!$B$12,Paramètres!$A$1:$I$89,5,0)</f>
        <v>190.31999999999991</v>
      </c>
      <c r="CA153" s="14">
        <f t="shared" si="147"/>
        <v>47.61069337740188</v>
      </c>
      <c r="CB153" s="22">
        <f t="shared" si="118"/>
        <v>414.39595763230813</v>
      </c>
      <c r="CC153" s="62">
        <f t="shared" si="119"/>
        <v>701.08897990416847</v>
      </c>
      <c r="CD153" s="62">
        <f ca="1">AVERAGE(OFFSET($CC$3,0,0,'Données projet'!$E$12+1,1))-AVERAGE(OFFSET($H$3,0,0,'Données projet'!$E$12+1,1))</f>
        <v>252.45744983674379</v>
      </c>
      <c r="CE153" s="62">
        <f t="shared" si="148"/>
        <v>283.28099819802776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4.7736450059962356</v>
      </c>
      <c r="CL153" s="23">
        <f>EXP(-LN(2)/25)*CL152+(1-EXP(-LN(2)/25))/(LN(2)/25)*Calculateur!CG153*Calculateur!CI153*VLOOKUP('Données projet'!$B$12,Paramètres!$A$1:$I$89,3,0)*0.475*44/12</f>
        <v>0.42222832098795754</v>
      </c>
      <c r="CM153" s="23">
        <f>EXP(-LN(2)/2)*CM152+(1-EXP(-LN(2)/2))/(LN(2)/2)*CG153*CJ153*VLOOKUP('Données projet'!$B$12,Paramètres!$A$1:$I$89,3,0)*0.475*44/12</f>
        <v>1.0494688486335325E-13</v>
      </c>
      <c r="CN153" s="24">
        <f t="shared" si="120"/>
        <v>5.195873326984298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215.46880000000002</v>
      </c>
      <c r="O154" s="14">
        <f>N154*VLOOKUP('Données projet'!$B$9,Paramètres!$A$1:$I$89,3,0)*VLOOKUP('Données projet'!$B$9,Paramètres!$A$1:$I$89,5,0)</f>
        <v>100.83939840000001</v>
      </c>
      <c r="P154" s="14">
        <f t="shared" si="141"/>
        <v>27.161875252139833</v>
      </c>
      <c r="Q154" s="22">
        <f t="shared" ref="Q154:Q203" si="162">(O154+P154)*0.475*44/12</f>
        <v>222.93555161081022</v>
      </c>
      <c r="R154" s="62">
        <f t="shared" si="109"/>
        <v>509.74376843407561</v>
      </c>
      <c r="S154" s="62">
        <f ca="1">AVERAGE(OFFSET($R$3,0,0,'Données projet'!$E$9+1,1))-AVERAGE(OFFSET($H$3,0,0,'Données projet'!$E$9+1,1))</f>
        <v>180.76388336802839</v>
      </c>
      <c r="T154" s="62">
        <f t="shared" si="142"/>
        <v>225.35030757566537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3.3999275422101953</v>
      </c>
      <c r="AA154" s="23">
        <f>EXP(-LN(2)/25)*AA153+(1-EXP(-LN(2)/25))/(LN(2)/25)*Calculateur!V154*Calculateur!X154*VLOOKUP('Données projet'!$B$9,Paramètres!$A$1:$I$89,3,0)*0.475*44/12</f>
        <v>0.79829209338216123</v>
      </c>
      <c r="AB154" s="23">
        <f>EXP(-LN(2)/2)*AB153+(1-EXP(-LN(2)/2))/(LN(2)/2)*V154*Y154*VLOOKUP('Données projet'!$B$9,Paramètres!$A$1:$I$89,3,0)*0.475*44/12</f>
        <v>1.7695312751541293E-13</v>
      </c>
      <c r="AC154" s="24">
        <f t="shared" ref="AC154:AC203" si="163">SUM(Z154:AB154)</f>
        <v>4.1982196355925332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243.99999999999989</v>
      </c>
      <c r="AJ154" s="14">
        <f>AI154*VLOOKUP('Données projet'!$B$10,Paramètres!$A$1:$I$89,3,0)*VLOOKUP('Données projet'!$B$10,Paramètres!$A$1:$I$89,5,0)</f>
        <v>190.31999999999991</v>
      </c>
      <c r="AK154" s="14">
        <f t="shared" ref="AK154:AK203" si="164">EXP(-1.0587+0.8836*LN(AJ154)+0.284)</f>
        <v>47.61069337740188</v>
      </c>
      <c r="AL154" s="22">
        <f t="shared" ref="AL154:AL203" si="165">(AJ154+AK154)*0.475*44/12</f>
        <v>414.39595763230813</v>
      </c>
      <c r="AM154" s="62">
        <f t="shared" si="113"/>
        <v>701.20417445557348</v>
      </c>
      <c r="AN154" s="62">
        <f ca="1">AVERAGE(OFFSET($AM$3,0,0,'Données projet'!$E$10+1,1))-AVERAGE(OFFSET($H$3,0,0,'Données projet'!$E$10+1,1))</f>
        <v>252.45744983674379</v>
      </c>
      <c r="AO154" s="62">
        <f t="shared" si="144"/>
        <v>283.28099819802776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4.6800367390646027</v>
      </c>
      <c r="AV154" s="23">
        <f>EXP(-LN(2)/25)*AV153+(1-EXP(-LN(2)/25))/(LN(2)/25)*Calculateur!AQ154*Calculateur!AS154*VLOOKUP('Données projet'!$B$10,Paramètres!$A$1:$I$89,3,0)*0.475*44/12</f>
        <v>0.41068246534651948</v>
      </c>
      <c r="AW154" s="23">
        <f>EXP(-LN(2)/2)*AW153+(1-EXP(-LN(2)/2))/(LN(2)/2)*AQ154*AT154*VLOOKUP('Données projet'!$B$10,Paramètres!$A$1:$I$89,3,0)*0.475*44/12</f>
        <v>7.4208653951280919E-14</v>
      </c>
      <c r="AX154" s="23">
        <f t="shared" ref="AX154:AX203" si="166">SUM(AU154:AW154)</f>
        <v>5.0907192044111964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243.99999999999989</v>
      </c>
      <c r="BE154" s="14">
        <f>BD154*VLOOKUP('Données projet'!$B$11,Paramètres!$A$1:$I$89,3,0)*VLOOKUP('Données projet'!$B$11,Paramètres!$A$1:$I$89,5,0)</f>
        <v>190.31999999999991</v>
      </c>
      <c r="BF154" s="14">
        <f t="shared" ref="BF154:BF203" si="167">EXP(-1.0587+0.8836*LN(BE154)+0.284)</f>
        <v>47.61069337740188</v>
      </c>
      <c r="BG154" s="22">
        <f t="shared" ref="BG154:BG203" si="168">(BE154+BF154)*0.475*44/12</f>
        <v>414.39595763230813</v>
      </c>
      <c r="BH154" s="62">
        <f t="shared" si="116"/>
        <v>701.20417445557348</v>
      </c>
      <c r="BI154" s="62">
        <f ca="1">AVERAGE(OFFSET($BH$3,0,0,'Données projet'!$E$11+1,1))-AVERAGE(OFFSET($H$3,0,0,'Données projet'!$E$11+1,1))</f>
        <v>252.45744983674379</v>
      </c>
      <c r="BJ154" s="62">
        <f t="shared" si="146"/>
        <v>283.28099819802776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4.6800367390646027</v>
      </c>
      <c r="BQ154" s="23">
        <f>EXP(-LN(2)/25)*BQ153+(1-EXP(-LN(2)/25))/(LN(2)/25)*Calculateur!BL154*Calculateur!BN154*VLOOKUP('Données projet'!$B$11,Paramètres!$A$1:$I$89,3,0)*0.475*44/12</f>
        <v>0.41068246534651948</v>
      </c>
      <c r="BR154" s="23">
        <f>EXP(-LN(2)/2)*BR153+(1-EXP(-LN(2)/2))/(LN(2)/2)*BL154*BO154*VLOOKUP('Données projet'!$B$11,Paramètres!$A$1:$I$89,3,0)*0.475*44/12</f>
        <v>7.4208653951280919E-14</v>
      </c>
      <c r="BS154" s="24">
        <f t="shared" ref="BS154:BS203" si="169">SUM(BP154:BR154)</f>
        <v>5.0907192044111964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243.99999999999989</v>
      </c>
      <c r="BZ154" s="14">
        <f>BY154*VLOOKUP('Données projet'!$B$12,Paramètres!$A$1:$I$89,3,0)*VLOOKUP('Données projet'!$B$12,Paramètres!$A$1:$I$89,5,0)</f>
        <v>190.31999999999991</v>
      </c>
      <c r="CA154" s="14">
        <f t="shared" ref="CA154:CA203" si="170">EXP(-1.0587+0.8836*LN(BZ154)+0.284)</f>
        <v>47.61069337740188</v>
      </c>
      <c r="CB154" s="22">
        <f t="shared" ref="CB154:CB203" si="171">(BZ154+CA154)*0.475*44/12</f>
        <v>414.39595763230813</v>
      </c>
      <c r="CC154" s="62">
        <f t="shared" si="119"/>
        <v>701.20417445557348</v>
      </c>
      <c r="CD154" s="62">
        <f ca="1">AVERAGE(OFFSET($CC$3,0,0,'Données projet'!$E$12+1,1))-AVERAGE(OFFSET($H$3,0,0,'Données projet'!$E$12+1,1))</f>
        <v>252.45744983674379</v>
      </c>
      <c r="CE154" s="62">
        <f t="shared" si="148"/>
        <v>283.28099819802776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4.6800367390646027</v>
      </c>
      <c r="CL154" s="23">
        <f>EXP(-LN(2)/25)*CL153+(1-EXP(-LN(2)/25))/(LN(2)/25)*Calculateur!CG154*Calculateur!CI154*VLOOKUP('Données projet'!$B$12,Paramètres!$A$1:$I$89,3,0)*0.475*44/12</f>
        <v>0.41068246534651948</v>
      </c>
      <c r="CM154" s="23">
        <f>EXP(-LN(2)/2)*CM153+(1-EXP(-LN(2)/2))/(LN(2)/2)*CG154*CJ154*VLOOKUP('Données projet'!$B$12,Paramètres!$A$1:$I$89,3,0)*0.475*44/12</f>
        <v>7.4208653951280919E-14</v>
      </c>
      <c r="CN154" s="24">
        <f t="shared" ref="CN154:CN203" si="172">SUM(CK154:CM154)</f>
        <v>5.0907192044111964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215.46880000000002</v>
      </c>
      <c r="O155" s="14">
        <f>N155*VLOOKUP('Données projet'!$B$9,Paramètres!$A$1:$I$89,3,0)*VLOOKUP('Données projet'!$B$9,Paramètres!$A$1:$I$89,5,0)</f>
        <v>100.83939840000001</v>
      </c>
      <c r="P155" s="14">
        <f t="shared" si="141"/>
        <v>27.161875252139833</v>
      </c>
      <c r="Q155" s="22">
        <f t="shared" si="162"/>
        <v>222.93555161081022</v>
      </c>
      <c r="R155" s="62">
        <f t="shared" si="109"/>
        <v>509.85696461755015</v>
      </c>
      <c r="S155" s="62">
        <f ca="1">AVERAGE(OFFSET($R$3,0,0,'Données projet'!$E$9+1,1))-AVERAGE(OFFSET($H$3,0,0,'Données projet'!$E$9+1,1))</f>
        <v>180.76388336802839</v>
      </c>
      <c r="T155" s="62">
        <f t="shared" si="142"/>
        <v>225.35030757566537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3.3332570368584884</v>
      </c>
      <c r="AA155" s="23">
        <f>EXP(-LN(2)/25)*AA154+(1-EXP(-LN(2)/25))/(LN(2)/25)*Calculateur!V155*Calculateur!X155*VLOOKUP('Données projet'!$B$9,Paramètres!$A$1:$I$89,3,0)*0.475*44/12</f>
        <v>0.77646275410826937</v>
      </c>
      <c r="AB155" s="23">
        <f>EXP(-LN(2)/2)*AB154+(1-EXP(-LN(2)/2))/(LN(2)/2)*V155*Y155*VLOOKUP('Données projet'!$B$9,Paramètres!$A$1:$I$89,3,0)*0.475*44/12</f>
        <v>1.2512475641831633E-13</v>
      </c>
      <c r="AC155" s="24">
        <f t="shared" si="163"/>
        <v>4.1097197909668832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243.99999999999989</v>
      </c>
      <c r="AJ155" s="14">
        <f>AI155*VLOOKUP('Données projet'!$B$10,Paramètres!$A$1:$I$89,3,0)*VLOOKUP('Données projet'!$B$10,Paramètres!$A$1:$I$89,5,0)</f>
        <v>190.31999999999991</v>
      </c>
      <c r="AK155" s="14">
        <f t="shared" si="164"/>
        <v>47.61069337740188</v>
      </c>
      <c r="AL155" s="22">
        <f t="shared" si="165"/>
        <v>414.39595763230813</v>
      </c>
      <c r="AM155" s="62">
        <f t="shared" si="113"/>
        <v>701.31737063904802</v>
      </c>
      <c r="AN155" s="62">
        <f ca="1">AVERAGE(OFFSET($AM$3,0,0,'Données projet'!$E$10+1,1))-AVERAGE(OFFSET($H$3,0,0,'Données projet'!$E$10+1,1))</f>
        <v>252.45744983674379</v>
      </c>
      <c r="AO155" s="62">
        <f t="shared" si="144"/>
        <v>283.28099819802776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4.5882640731520938</v>
      </c>
      <c r="AV155" s="23">
        <f>EXP(-LN(2)/25)*AV154+(1-EXP(-LN(2)/25))/(LN(2)/25)*Calculateur!AQ155*Calculateur!AS155*VLOOKUP('Données projet'!$B$10,Paramètres!$A$1:$I$89,3,0)*0.475*44/12</f>
        <v>0.39945233173476669</v>
      </c>
      <c r="AW155" s="23">
        <f>EXP(-LN(2)/2)*AW154+(1-EXP(-LN(2)/2))/(LN(2)/2)*AQ155*AT155*VLOOKUP('Données projet'!$B$10,Paramètres!$A$1:$I$89,3,0)*0.475*44/12</f>
        <v>5.2473442431676623E-14</v>
      </c>
      <c r="AX155" s="23">
        <f t="shared" si="166"/>
        <v>4.9877164048869131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243.99999999999989</v>
      </c>
      <c r="BE155" s="14">
        <f>BD155*VLOOKUP('Données projet'!$B$11,Paramètres!$A$1:$I$89,3,0)*VLOOKUP('Données projet'!$B$11,Paramètres!$A$1:$I$89,5,0)</f>
        <v>190.31999999999991</v>
      </c>
      <c r="BF155" s="14">
        <f t="shared" si="167"/>
        <v>47.61069337740188</v>
      </c>
      <c r="BG155" s="22">
        <f t="shared" si="168"/>
        <v>414.39595763230813</v>
      </c>
      <c r="BH155" s="62">
        <f t="shared" si="116"/>
        <v>701.31737063904802</v>
      </c>
      <c r="BI155" s="62">
        <f ca="1">AVERAGE(OFFSET($BH$3,0,0,'Données projet'!$E$11+1,1))-AVERAGE(OFFSET($H$3,0,0,'Données projet'!$E$11+1,1))</f>
        <v>252.45744983674379</v>
      </c>
      <c r="BJ155" s="62">
        <f t="shared" si="146"/>
        <v>283.28099819802776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4.5882640731520938</v>
      </c>
      <c r="BQ155" s="23">
        <f>EXP(-LN(2)/25)*BQ154+(1-EXP(-LN(2)/25))/(LN(2)/25)*Calculateur!BL155*Calculateur!BN155*VLOOKUP('Données projet'!$B$11,Paramètres!$A$1:$I$89,3,0)*0.475*44/12</f>
        <v>0.39945233173476669</v>
      </c>
      <c r="BR155" s="23">
        <f>EXP(-LN(2)/2)*BR154+(1-EXP(-LN(2)/2))/(LN(2)/2)*BL155*BO155*VLOOKUP('Données projet'!$B$11,Paramètres!$A$1:$I$89,3,0)*0.475*44/12</f>
        <v>5.2473442431676623E-14</v>
      </c>
      <c r="BS155" s="24">
        <f t="shared" si="169"/>
        <v>4.9877164048869131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243.99999999999989</v>
      </c>
      <c r="BZ155" s="14">
        <f>BY155*VLOOKUP('Données projet'!$B$12,Paramètres!$A$1:$I$89,3,0)*VLOOKUP('Données projet'!$B$12,Paramètres!$A$1:$I$89,5,0)</f>
        <v>190.31999999999991</v>
      </c>
      <c r="CA155" s="14">
        <f t="shared" si="170"/>
        <v>47.61069337740188</v>
      </c>
      <c r="CB155" s="22">
        <f t="shared" si="171"/>
        <v>414.39595763230813</v>
      </c>
      <c r="CC155" s="62">
        <f t="shared" si="119"/>
        <v>701.31737063904802</v>
      </c>
      <c r="CD155" s="62">
        <f ca="1">AVERAGE(OFFSET($CC$3,0,0,'Données projet'!$E$12+1,1))-AVERAGE(OFFSET($H$3,0,0,'Données projet'!$E$12+1,1))</f>
        <v>252.45744983674379</v>
      </c>
      <c r="CE155" s="62">
        <f t="shared" si="148"/>
        <v>283.28099819802776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4.5882640731520938</v>
      </c>
      <c r="CL155" s="23">
        <f>EXP(-LN(2)/25)*CL154+(1-EXP(-LN(2)/25))/(LN(2)/25)*Calculateur!CG155*Calculateur!CI155*VLOOKUP('Données projet'!$B$12,Paramètres!$A$1:$I$89,3,0)*0.475*44/12</f>
        <v>0.39945233173476669</v>
      </c>
      <c r="CM155" s="23">
        <f>EXP(-LN(2)/2)*CM154+(1-EXP(-LN(2)/2))/(LN(2)/2)*CG155*CJ155*VLOOKUP('Données projet'!$B$12,Paramètres!$A$1:$I$89,3,0)*0.475*44/12</f>
        <v>5.2473442431676623E-14</v>
      </c>
      <c r="CN155" s="24">
        <f t="shared" si="172"/>
        <v>4.9877164048869131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215.46880000000002</v>
      </c>
      <c r="O156" s="14">
        <f>N156*VLOOKUP('Données projet'!$B$9,Paramètres!$A$1:$I$89,3,0)*VLOOKUP('Données projet'!$B$9,Paramètres!$A$1:$I$89,5,0)</f>
        <v>100.83939840000001</v>
      </c>
      <c r="P156" s="14">
        <f t="shared" si="141"/>
        <v>27.161875252139833</v>
      </c>
      <c r="Q156" s="22">
        <f t="shared" si="162"/>
        <v>222.93555161081022</v>
      </c>
      <c r="R156" s="62">
        <f t="shared" si="109"/>
        <v>509.96819710031025</v>
      </c>
      <c r="S156" s="62">
        <f ca="1">AVERAGE(OFFSET($R$3,0,0,'Données projet'!$E$9+1,1))-AVERAGE(OFFSET($H$3,0,0,'Données projet'!$E$9+1,1))</f>
        <v>180.76388336802839</v>
      </c>
      <c r="T156" s="62">
        <f t="shared" si="142"/>
        <v>225.35030757566537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3.2678938994517353</v>
      </c>
      <c r="AA156" s="23">
        <f>EXP(-LN(2)/25)*AA155+(1-EXP(-LN(2)/25))/(LN(2)/25)*Calculateur!V156*Calculateur!X156*VLOOKUP('Données projet'!$B$9,Paramètres!$A$1:$I$89,3,0)*0.475*44/12</f>
        <v>0.75523033926477712</v>
      </c>
      <c r="AB156" s="23">
        <f>EXP(-LN(2)/2)*AB155+(1-EXP(-LN(2)/2))/(LN(2)/2)*V156*Y156*VLOOKUP('Données projet'!$B$9,Paramètres!$A$1:$I$89,3,0)*0.475*44/12</f>
        <v>8.8476563757706465E-14</v>
      </c>
      <c r="AC156" s="24">
        <f t="shared" si="163"/>
        <v>4.0231242387166013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243.99999999999989</v>
      </c>
      <c r="AJ156" s="14">
        <f>AI156*VLOOKUP('Données projet'!$B$10,Paramètres!$A$1:$I$89,3,0)*VLOOKUP('Données projet'!$B$10,Paramètres!$A$1:$I$89,5,0)</f>
        <v>190.31999999999991</v>
      </c>
      <c r="AK156" s="14">
        <f t="shared" si="164"/>
        <v>47.61069337740188</v>
      </c>
      <c r="AL156" s="22">
        <f t="shared" si="165"/>
        <v>414.39595763230813</v>
      </c>
      <c r="AM156" s="62">
        <f t="shared" si="113"/>
        <v>701.42860312180812</v>
      </c>
      <c r="AN156" s="62">
        <f ca="1">AVERAGE(OFFSET($AM$3,0,0,'Données projet'!$E$10+1,1))-AVERAGE(OFFSET($H$3,0,0,'Données projet'!$E$10+1,1))</f>
        <v>252.45744983674379</v>
      </c>
      <c r="AO156" s="62">
        <f t="shared" si="144"/>
        <v>283.28099819802776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4.4982910132423308</v>
      </c>
      <c r="AV156" s="23">
        <f>EXP(-LN(2)/25)*AV155+(1-EXP(-LN(2)/25))/(LN(2)/25)*Calculateur!AQ156*Calculateur!AS156*VLOOKUP('Données projet'!$B$10,Paramètres!$A$1:$I$89,3,0)*0.475*44/12</f>
        <v>0.38852928671719433</v>
      </c>
      <c r="AW156" s="23">
        <f>EXP(-LN(2)/2)*AW155+(1-EXP(-LN(2)/2))/(LN(2)/2)*AQ156*AT156*VLOOKUP('Données projet'!$B$10,Paramètres!$A$1:$I$89,3,0)*0.475*44/12</f>
        <v>3.7104326975640459E-14</v>
      </c>
      <c r="AX156" s="23">
        <f t="shared" si="166"/>
        <v>4.8868202999595622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243.99999999999989</v>
      </c>
      <c r="BE156" s="14">
        <f>BD156*VLOOKUP('Données projet'!$B$11,Paramètres!$A$1:$I$89,3,0)*VLOOKUP('Données projet'!$B$11,Paramètres!$A$1:$I$89,5,0)</f>
        <v>190.31999999999991</v>
      </c>
      <c r="BF156" s="14">
        <f t="shared" si="167"/>
        <v>47.61069337740188</v>
      </c>
      <c r="BG156" s="22">
        <f t="shared" si="168"/>
        <v>414.39595763230813</v>
      </c>
      <c r="BH156" s="62">
        <f t="shared" si="116"/>
        <v>701.42860312180812</v>
      </c>
      <c r="BI156" s="62">
        <f ca="1">AVERAGE(OFFSET($BH$3,0,0,'Données projet'!$E$11+1,1))-AVERAGE(OFFSET($H$3,0,0,'Données projet'!$E$11+1,1))</f>
        <v>252.45744983674379</v>
      </c>
      <c r="BJ156" s="62">
        <f t="shared" si="146"/>
        <v>283.28099819802776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4.4982910132423308</v>
      </c>
      <c r="BQ156" s="23">
        <f>EXP(-LN(2)/25)*BQ155+(1-EXP(-LN(2)/25))/(LN(2)/25)*Calculateur!BL156*Calculateur!BN156*VLOOKUP('Données projet'!$B$11,Paramètres!$A$1:$I$89,3,0)*0.475*44/12</f>
        <v>0.38852928671719433</v>
      </c>
      <c r="BR156" s="23">
        <f>EXP(-LN(2)/2)*BR155+(1-EXP(-LN(2)/2))/(LN(2)/2)*BL156*BO156*VLOOKUP('Données projet'!$B$11,Paramètres!$A$1:$I$89,3,0)*0.475*44/12</f>
        <v>3.7104326975640459E-14</v>
      </c>
      <c r="BS156" s="24">
        <f t="shared" si="169"/>
        <v>4.8868202999595622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243.99999999999989</v>
      </c>
      <c r="BZ156" s="14">
        <f>BY156*VLOOKUP('Données projet'!$B$12,Paramètres!$A$1:$I$89,3,0)*VLOOKUP('Données projet'!$B$12,Paramètres!$A$1:$I$89,5,0)</f>
        <v>190.31999999999991</v>
      </c>
      <c r="CA156" s="14">
        <f t="shared" si="170"/>
        <v>47.61069337740188</v>
      </c>
      <c r="CB156" s="22">
        <f t="shared" si="171"/>
        <v>414.39595763230813</v>
      </c>
      <c r="CC156" s="62">
        <f t="shared" si="119"/>
        <v>701.42860312180812</v>
      </c>
      <c r="CD156" s="62">
        <f ca="1">AVERAGE(OFFSET($CC$3,0,0,'Données projet'!$E$12+1,1))-AVERAGE(OFFSET($H$3,0,0,'Données projet'!$E$12+1,1))</f>
        <v>252.45744983674379</v>
      </c>
      <c r="CE156" s="62">
        <f t="shared" si="148"/>
        <v>283.28099819802776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4.4982910132423308</v>
      </c>
      <c r="CL156" s="23">
        <f>EXP(-LN(2)/25)*CL155+(1-EXP(-LN(2)/25))/(LN(2)/25)*Calculateur!CG156*Calculateur!CI156*VLOOKUP('Données projet'!$B$12,Paramètres!$A$1:$I$89,3,0)*0.475*44/12</f>
        <v>0.38852928671719433</v>
      </c>
      <c r="CM156" s="23">
        <f>EXP(-LN(2)/2)*CM155+(1-EXP(-LN(2)/2))/(LN(2)/2)*CG156*CJ156*VLOOKUP('Données projet'!$B$12,Paramètres!$A$1:$I$89,3,0)*0.475*44/12</f>
        <v>3.7104326975640459E-14</v>
      </c>
      <c r="CN156" s="24">
        <f t="shared" si="172"/>
        <v>4.8868202999595622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215.46880000000002</v>
      </c>
      <c r="O157" s="14">
        <f>N157*VLOOKUP('Données projet'!$B$9,Paramètres!$A$1:$I$89,3,0)*VLOOKUP('Données projet'!$B$9,Paramètres!$A$1:$I$89,5,0)</f>
        <v>100.83939840000001</v>
      </c>
      <c r="P157" s="14">
        <f t="shared" si="141"/>
        <v>27.161875252139833</v>
      </c>
      <c r="Q157" s="22">
        <f t="shared" si="162"/>
        <v>222.93555161081022</v>
      </c>
      <c r="R157" s="62">
        <f t="shared" si="109"/>
        <v>510.077499948173</v>
      </c>
      <c r="S157" s="62">
        <f ca="1">AVERAGE(OFFSET($R$3,0,0,'Données projet'!$E$9+1,1))-AVERAGE(OFFSET($H$3,0,0,'Données projet'!$E$9+1,1))</f>
        <v>180.76388336802839</v>
      </c>
      <c r="T157" s="62">
        <f t="shared" si="142"/>
        <v>225.35030757566537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3.2038124933019514</v>
      </c>
      <c r="AA157" s="23">
        <f>EXP(-LN(2)/25)*AA156+(1-EXP(-LN(2)/25))/(LN(2)/25)*Calculateur!V157*Calculateur!X157*VLOOKUP('Données projet'!$B$9,Paramètres!$A$1:$I$89,3,0)*0.475*44/12</f>
        <v>0.73457852592174433</v>
      </c>
      <c r="AB157" s="23">
        <f>EXP(-LN(2)/2)*AB156+(1-EXP(-LN(2)/2))/(LN(2)/2)*V157*Y157*VLOOKUP('Données projet'!$B$9,Paramètres!$A$1:$I$89,3,0)*0.475*44/12</f>
        <v>6.2562378209158165E-14</v>
      </c>
      <c r="AC157" s="24">
        <f t="shared" si="163"/>
        <v>3.9383910192237583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243.99999999999989</v>
      </c>
      <c r="AJ157" s="14">
        <f>AI157*VLOOKUP('Données projet'!$B$10,Paramètres!$A$1:$I$89,3,0)*VLOOKUP('Données projet'!$B$10,Paramètres!$A$1:$I$89,5,0)</f>
        <v>190.31999999999991</v>
      </c>
      <c r="AK157" s="14">
        <f t="shared" si="164"/>
        <v>47.61069337740188</v>
      </c>
      <c r="AL157" s="22">
        <f t="shared" si="165"/>
        <v>414.39595763230813</v>
      </c>
      <c r="AM157" s="62">
        <f t="shared" si="113"/>
        <v>701.53790596967087</v>
      </c>
      <c r="AN157" s="62">
        <f ca="1">AVERAGE(OFFSET($AM$3,0,0,'Données projet'!$E$10+1,1))-AVERAGE(OFFSET($H$3,0,0,'Données projet'!$E$10+1,1))</f>
        <v>252.45744983674379</v>
      </c>
      <c r="AO157" s="62">
        <f t="shared" si="144"/>
        <v>283.28099819802776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4.4100822701592506</v>
      </c>
      <c r="AV157" s="23">
        <f>EXP(-LN(2)/25)*AV156+(1-EXP(-LN(2)/25))/(LN(2)/25)*Calculateur!AQ157*Calculateur!AS157*VLOOKUP('Données projet'!$B$10,Paramètres!$A$1:$I$89,3,0)*0.475*44/12</f>
        <v>0.37790493294004546</v>
      </c>
      <c r="AW157" s="23">
        <f>EXP(-LN(2)/2)*AW156+(1-EXP(-LN(2)/2))/(LN(2)/2)*AQ157*AT157*VLOOKUP('Données projet'!$B$10,Paramètres!$A$1:$I$89,3,0)*0.475*44/12</f>
        <v>2.6236721215838311E-14</v>
      </c>
      <c r="AX157" s="23">
        <f t="shared" si="166"/>
        <v>4.7879872030993225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243.99999999999989</v>
      </c>
      <c r="BE157" s="14">
        <f>BD157*VLOOKUP('Données projet'!$B$11,Paramètres!$A$1:$I$89,3,0)*VLOOKUP('Données projet'!$B$11,Paramètres!$A$1:$I$89,5,0)</f>
        <v>190.31999999999991</v>
      </c>
      <c r="BF157" s="14">
        <f t="shared" si="167"/>
        <v>47.61069337740188</v>
      </c>
      <c r="BG157" s="22">
        <f t="shared" si="168"/>
        <v>414.39595763230813</v>
      </c>
      <c r="BH157" s="62">
        <f t="shared" si="116"/>
        <v>701.53790596967087</v>
      </c>
      <c r="BI157" s="62">
        <f ca="1">AVERAGE(OFFSET($BH$3,0,0,'Données projet'!$E$11+1,1))-AVERAGE(OFFSET($H$3,0,0,'Données projet'!$E$11+1,1))</f>
        <v>252.45744983674379</v>
      </c>
      <c r="BJ157" s="62">
        <f t="shared" si="146"/>
        <v>283.28099819802776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4.4100822701592506</v>
      </c>
      <c r="BQ157" s="23">
        <f>EXP(-LN(2)/25)*BQ156+(1-EXP(-LN(2)/25))/(LN(2)/25)*Calculateur!BL157*Calculateur!BN157*VLOOKUP('Données projet'!$B$11,Paramètres!$A$1:$I$89,3,0)*0.475*44/12</f>
        <v>0.37790493294004546</v>
      </c>
      <c r="BR157" s="23">
        <f>EXP(-LN(2)/2)*BR156+(1-EXP(-LN(2)/2))/(LN(2)/2)*BL157*BO157*VLOOKUP('Données projet'!$B$11,Paramètres!$A$1:$I$89,3,0)*0.475*44/12</f>
        <v>2.6236721215838311E-14</v>
      </c>
      <c r="BS157" s="24">
        <f t="shared" si="169"/>
        <v>4.7879872030993225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243.99999999999989</v>
      </c>
      <c r="BZ157" s="14">
        <f>BY157*VLOOKUP('Données projet'!$B$12,Paramètres!$A$1:$I$89,3,0)*VLOOKUP('Données projet'!$B$12,Paramètres!$A$1:$I$89,5,0)</f>
        <v>190.31999999999991</v>
      </c>
      <c r="CA157" s="14">
        <f t="shared" si="170"/>
        <v>47.61069337740188</v>
      </c>
      <c r="CB157" s="22">
        <f t="shared" si="171"/>
        <v>414.39595763230813</v>
      </c>
      <c r="CC157" s="62">
        <f t="shared" si="119"/>
        <v>701.53790596967087</v>
      </c>
      <c r="CD157" s="62">
        <f ca="1">AVERAGE(OFFSET($CC$3,0,0,'Données projet'!$E$12+1,1))-AVERAGE(OFFSET($H$3,0,0,'Données projet'!$E$12+1,1))</f>
        <v>252.45744983674379</v>
      </c>
      <c r="CE157" s="62">
        <f t="shared" si="148"/>
        <v>283.28099819802776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4.4100822701592506</v>
      </c>
      <c r="CL157" s="23">
        <f>EXP(-LN(2)/25)*CL156+(1-EXP(-LN(2)/25))/(LN(2)/25)*Calculateur!CG157*Calculateur!CI157*VLOOKUP('Données projet'!$B$12,Paramètres!$A$1:$I$89,3,0)*0.475*44/12</f>
        <v>0.37790493294004546</v>
      </c>
      <c r="CM157" s="23">
        <f>EXP(-LN(2)/2)*CM156+(1-EXP(-LN(2)/2))/(LN(2)/2)*CG157*CJ157*VLOOKUP('Données projet'!$B$12,Paramètres!$A$1:$I$89,3,0)*0.475*44/12</f>
        <v>2.6236721215838311E-14</v>
      </c>
      <c r="CN157" s="24">
        <f t="shared" si="172"/>
        <v>4.7879872030993225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215.46880000000002</v>
      </c>
      <c r="O158" s="14">
        <f>N158*VLOOKUP('Données projet'!$B$9,Paramètres!$A$1:$I$89,3,0)*VLOOKUP('Données projet'!$B$9,Paramètres!$A$1:$I$89,5,0)</f>
        <v>100.83939840000001</v>
      </c>
      <c r="P158" s="14">
        <f t="shared" si="141"/>
        <v>27.161875252139833</v>
      </c>
      <c r="Q158" s="22">
        <f t="shared" si="162"/>
        <v>222.93555161081022</v>
      </c>
      <c r="R158" s="62">
        <f t="shared" si="109"/>
        <v>510.18490663598993</v>
      </c>
      <c r="S158" s="62">
        <f ca="1">AVERAGE(OFFSET($R$3,0,0,'Données projet'!$E$9+1,1))-AVERAGE(OFFSET($H$3,0,0,'Données projet'!$E$9+1,1))</f>
        <v>180.76388336802839</v>
      </c>
      <c r="T158" s="62">
        <f t="shared" si="142"/>
        <v>225.35030757566537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3.1409876844409665</v>
      </c>
      <c r="AA158" s="23">
        <f>EXP(-LN(2)/25)*AA157+(1-EXP(-LN(2)/25))/(LN(2)/25)*Calculateur!V158*Calculateur!X158*VLOOKUP('Données projet'!$B$9,Paramètres!$A$1:$I$89,3,0)*0.475*44/12</f>
        <v>0.71449143750060851</v>
      </c>
      <c r="AB158" s="23">
        <f>EXP(-LN(2)/2)*AB157+(1-EXP(-LN(2)/2))/(LN(2)/2)*V158*Y158*VLOOKUP('Données projet'!$B$9,Paramètres!$A$1:$I$89,3,0)*0.475*44/12</f>
        <v>4.4238281878853232E-14</v>
      </c>
      <c r="AC158" s="24">
        <f t="shared" si="163"/>
        <v>3.8554791219416193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243.99999999999989</v>
      </c>
      <c r="AJ158" s="14">
        <f>AI158*VLOOKUP('Données projet'!$B$10,Paramètres!$A$1:$I$89,3,0)*VLOOKUP('Données projet'!$B$10,Paramètres!$A$1:$I$89,5,0)</f>
        <v>190.31999999999991</v>
      </c>
      <c r="AK158" s="14">
        <f t="shared" si="164"/>
        <v>47.61069337740188</v>
      </c>
      <c r="AL158" s="22">
        <f t="shared" si="165"/>
        <v>414.39595763230813</v>
      </c>
      <c r="AM158" s="62">
        <f t="shared" si="113"/>
        <v>701.64531265748781</v>
      </c>
      <c r="AN158" s="62">
        <f ca="1">AVERAGE(OFFSET($AM$3,0,0,'Données projet'!$E$10+1,1))-AVERAGE(OFFSET($H$3,0,0,'Données projet'!$E$10+1,1))</f>
        <v>252.45744983674379</v>
      </c>
      <c r="AO158" s="62">
        <f t="shared" si="144"/>
        <v>283.28099819802776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4.3236032467260088</v>
      </c>
      <c r="AV158" s="23">
        <f>EXP(-LN(2)/25)*AV157+(1-EXP(-LN(2)/25))/(LN(2)/25)*Calculateur!AQ158*Calculateur!AS158*VLOOKUP('Données projet'!$B$10,Paramètres!$A$1:$I$89,3,0)*0.475*44/12</f>
        <v>0.36757110267564319</v>
      </c>
      <c r="AW158" s="23">
        <f>EXP(-LN(2)/2)*AW157+(1-EXP(-LN(2)/2))/(LN(2)/2)*AQ158*AT158*VLOOKUP('Données projet'!$B$10,Paramètres!$A$1:$I$89,3,0)*0.475*44/12</f>
        <v>1.855216348782023E-14</v>
      </c>
      <c r="AX158" s="23">
        <f t="shared" si="166"/>
        <v>4.6911743494016704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243.99999999999989</v>
      </c>
      <c r="BE158" s="14">
        <f>BD158*VLOOKUP('Données projet'!$B$11,Paramètres!$A$1:$I$89,3,0)*VLOOKUP('Données projet'!$B$11,Paramètres!$A$1:$I$89,5,0)</f>
        <v>190.31999999999991</v>
      </c>
      <c r="BF158" s="14">
        <f t="shared" si="167"/>
        <v>47.61069337740188</v>
      </c>
      <c r="BG158" s="22">
        <f t="shared" si="168"/>
        <v>414.39595763230813</v>
      </c>
      <c r="BH158" s="62">
        <f t="shared" si="116"/>
        <v>701.64531265748781</v>
      </c>
      <c r="BI158" s="62">
        <f ca="1">AVERAGE(OFFSET($BH$3,0,0,'Données projet'!$E$11+1,1))-AVERAGE(OFFSET($H$3,0,0,'Données projet'!$E$11+1,1))</f>
        <v>252.45744983674379</v>
      </c>
      <c r="BJ158" s="62">
        <f t="shared" si="146"/>
        <v>283.28099819802776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4.3236032467260088</v>
      </c>
      <c r="BQ158" s="23">
        <f>EXP(-LN(2)/25)*BQ157+(1-EXP(-LN(2)/25))/(LN(2)/25)*Calculateur!BL158*Calculateur!BN158*VLOOKUP('Données projet'!$B$11,Paramètres!$A$1:$I$89,3,0)*0.475*44/12</f>
        <v>0.36757110267564319</v>
      </c>
      <c r="BR158" s="23">
        <f>EXP(-LN(2)/2)*BR157+(1-EXP(-LN(2)/2))/(LN(2)/2)*BL158*BO158*VLOOKUP('Données projet'!$B$11,Paramètres!$A$1:$I$89,3,0)*0.475*44/12</f>
        <v>1.855216348782023E-14</v>
      </c>
      <c r="BS158" s="24">
        <f t="shared" si="169"/>
        <v>4.6911743494016704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243.99999999999989</v>
      </c>
      <c r="BZ158" s="14">
        <f>BY158*VLOOKUP('Données projet'!$B$12,Paramètres!$A$1:$I$89,3,0)*VLOOKUP('Données projet'!$B$12,Paramètres!$A$1:$I$89,5,0)</f>
        <v>190.31999999999991</v>
      </c>
      <c r="CA158" s="14">
        <f t="shared" si="170"/>
        <v>47.61069337740188</v>
      </c>
      <c r="CB158" s="22">
        <f t="shared" si="171"/>
        <v>414.39595763230813</v>
      </c>
      <c r="CC158" s="62">
        <f t="shared" si="119"/>
        <v>701.64531265748781</v>
      </c>
      <c r="CD158" s="62">
        <f ca="1">AVERAGE(OFFSET($CC$3,0,0,'Données projet'!$E$12+1,1))-AVERAGE(OFFSET($H$3,0,0,'Données projet'!$E$12+1,1))</f>
        <v>252.45744983674379</v>
      </c>
      <c r="CE158" s="62">
        <f t="shared" si="148"/>
        <v>283.28099819802776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4.3236032467260088</v>
      </c>
      <c r="CL158" s="23">
        <f>EXP(-LN(2)/25)*CL157+(1-EXP(-LN(2)/25))/(LN(2)/25)*Calculateur!CG158*Calculateur!CI158*VLOOKUP('Données projet'!$B$12,Paramètres!$A$1:$I$89,3,0)*0.475*44/12</f>
        <v>0.36757110267564319</v>
      </c>
      <c r="CM158" s="23">
        <f>EXP(-LN(2)/2)*CM157+(1-EXP(-LN(2)/2))/(LN(2)/2)*CG158*CJ158*VLOOKUP('Données projet'!$B$12,Paramètres!$A$1:$I$89,3,0)*0.475*44/12</f>
        <v>1.855216348782023E-14</v>
      </c>
      <c r="CN158" s="24">
        <f t="shared" si="172"/>
        <v>4.6911743494016704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215.46880000000002</v>
      </c>
      <c r="O159" s="14">
        <f>N159*VLOOKUP('Données projet'!$B$9,Paramètres!$A$1:$I$89,3,0)*VLOOKUP('Données projet'!$B$9,Paramètres!$A$1:$I$89,5,0)</f>
        <v>100.83939840000001</v>
      </c>
      <c r="P159" s="14">
        <f t="shared" si="141"/>
        <v>27.161875252139833</v>
      </c>
      <c r="Q159" s="22">
        <f t="shared" si="162"/>
        <v>222.93555161081022</v>
      </c>
      <c r="R159" s="62">
        <f t="shared" si="109"/>
        <v>510.29045005789851</v>
      </c>
      <c r="S159" s="62">
        <f ca="1">AVERAGE(OFFSET($R$3,0,0,'Données projet'!$E$9+1,1))-AVERAGE(OFFSET($H$3,0,0,'Données projet'!$E$9+1,1))</f>
        <v>180.76388336802839</v>
      </c>
      <c r="T159" s="62">
        <f t="shared" si="142"/>
        <v>225.35030757566537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3.079394831762396</v>
      </c>
      <c r="AA159" s="23">
        <f>EXP(-LN(2)/25)*AA158+(1-EXP(-LN(2)/25))/(LN(2)/25)*Calculateur!V159*Calculateur!X159*VLOOKUP('Données projet'!$B$9,Paramètres!$A$1:$I$89,3,0)*0.475*44/12</f>
        <v>0.69495363156868262</v>
      </c>
      <c r="AB159" s="23">
        <f>EXP(-LN(2)/2)*AB158+(1-EXP(-LN(2)/2))/(LN(2)/2)*V159*Y159*VLOOKUP('Données projet'!$B$9,Paramètres!$A$1:$I$89,3,0)*0.475*44/12</f>
        <v>3.1281189104579083E-14</v>
      </c>
      <c r="AC159" s="24">
        <f t="shared" si="163"/>
        <v>3.7743484633311097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243.99999999999989</v>
      </c>
      <c r="AJ159" s="14">
        <f>AI159*VLOOKUP('Données projet'!$B$10,Paramètres!$A$1:$I$89,3,0)*VLOOKUP('Données projet'!$B$10,Paramètres!$A$1:$I$89,5,0)</f>
        <v>190.31999999999991</v>
      </c>
      <c r="AK159" s="14">
        <f t="shared" si="164"/>
        <v>47.61069337740188</v>
      </c>
      <c r="AL159" s="22">
        <f t="shared" si="165"/>
        <v>414.39595763230813</v>
      </c>
      <c r="AM159" s="62">
        <f t="shared" si="113"/>
        <v>701.7508560793965</v>
      </c>
      <c r="AN159" s="62">
        <f ca="1">AVERAGE(OFFSET($AM$3,0,0,'Données projet'!$E$10+1,1))-AVERAGE(OFFSET($H$3,0,0,'Données projet'!$E$10+1,1))</f>
        <v>252.45744983674379</v>
      </c>
      <c r="AO159" s="62">
        <f t="shared" si="144"/>
        <v>283.28099819802776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4.2388200241952969</v>
      </c>
      <c r="AV159" s="23">
        <f>EXP(-LN(2)/25)*AV158+(1-EXP(-LN(2)/25))/(LN(2)/25)*Calculateur!AQ159*Calculateur!AS159*VLOOKUP('Données projet'!$B$10,Paramètres!$A$1:$I$89,3,0)*0.475*44/12</f>
        <v>0.35751985154325355</v>
      </c>
      <c r="AW159" s="23">
        <f>EXP(-LN(2)/2)*AW158+(1-EXP(-LN(2)/2))/(LN(2)/2)*AQ159*AT159*VLOOKUP('Données projet'!$B$10,Paramètres!$A$1:$I$89,3,0)*0.475*44/12</f>
        <v>1.3118360607919156E-14</v>
      </c>
      <c r="AX159" s="23">
        <f t="shared" si="166"/>
        <v>4.5963398757385638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243.99999999999989</v>
      </c>
      <c r="BE159" s="14">
        <f>BD159*VLOOKUP('Données projet'!$B$11,Paramètres!$A$1:$I$89,3,0)*VLOOKUP('Données projet'!$B$11,Paramètres!$A$1:$I$89,5,0)</f>
        <v>190.31999999999991</v>
      </c>
      <c r="BF159" s="14">
        <f t="shared" si="167"/>
        <v>47.61069337740188</v>
      </c>
      <c r="BG159" s="22">
        <f t="shared" si="168"/>
        <v>414.39595763230813</v>
      </c>
      <c r="BH159" s="62">
        <f t="shared" si="116"/>
        <v>701.7508560793965</v>
      </c>
      <c r="BI159" s="62">
        <f ca="1">AVERAGE(OFFSET($BH$3,0,0,'Données projet'!$E$11+1,1))-AVERAGE(OFFSET($H$3,0,0,'Données projet'!$E$11+1,1))</f>
        <v>252.45744983674379</v>
      </c>
      <c r="BJ159" s="62">
        <f t="shared" si="146"/>
        <v>283.28099819802776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4.2388200241952969</v>
      </c>
      <c r="BQ159" s="23">
        <f>EXP(-LN(2)/25)*BQ158+(1-EXP(-LN(2)/25))/(LN(2)/25)*Calculateur!BL159*Calculateur!BN159*VLOOKUP('Données projet'!$B$11,Paramètres!$A$1:$I$89,3,0)*0.475*44/12</f>
        <v>0.35751985154325355</v>
      </c>
      <c r="BR159" s="23">
        <f>EXP(-LN(2)/2)*BR158+(1-EXP(-LN(2)/2))/(LN(2)/2)*BL159*BO159*VLOOKUP('Données projet'!$B$11,Paramètres!$A$1:$I$89,3,0)*0.475*44/12</f>
        <v>1.3118360607919156E-14</v>
      </c>
      <c r="BS159" s="24">
        <f t="shared" si="169"/>
        <v>4.5963398757385638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243.99999999999989</v>
      </c>
      <c r="BZ159" s="14">
        <f>BY159*VLOOKUP('Données projet'!$B$12,Paramètres!$A$1:$I$89,3,0)*VLOOKUP('Données projet'!$B$12,Paramètres!$A$1:$I$89,5,0)</f>
        <v>190.31999999999991</v>
      </c>
      <c r="CA159" s="14">
        <f t="shared" si="170"/>
        <v>47.61069337740188</v>
      </c>
      <c r="CB159" s="22">
        <f t="shared" si="171"/>
        <v>414.39595763230813</v>
      </c>
      <c r="CC159" s="62">
        <f t="shared" si="119"/>
        <v>701.7508560793965</v>
      </c>
      <c r="CD159" s="62">
        <f ca="1">AVERAGE(OFFSET($CC$3,0,0,'Données projet'!$E$12+1,1))-AVERAGE(OFFSET($H$3,0,0,'Données projet'!$E$12+1,1))</f>
        <v>252.45744983674379</v>
      </c>
      <c r="CE159" s="62">
        <f t="shared" si="148"/>
        <v>283.28099819802776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4.2388200241952969</v>
      </c>
      <c r="CL159" s="23">
        <f>EXP(-LN(2)/25)*CL158+(1-EXP(-LN(2)/25))/(LN(2)/25)*Calculateur!CG159*Calculateur!CI159*VLOOKUP('Données projet'!$B$12,Paramètres!$A$1:$I$89,3,0)*0.475*44/12</f>
        <v>0.35751985154325355</v>
      </c>
      <c r="CM159" s="23">
        <f>EXP(-LN(2)/2)*CM158+(1-EXP(-LN(2)/2))/(LN(2)/2)*CG159*CJ159*VLOOKUP('Données projet'!$B$12,Paramètres!$A$1:$I$89,3,0)*0.475*44/12</f>
        <v>1.3118360607919156E-14</v>
      </c>
      <c r="CN159" s="24">
        <f t="shared" si="172"/>
        <v>4.5963398757385638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215.46880000000002</v>
      </c>
      <c r="O160" s="14">
        <f>N160*VLOOKUP('Données projet'!$B$9,Paramètres!$A$1:$I$89,3,0)*VLOOKUP('Données projet'!$B$9,Paramètres!$A$1:$I$89,5,0)</f>
        <v>100.83939840000001</v>
      </c>
      <c r="P160" s="14">
        <f t="shared" si="141"/>
        <v>27.161875252139833</v>
      </c>
      <c r="Q160" s="22">
        <f t="shared" si="162"/>
        <v>222.93555161081022</v>
      </c>
      <c r="R160" s="62">
        <f t="shared" si="109"/>
        <v>510.39416253739682</v>
      </c>
      <c r="S160" s="62">
        <f ca="1">AVERAGE(OFFSET($R$3,0,0,'Données projet'!$E$9+1,1))-AVERAGE(OFFSET($H$3,0,0,'Données projet'!$E$9+1,1))</f>
        <v>180.76388336802839</v>
      </c>
      <c r="T160" s="62">
        <f t="shared" si="142"/>
        <v>225.35030757566537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3.0190097773569216</v>
      </c>
      <c r="AA160" s="23">
        <f>EXP(-LN(2)/25)*AA159+(1-EXP(-LN(2)/25))/(LN(2)/25)*Calculateur!V160*Calculateur!X160*VLOOKUP('Données projet'!$B$9,Paramètres!$A$1:$I$89,3,0)*0.475*44/12</f>
        <v>0.67595008796741385</v>
      </c>
      <c r="AB160" s="23">
        <f>EXP(-LN(2)/2)*AB159+(1-EXP(-LN(2)/2))/(LN(2)/2)*V160*Y160*VLOOKUP('Données projet'!$B$9,Paramètres!$A$1:$I$89,3,0)*0.475*44/12</f>
        <v>2.2119140939426616E-14</v>
      </c>
      <c r="AC160" s="24">
        <f t="shared" si="163"/>
        <v>3.6949598653243578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243.99999999999989</v>
      </c>
      <c r="AJ160" s="14">
        <f>AI160*VLOOKUP('Données projet'!$B$10,Paramètres!$A$1:$I$89,3,0)*VLOOKUP('Données projet'!$B$10,Paramètres!$A$1:$I$89,5,0)</f>
        <v>190.31999999999991</v>
      </c>
      <c r="AK160" s="14">
        <f t="shared" si="164"/>
        <v>47.61069337740188</v>
      </c>
      <c r="AL160" s="22">
        <f t="shared" si="165"/>
        <v>414.39595763230813</v>
      </c>
      <c r="AM160" s="62">
        <f t="shared" si="113"/>
        <v>701.8545685588947</v>
      </c>
      <c r="AN160" s="62">
        <f ca="1">AVERAGE(OFFSET($AM$3,0,0,'Données projet'!$E$10+1,1))-AVERAGE(OFFSET($H$3,0,0,'Données projet'!$E$10+1,1))</f>
        <v>252.45744983674379</v>
      </c>
      <c r="AO160" s="62">
        <f t="shared" si="144"/>
        <v>283.28099819802776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4.1556993489457525</v>
      </c>
      <c r="AV160" s="23">
        <f>EXP(-LN(2)/25)*AV159+(1-EXP(-LN(2)/25))/(LN(2)/25)*Calculateur!AQ160*Calculateur!AS160*VLOOKUP('Données projet'!$B$10,Paramètres!$A$1:$I$89,3,0)*0.475*44/12</f>
        <v>0.34774345240165139</v>
      </c>
      <c r="AW160" s="23">
        <f>EXP(-LN(2)/2)*AW159+(1-EXP(-LN(2)/2))/(LN(2)/2)*AQ160*AT160*VLOOKUP('Données projet'!$B$10,Paramètres!$A$1:$I$89,3,0)*0.475*44/12</f>
        <v>9.2760817439101148E-15</v>
      </c>
      <c r="AX160" s="23">
        <f t="shared" si="166"/>
        <v>4.503442801347413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243.99999999999989</v>
      </c>
      <c r="BE160" s="14">
        <f>BD160*VLOOKUP('Données projet'!$B$11,Paramètres!$A$1:$I$89,3,0)*VLOOKUP('Données projet'!$B$11,Paramètres!$A$1:$I$89,5,0)</f>
        <v>190.31999999999991</v>
      </c>
      <c r="BF160" s="14">
        <f t="shared" si="167"/>
        <v>47.61069337740188</v>
      </c>
      <c r="BG160" s="22">
        <f t="shared" si="168"/>
        <v>414.39595763230813</v>
      </c>
      <c r="BH160" s="62">
        <f t="shared" si="116"/>
        <v>701.8545685588947</v>
      </c>
      <c r="BI160" s="62">
        <f ca="1">AVERAGE(OFFSET($BH$3,0,0,'Données projet'!$E$11+1,1))-AVERAGE(OFFSET($H$3,0,0,'Données projet'!$E$11+1,1))</f>
        <v>252.45744983674379</v>
      </c>
      <c r="BJ160" s="62">
        <f t="shared" si="146"/>
        <v>283.28099819802776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4.1556993489457525</v>
      </c>
      <c r="BQ160" s="23">
        <f>EXP(-LN(2)/25)*BQ159+(1-EXP(-LN(2)/25))/(LN(2)/25)*Calculateur!BL160*Calculateur!BN160*VLOOKUP('Données projet'!$B$11,Paramètres!$A$1:$I$89,3,0)*0.475*44/12</f>
        <v>0.34774345240165139</v>
      </c>
      <c r="BR160" s="23">
        <f>EXP(-LN(2)/2)*BR159+(1-EXP(-LN(2)/2))/(LN(2)/2)*BL160*BO160*VLOOKUP('Données projet'!$B$11,Paramètres!$A$1:$I$89,3,0)*0.475*44/12</f>
        <v>9.2760817439101148E-15</v>
      </c>
      <c r="BS160" s="24">
        <f t="shared" si="169"/>
        <v>4.503442801347413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243.99999999999989</v>
      </c>
      <c r="BZ160" s="14">
        <f>BY160*VLOOKUP('Données projet'!$B$12,Paramètres!$A$1:$I$89,3,0)*VLOOKUP('Données projet'!$B$12,Paramètres!$A$1:$I$89,5,0)</f>
        <v>190.31999999999991</v>
      </c>
      <c r="CA160" s="14">
        <f t="shared" si="170"/>
        <v>47.61069337740188</v>
      </c>
      <c r="CB160" s="22">
        <f t="shared" si="171"/>
        <v>414.39595763230813</v>
      </c>
      <c r="CC160" s="62">
        <f t="shared" si="119"/>
        <v>701.8545685588947</v>
      </c>
      <c r="CD160" s="62">
        <f ca="1">AVERAGE(OFFSET($CC$3,0,0,'Données projet'!$E$12+1,1))-AVERAGE(OFFSET($H$3,0,0,'Données projet'!$E$12+1,1))</f>
        <v>252.45744983674379</v>
      </c>
      <c r="CE160" s="62">
        <f t="shared" si="148"/>
        <v>283.28099819802776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4.1556993489457525</v>
      </c>
      <c r="CL160" s="23">
        <f>EXP(-LN(2)/25)*CL159+(1-EXP(-LN(2)/25))/(LN(2)/25)*Calculateur!CG160*Calculateur!CI160*VLOOKUP('Données projet'!$B$12,Paramètres!$A$1:$I$89,3,0)*0.475*44/12</f>
        <v>0.34774345240165139</v>
      </c>
      <c r="CM160" s="23">
        <f>EXP(-LN(2)/2)*CM159+(1-EXP(-LN(2)/2))/(LN(2)/2)*CG160*CJ160*VLOOKUP('Données projet'!$B$12,Paramètres!$A$1:$I$89,3,0)*0.475*44/12</f>
        <v>9.2760817439101148E-15</v>
      </c>
      <c r="CN160" s="24">
        <f t="shared" si="172"/>
        <v>4.503442801347413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215.46880000000002</v>
      </c>
      <c r="O161" s="14">
        <f>N161*VLOOKUP('Données projet'!$B$9,Paramètres!$A$1:$I$89,3,0)*VLOOKUP('Données projet'!$B$9,Paramètres!$A$1:$I$89,5,0)</f>
        <v>100.83939840000001</v>
      </c>
      <c r="P161" s="14">
        <f t="shared" si="141"/>
        <v>27.161875252139833</v>
      </c>
      <c r="Q161" s="22">
        <f t="shared" si="162"/>
        <v>222.93555161081022</v>
      </c>
      <c r="R161" s="62">
        <f t="shared" si="109"/>
        <v>510.49607583724219</v>
      </c>
      <c r="S161" s="62">
        <f ca="1">AVERAGE(OFFSET($R$3,0,0,'Données projet'!$E$9+1,1))-AVERAGE(OFFSET($H$3,0,0,'Données projet'!$E$9+1,1))</f>
        <v>180.76388336802839</v>
      </c>
      <c r="T161" s="62">
        <f t="shared" si="142"/>
        <v>225.35030757566537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2.9598088370370919</v>
      </c>
      <c r="AA161" s="23">
        <f>EXP(-LN(2)/25)*AA160+(1-EXP(-LN(2)/25))/(LN(2)/25)*Calculateur!V161*Calculateur!X161*VLOOKUP('Données projet'!$B$9,Paramètres!$A$1:$I$89,3,0)*0.475*44/12</f>
        <v>0.65746619726527467</v>
      </c>
      <c r="AB161" s="23">
        <f>EXP(-LN(2)/2)*AB160+(1-EXP(-LN(2)/2))/(LN(2)/2)*V161*Y161*VLOOKUP('Données projet'!$B$9,Paramètres!$A$1:$I$89,3,0)*0.475*44/12</f>
        <v>1.5640594552289541E-14</v>
      </c>
      <c r="AC161" s="24">
        <f t="shared" si="163"/>
        <v>3.6172750343023821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243.99999999999989</v>
      </c>
      <c r="AJ161" s="14">
        <f>AI161*VLOOKUP('Données projet'!$B$10,Paramètres!$A$1:$I$89,3,0)*VLOOKUP('Données projet'!$B$10,Paramètres!$A$1:$I$89,5,0)</f>
        <v>190.31999999999991</v>
      </c>
      <c r="AK161" s="14">
        <f t="shared" si="164"/>
        <v>47.61069337740188</v>
      </c>
      <c r="AL161" s="22">
        <f t="shared" si="165"/>
        <v>414.39595763230813</v>
      </c>
      <c r="AM161" s="62">
        <f t="shared" si="113"/>
        <v>701.95648185874006</v>
      </c>
      <c r="AN161" s="62">
        <f ca="1">AVERAGE(OFFSET($AM$3,0,0,'Données projet'!$E$10+1,1))-AVERAGE(OFFSET($H$3,0,0,'Données projet'!$E$10+1,1))</f>
        <v>252.45744983674379</v>
      </c>
      <c r="AO161" s="62">
        <f t="shared" si="144"/>
        <v>283.28099819802776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4.0742086194392462</v>
      </c>
      <c r="AV161" s="23">
        <f>EXP(-LN(2)/25)*AV160+(1-EXP(-LN(2)/25))/(LN(2)/25)*Calculateur!AQ161*Calculateur!AS161*VLOOKUP('Données projet'!$B$10,Paramètres!$A$1:$I$89,3,0)*0.475*44/12</f>
        <v>0.33823438940869482</v>
      </c>
      <c r="AW161" s="23">
        <f>EXP(-LN(2)/2)*AW160+(1-EXP(-LN(2)/2))/(LN(2)/2)*AQ161*AT161*VLOOKUP('Données projet'!$B$10,Paramètres!$A$1:$I$89,3,0)*0.475*44/12</f>
        <v>6.5591803039595778E-15</v>
      </c>
      <c r="AX161" s="23">
        <f t="shared" si="166"/>
        <v>4.4124430088479469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243.99999999999989</v>
      </c>
      <c r="BE161" s="14">
        <f>BD161*VLOOKUP('Données projet'!$B$11,Paramètres!$A$1:$I$89,3,0)*VLOOKUP('Données projet'!$B$11,Paramètres!$A$1:$I$89,5,0)</f>
        <v>190.31999999999991</v>
      </c>
      <c r="BF161" s="14">
        <f t="shared" si="167"/>
        <v>47.61069337740188</v>
      </c>
      <c r="BG161" s="22">
        <f t="shared" si="168"/>
        <v>414.39595763230813</v>
      </c>
      <c r="BH161" s="62">
        <f t="shared" si="116"/>
        <v>701.95648185874006</v>
      </c>
      <c r="BI161" s="62">
        <f ca="1">AVERAGE(OFFSET($BH$3,0,0,'Données projet'!$E$11+1,1))-AVERAGE(OFFSET($H$3,0,0,'Données projet'!$E$11+1,1))</f>
        <v>252.45744983674379</v>
      </c>
      <c r="BJ161" s="62">
        <f t="shared" si="146"/>
        <v>283.28099819802776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4.0742086194392462</v>
      </c>
      <c r="BQ161" s="23">
        <f>EXP(-LN(2)/25)*BQ160+(1-EXP(-LN(2)/25))/(LN(2)/25)*Calculateur!BL161*Calculateur!BN161*VLOOKUP('Données projet'!$B$11,Paramètres!$A$1:$I$89,3,0)*0.475*44/12</f>
        <v>0.33823438940869482</v>
      </c>
      <c r="BR161" s="23">
        <f>EXP(-LN(2)/2)*BR160+(1-EXP(-LN(2)/2))/(LN(2)/2)*BL161*BO161*VLOOKUP('Données projet'!$B$11,Paramètres!$A$1:$I$89,3,0)*0.475*44/12</f>
        <v>6.5591803039595778E-15</v>
      </c>
      <c r="BS161" s="24">
        <f t="shared" si="169"/>
        <v>4.4124430088479469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243.99999999999989</v>
      </c>
      <c r="BZ161" s="14">
        <f>BY161*VLOOKUP('Données projet'!$B$12,Paramètres!$A$1:$I$89,3,0)*VLOOKUP('Données projet'!$B$12,Paramètres!$A$1:$I$89,5,0)</f>
        <v>190.31999999999991</v>
      </c>
      <c r="CA161" s="14">
        <f t="shared" si="170"/>
        <v>47.61069337740188</v>
      </c>
      <c r="CB161" s="22">
        <f t="shared" si="171"/>
        <v>414.39595763230813</v>
      </c>
      <c r="CC161" s="62">
        <f t="shared" si="119"/>
        <v>701.95648185874006</v>
      </c>
      <c r="CD161" s="62">
        <f ca="1">AVERAGE(OFFSET($CC$3,0,0,'Données projet'!$E$12+1,1))-AVERAGE(OFFSET($H$3,0,0,'Données projet'!$E$12+1,1))</f>
        <v>252.45744983674379</v>
      </c>
      <c r="CE161" s="62">
        <f t="shared" si="148"/>
        <v>283.28099819802776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4.0742086194392462</v>
      </c>
      <c r="CL161" s="23">
        <f>EXP(-LN(2)/25)*CL160+(1-EXP(-LN(2)/25))/(LN(2)/25)*Calculateur!CG161*Calculateur!CI161*VLOOKUP('Données projet'!$B$12,Paramètres!$A$1:$I$89,3,0)*0.475*44/12</f>
        <v>0.33823438940869482</v>
      </c>
      <c r="CM161" s="23">
        <f>EXP(-LN(2)/2)*CM160+(1-EXP(-LN(2)/2))/(LN(2)/2)*CG161*CJ161*VLOOKUP('Données projet'!$B$12,Paramètres!$A$1:$I$89,3,0)*0.475*44/12</f>
        <v>6.5591803039595778E-15</v>
      </c>
      <c r="CN161" s="24">
        <f t="shared" si="172"/>
        <v>4.4124430088479469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215.46880000000002</v>
      </c>
      <c r="O162" s="14">
        <f>N162*VLOOKUP('Données projet'!$B$9,Paramètres!$A$1:$I$89,3,0)*VLOOKUP('Données projet'!$B$9,Paramètres!$A$1:$I$89,5,0)</f>
        <v>100.83939840000001</v>
      </c>
      <c r="P162" s="14">
        <f t="shared" si="141"/>
        <v>27.161875252139833</v>
      </c>
      <c r="Q162" s="22">
        <f t="shared" si="162"/>
        <v>222.93555161081022</v>
      </c>
      <c r="R162" s="62">
        <f t="shared" si="109"/>
        <v>510.59622116917922</v>
      </c>
      <c r="S162" s="62">
        <f ca="1">AVERAGE(OFFSET($R$3,0,0,'Données projet'!$E$9+1,1))-AVERAGE(OFFSET($H$3,0,0,'Données projet'!$E$9+1,1))</f>
        <v>180.76388336802839</v>
      </c>
      <c r="T162" s="62">
        <f t="shared" si="142"/>
        <v>225.35030757566537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2.901768791047926</v>
      </c>
      <c r="AA162" s="23">
        <f>EXP(-LN(2)/25)*AA161+(1-EXP(-LN(2)/25))/(LN(2)/25)*Calculateur!V162*Calculateur!X162*VLOOKUP('Données projet'!$B$9,Paramètres!$A$1:$I$89,3,0)*0.475*44/12</f>
        <v>0.63948774952641108</v>
      </c>
      <c r="AB162" s="23">
        <f>EXP(-LN(2)/2)*AB161+(1-EXP(-LN(2)/2))/(LN(2)/2)*V162*Y162*VLOOKUP('Données projet'!$B$9,Paramètres!$A$1:$I$89,3,0)*0.475*44/12</f>
        <v>1.1059570469713308E-14</v>
      </c>
      <c r="AC162" s="24">
        <f t="shared" si="163"/>
        <v>3.5412565405743481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243.99999999999989</v>
      </c>
      <c r="AJ162" s="14">
        <f>AI162*VLOOKUP('Données projet'!$B$10,Paramètres!$A$1:$I$89,3,0)*VLOOKUP('Données projet'!$B$10,Paramètres!$A$1:$I$89,5,0)</f>
        <v>190.31999999999991</v>
      </c>
      <c r="AK162" s="14">
        <f t="shared" si="164"/>
        <v>47.61069337740188</v>
      </c>
      <c r="AL162" s="22">
        <f t="shared" si="165"/>
        <v>414.39595763230813</v>
      </c>
      <c r="AM162" s="62">
        <f t="shared" si="113"/>
        <v>702.05662719067709</v>
      </c>
      <c r="AN162" s="62">
        <f ca="1">AVERAGE(OFFSET($AM$3,0,0,'Données projet'!$E$10+1,1))-AVERAGE(OFFSET($H$3,0,0,'Données projet'!$E$10+1,1))</f>
        <v>252.45744983674379</v>
      </c>
      <c r="AO162" s="62">
        <f t="shared" si="144"/>
        <v>283.28099819802776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3.994315873433925</v>
      </c>
      <c r="AV162" s="23">
        <f>EXP(-LN(2)/25)*AV161+(1-EXP(-LN(2)/25))/(LN(2)/25)*Calculateur!AQ162*Calculateur!AS162*VLOOKUP('Données projet'!$B$10,Paramètres!$A$1:$I$89,3,0)*0.475*44/12</f>
        <v>0.32898535224334058</v>
      </c>
      <c r="AW162" s="23">
        <f>EXP(-LN(2)/2)*AW161+(1-EXP(-LN(2)/2))/(LN(2)/2)*AQ162*AT162*VLOOKUP('Données projet'!$B$10,Paramètres!$A$1:$I$89,3,0)*0.475*44/12</f>
        <v>4.6380408719550574E-15</v>
      </c>
      <c r="AX162" s="23">
        <f t="shared" si="166"/>
        <v>4.3233012256772705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243.99999999999989</v>
      </c>
      <c r="BE162" s="14">
        <f>BD162*VLOOKUP('Données projet'!$B$11,Paramètres!$A$1:$I$89,3,0)*VLOOKUP('Données projet'!$B$11,Paramètres!$A$1:$I$89,5,0)</f>
        <v>190.31999999999991</v>
      </c>
      <c r="BF162" s="14">
        <f t="shared" si="167"/>
        <v>47.61069337740188</v>
      </c>
      <c r="BG162" s="22">
        <f t="shared" si="168"/>
        <v>414.39595763230813</v>
      </c>
      <c r="BH162" s="62">
        <f t="shared" si="116"/>
        <v>702.05662719067709</v>
      </c>
      <c r="BI162" s="62">
        <f ca="1">AVERAGE(OFFSET($BH$3,0,0,'Données projet'!$E$11+1,1))-AVERAGE(OFFSET($H$3,0,0,'Données projet'!$E$11+1,1))</f>
        <v>252.45744983674379</v>
      </c>
      <c r="BJ162" s="62">
        <f t="shared" si="146"/>
        <v>283.28099819802776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3.994315873433925</v>
      </c>
      <c r="BQ162" s="23">
        <f>EXP(-LN(2)/25)*BQ161+(1-EXP(-LN(2)/25))/(LN(2)/25)*Calculateur!BL162*Calculateur!BN162*VLOOKUP('Données projet'!$B$11,Paramètres!$A$1:$I$89,3,0)*0.475*44/12</f>
        <v>0.32898535224334058</v>
      </c>
      <c r="BR162" s="23">
        <f>EXP(-LN(2)/2)*BR161+(1-EXP(-LN(2)/2))/(LN(2)/2)*BL162*BO162*VLOOKUP('Données projet'!$B$11,Paramètres!$A$1:$I$89,3,0)*0.475*44/12</f>
        <v>4.6380408719550574E-15</v>
      </c>
      <c r="BS162" s="24">
        <f t="shared" si="169"/>
        <v>4.3233012256772705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243.99999999999989</v>
      </c>
      <c r="BZ162" s="14">
        <f>BY162*VLOOKUP('Données projet'!$B$12,Paramètres!$A$1:$I$89,3,0)*VLOOKUP('Données projet'!$B$12,Paramètres!$A$1:$I$89,5,0)</f>
        <v>190.31999999999991</v>
      </c>
      <c r="CA162" s="14">
        <f t="shared" si="170"/>
        <v>47.61069337740188</v>
      </c>
      <c r="CB162" s="22">
        <f t="shared" si="171"/>
        <v>414.39595763230813</v>
      </c>
      <c r="CC162" s="62">
        <f t="shared" si="119"/>
        <v>702.05662719067709</v>
      </c>
      <c r="CD162" s="62">
        <f ca="1">AVERAGE(OFFSET($CC$3,0,0,'Données projet'!$E$12+1,1))-AVERAGE(OFFSET($H$3,0,0,'Données projet'!$E$12+1,1))</f>
        <v>252.45744983674379</v>
      </c>
      <c r="CE162" s="62">
        <f t="shared" si="148"/>
        <v>283.28099819802776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3.994315873433925</v>
      </c>
      <c r="CL162" s="23">
        <f>EXP(-LN(2)/25)*CL161+(1-EXP(-LN(2)/25))/(LN(2)/25)*Calculateur!CG162*Calculateur!CI162*VLOOKUP('Données projet'!$B$12,Paramètres!$A$1:$I$89,3,0)*0.475*44/12</f>
        <v>0.32898535224334058</v>
      </c>
      <c r="CM162" s="23">
        <f>EXP(-LN(2)/2)*CM161+(1-EXP(-LN(2)/2))/(LN(2)/2)*CG162*CJ162*VLOOKUP('Données projet'!$B$12,Paramètres!$A$1:$I$89,3,0)*0.475*44/12</f>
        <v>4.6380408719550574E-15</v>
      </c>
      <c r="CN162" s="24">
        <f t="shared" si="172"/>
        <v>4.3233012256772705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215.46880000000002</v>
      </c>
      <c r="O163" s="14">
        <f>N163*VLOOKUP('Données projet'!$B$9,Paramètres!$A$1:$I$89,3,0)*VLOOKUP('Données projet'!$B$9,Paramètres!$A$1:$I$89,5,0)</f>
        <v>100.83939840000001</v>
      </c>
      <c r="P163" s="14">
        <f t="shared" si="141"/>
        <v>27.161875252139833</v>
      </c>
      <c r="Q163" s="22">
        <f t="shared" si="162"/>
        <v>222.93555161081022</v>
      </c>
      <c r="R163" s="62">
        <f t="shared" si="109"/>
        <v>510.69462920349861</v>
      </c>
      <c r="S163" s="62">
        <f ca="1">AVERAGE(OFFSET($R$3,0,0,'Données projet'!$E$9+1,1))-AVERAGE(OFFSET($H$3,0,0,'Données projet'!$E$9+1,1))</f>
        <v>180.76388336802839</v>
      </c>
      <c r="T163" s="62">
        <f t="shared" si="142"/>
        <v>225.35030757566537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2.8448668749596751</v>
      </c>
      <c r="AA163" s="23">
        <f>EXP(-LN(2)/25)*AA162+(1-EXP(-LN(2)/25))/(LN(2)/25)*Calculateur!V163*Calculateur!X163*VLOOKUP('Données projet'!$B$9,Paramètres!$A$1:$I$89,3,0)*0.475*44/12</f>
        <v>0.62200092338641222</v>
      </c>
      <c r="AB163" s="23">
        <f>EXP(-LN(2)/2)*AB162+(1-EXP(-LN(2)/2))/(LN(2)/2)*V163*Y163*VLOOKUP('Données projet'!$B$9,Paramètres!$A$1:$I$89,3,0)*0.475*44/12</f>
        <v>7.8202972761447707E-15</v>
      </c>
      <c r="AC163" s="24">
        <f t="shared" si="163"/>
        <v>3.4668677983460952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243.99999999999989</v>
      </c>
      <c r="AJ163" s="14">
        <f>AI163*VLOOKUP('Données projet'!$B$10,Paramètres!$A$1:$I$89,3,0)*VLOOKUP('Données projet'!$B$10,Paramètres!$A$1:$I$89,5,0)</f>
        <v>190.31999999999991</v>
      </c>
      <c r="AK163" s="14">
        <f t="shared" si="164"/>
        <v>47.61069337740188</v>
      </c>
      <c r="AL163" s="22">
        <f t="shared" si="165"/>
        <v>414.39595763230813</v>
      </c>
      <c r="AM163" s="62">
        <f t="shared" si="113"/>
        <v>702.15503522499648</v>
      </c>
      <c r="AN163" s="62">
        <f ca="1">AVERAGE(OFFSET($AM$3,0,0,'Données projet'!$E$10+1,1))-AVERAGE(OFFSET($H$3,0,0,'Données projet'!$E$10+1,1))</f>
        <v>252.45744983674379</v>
      </c>
      <c r="AO163" s="62">
        <f t="shared" si="144"/>
        <v>283.28099819802776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3.9159897754480046</v>
      </c>
      <c r="AV163" s="23">
        <f>EXP(-LN(2)/25)*AV162+(1-EXP(-LN(2)/25))/(LN(2)/25)*Calculateur!AQ163*Calculateur!AS163*VLOOKUP('Données projet'!$B$10,Paramètres!$A$1:$I$89,3,0)*0.475*44/12</f>
        <v>0.31998923048565864</v>
      </c>
      <c r="AW163" s="23">
        <f>EXP(-LN(2)/2)*AW162+(1-EXP(-LN(2)/2))/(LN(2)/2)*AQ163*AT163*VLOOKUP('Données projet'!$B$10,Paramètres!$A$1:$I$89,3,0)*0.475*44/12</f>
        <v>3.2795901519797889E-15</v>
      </c>
      <c r="AX163" s="23">
        <f t="shared" si="166"/>
        <v>4.2359790059336664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243.99999999999989</v>
      </c>
      <c r="BE163" s="14">
        <f>BD163*VLOOKUP('Données projet'!$B$11,Paramètres!$A$1:$I$89,3,0)*VLOOKUP('Données projet'!$B$11,Paramètres!$A$1:$I$89,5,0)</f>
        <v>190.31999999999991</v>
      </c>
      <c r="BF163" s="14">
        <f t="shared" si="167"/>
        <v>47.61069337740188</v>
      </c>
      <c r="BG163" s="22">
        <f t="shared" si="168"/>
        <v>414.39595763230813</v>
      </c>
      <c r="BH163" s="62">
        <f t="shared" si="116"/>
        <v>702.15503522499648</v>
      </c>
      <c r="BI163" s="62">
        <f ca="1">AVERAGE(OFFSET($BH$3,0,0,'Données projet'!$E$11+1,1))-AVERAGE(OFFSET($H$3,0,0,'Données projet'!$E$11+1,1))</f>
        <v>252.45744983674379</v>
      </c>
      <c r="BJ163" s="62">
        <f t="shared" si="146"/>
        <v>283.28099819802776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3.9159897754480046</v>
      </c>
      <c r="BQ163" s="23">
        <f>EXP(-LN(2)/25)*BQ162+(1-EXP(-LN(2)/25))/(LN(2)/25)*Calculateur!BL163*Calculateur!BN163*VLOOKUP('Données projet'!$B$11,Paramètres!$A$1:$I$89,3,0)*0.475*44/12</f>
        <v>0.31998923048565864</v>
      </c>
      <c r="BR163" s="23">
        <f>EXP(-LN(2)/2)*BR162+(1-EXP(-LN(2)/2))/(LN(2)/2)*BL163*BO163*VLOOKUP('Données projet'!$B$11,Paramètres!$A$1:$I$89,3,0)*0.475*44/12</f>
        <v>3.2795901519797889E-15</v>
      </c>
      <c r="BS163" s="24">
        <f t="shared" si="169"/>
        <v>4.2359790059336664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243.99999999999989</v>
      </c>
      <c r="BZ163" s="14">
        <f>BY163*VLOOKUP('Données projet'!$B$12,Paramètres!$A$1:$I$89,3,0)*VLOOKUP('Données projet'!$B$12,Paramètres!$A$1:$I$89,5,0)</f>
        <v>190.31999999999991</v>
      </c>
      <c r="CA163" s="14">
        <f t="shared" si="170"/>
        <v>47.61069337740188</v>
      </c>
      <c r="CB163" s="22">
        <f t="shared" si="171"/>
        <v>414.39595763230813</v>
      </c>
      <c r="CC163" s="62">
        <f t="shared" si="119"/>
        <v>702.15503522499648</v>
      </c>
      <c r="CD163" s="62">
        <f ca="1">AVERAGE(OFFSET($CC$3,0,0,'Données projet'!$E$12+1,1))-AVERAGE(OFFSET($H$3,0,0,'Données projet'!$E$12+1,1))</f>
        <v>252.45744983674379</v>
      </c>
      <c r="CE163" s="62">
        <f t="shared" si="148"/>
        <v>283.28099819802776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3.9159897754480046</v>
      </c>
      <c r="CL163" s="23">
        <f>EXP(-LN(2)/25)*CL162+(1-EXP(-LN(2)/25))/(LN(2)/25)*Calculateur!CG163*Calculateur!CI163*VLOOKUP('Données projet'!$B$12,Paramètres!$A$1:$I$89,3,0)*0.475*44/12</f>
        <v>0.31998923048565864</v>
      </c>
      <c r="CM163" s="23">
        <f>EXP(-LN(2)/2)*CM162+(1-EXP(-LN(2)/2))/(LN(2)/2)*CG163*CJ163*VLOOKUP('Données projet'!$B$12,Paramètres!$A$1:$I$89,3,0)*0.475*44/12</f>
        <v>3.2795901519797889E-15</v>
      </c>
      <c r="CN163" s="24">
        <f t="shared" si="172"/>
        <v>4.2359790059336664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215.46880000000002</v>
      </c>
      <c r="O164" s="14">
        <f>N164*VLOOKUP('Données projet'!$B$9,Paramètres!$A$1:$I$89,3,0)*VLOOKUP('Données projet'!$B$9,Paramètres!$A$1:$I$89,5,0)</f>
        <v>100.83939840000001</v>
      </c>
      <c r="P164" s="14">
        <f t="shared" si="141"/>
        <v>27.161875252139833</v>
      </c>
      <c r="Q164" s="22">
        <f t="shared" si="162"/>
        <v>222.93555161081022</v>
      </c>
      <c r="R164" s="62">
        <f t="shared" si="109"/>
        <v>510.79133007842995</v>
      </c>
      <c r="S164" s="62">
        <f ca="1">AVERAGE(OFFSET($R$3,0,0,'Données projet'!$E$9+1,1))-AVERAGE(OFFSET($H$3,0,0,'Données projet'!$E$9+1,1))</f>
        <v>180.76388336802839</v>
      </c>
      <c r="T164" s="62">
        <f t="shared" si="142"/>
        <v>225.35030757566537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2.7890807707391732</v>
      </c>
      <c r="AA164" s="23">
        <f>EXP(-LN(2)/25)*AA163+(1-EXP(-LN(2)/25))/(LN(2)/25)*Calculateur!V164*Calculateur!X164*VLOOKUP('Données projet'!$B$9,Paramètres!$A$1:$I$89,3,0)*0.475*44/12</f>
        <v>0.60499227542680378</v>
      </c>
      <c r="AB164" s="23">
        <f>EXP(-LN(2)/2)*AB163+(1-EXP(-LN(2)/2))/(LN(2)/2)*V164*Y164*VLOOKUP('Données projet'!$B$9,Paramètres!$A$1:$I$89,3,0)*0.475*44/12</f>
        <v>5.5297852348566541E-15</v>
      </c>
      <c r="AC164" s="24">
        <f t="shared" si="163"/>
        <v>3.3940730461659823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243.99999999999989</v>
      </c>
      <c r="AJ164" s="14">
        <f>AI164*VLOOKUP('Données projet'!$B$10,Paramètres!$A$1:$I$89,3,0)*VLOOKUP('Données projet'!$B$10,Paramètres!$A$1:$I$89,5,0)</f>
        <v>190.31999999999991</v>
      </c>
      <c r="AK164" s="14">
        <f t="shared" si="164"/>
        <v>47.61069337740188</v>
      </c>
      <c r="AL164" s="22">
        <f t="shared" si="165"/>
        <v>414.39595763230813</v>
      </c>
      <c r="AM164" s="62">
        <f t="shared" si="113"/>
        <v>702.25173609992783</v>
      </c>
      <c r="AN164" s="62">
        <f ca="1">AVERAGE(OFFSET($AM$3,0,0,'Données projet'!$E$10+1,1))-AVERAGE(OFFSET($H$3,0,0,'Données projet'!$E$10+1,1))</f>
        <v>252.45744983674379</v>
      </c>
      <c r="AO164" s="62">
        <f t="shared" si="144"/>
        <v>283.28099819802776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3.8391996044693859</v>
      </c>
      <c r="AV164" s="23">
        <f>EXP(-LN(2)/25)*AV163+(1-EXP(-LN(2)/25))/(LN(2)/25)*Calculateur!AQ164*Calculateur!AS164*VLOOKUP('Données projet'!$B$10,Paramètres!$A$1:$I$89,3,0)*0.475*44/12</f>
        <v>0.31123910815052602</v>
      </c>
      <c r="AW164" s="23">
        <f>EXP(-LN(2)/2)*AW163+(1-EXP(-LN(2)/2))/(LN(2)/2)*AQ164*AT164*VLOOKUP('Données projet'!$B$10,Paramètres!$A$1:$I$89,3,0)*0.475*44/12</f>
        <v>2.3190204359775287E-15</v>
      </c>
      <c r="AX164" s="23">
        <f t="shared" si="166"/>
        <v>4.1504387126199145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243.99999999999989</v>
      </c>
      <c r="BE164" s="14">
        <f>BD164*VLOOKUP('Données projet'!$B$11,Paramètres!$A$1:$I$89,3,0)*VLOOKUP('Données projet'!$B$11,Paramètres!$A$1:$I$89,5,0)</f>
        <v>190.31999999999991</v>
      </c>
      <c r="BF164" s="14">
        <f t="shared" si="167"/>
        <v>47.61069337740188</v>
      </c>
      <c r="BG164" s="22">
        <f t="shared" si="168"/>
        <v>414.39595763230813</v>
      </c>
      <c r="BH164" s="62">
        <f t="shared" si="116"/>
        <v>702.25173609992783</v>
      </c>
      <c r="BI164" s="62">
        <f ca="1">AVERAGE(OFFSET($BH$3,0,0,'Données projet'!$E$11+1,1))-AVERAGE(OFFSET($H$3,0,0,'Données projet'!$E$11+1,1))</f>
        <v>252.45744983674379</v>
      </c>
      <c r="BJ164" s="62">
        <f t="shared" si="146"/>
        <v>283.28099819802776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3.8391996044693859</v>
      </c>
      <c r="BQ164" s="23">
        <f>EXP(-LN(2)/25)*BQ163+(1-EXP(-LN(2)/25))/(LN(2)/25)*Calculateur!BL164*Calculateur!BN164*VLOOKUP('Données projet'!$B$11,Paramètres!$A$1:$I$89,3,0)*0.475*44/12</f>
        <v>0.31123910815052602</v>
      </c>
      <c r="BR164" s="23">
        <f>EXP(-LN(2)/2)*BR163+(1-EXP(-LN(2)/2))/(LN(2)/2)*BL164*BO164*VLOOKUP('Données projet'!$B$11,Paramètres!$A$1:$I$89,3,0)*0.475*44/12</f>
        <v>2.3190204359775287E-15</v>
      </c>
      <c r="BS164" s="24">
        <f t="shared" si="169"/>
        <v>4.1504387126199145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243.99999999999989</v>
      </c>
      <c r="BZ164" s="14">
        <f>BY164*VLOOKUP('Données projet'!$B$12,Paramètres!$A$1:$I$89,3,0)*VLOOKUP('Données projet'!$B$12,Paramètres!$A$1:$I$89,5,0)</f>
        <v>190.31999999999991</v>
      </c>
      <c r="CA164" s="14">
        <f t="shared" si="170"/>
        <v>47.61069337740188</v>
      </c>
      <c r="CB164" s="22">
        <f t="shared" si="171"/>
        <v>414.39595763230813</v>
      </c>
      <c r="CC164" s="62">
        <f t="shared" si="119"/>
        <v>702.25173609992783</v>
      </c>
      <c r="CD164" s="62">
        <f ca="1">AVERAGE(OFFSET($CC$3,0,0,'Données projet'!$E$12+1,1))-AVERAGE(OFFSET($H$3,0,0,'Données projet'!$E$12+1,1))</f>
        <v>252.45744983674379</v>
      </c>
      <c r="CE164" s="62">
        <f t="shared" si="148"/>
        <v>283.28099819802776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3.8391996044693859</v>
      </c>
      <c r="CL164" s="23">
        <f>EXP(-LN(2)/25)*CL163+(1-EXP(-LN(2)/25))/(LN(2)/25)*Calculateur!CG164*Calculateur!CI164*VLOOKUP('Données projet'!$B$12,Paramètres!$A$1:$I$89,3,0)*0.475*44/12</f>
        <v>0.31123910815052602</v>
      </c>
      <c r="CM164" s="23">
        <f>EXP(-LN(2)/2)*CM163+(1-EXP(-LN(2)/2))/(LN(2)/2)*CG164*CJ164*VLOOKUP('Données projet'!$B$12,Paramètres!$A$1:$I$89,3,0)*0.475*44/12</f>
        <v>2.3190204359775287E-15</v>
      </c>
      <c r="CN164" s="24">
        <f t="shared" si="172"/>
        <v>4.1504387126199145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215.46880000000002</v>
      </c>
      <c r="O165" s="14">
        <f>N165*VLOOKUP('Données projet'!$B$9,Paramètres!$A$1:$I$89,3,0)*VLOOKUP('Données projet'!$B$9,Paramètres!$A$1:$I$89,5,0)</f>
        <v>100.83939840000001</v>
      </c>
      <c r="P165" s="14">
        <f t="shared" si="141"/>
        <v>27.161875252139833</v>
      </c>
      <c r="Q165" s="22">
        <f t="shared" si="162"/>
        <v>222.93555161081022</v>
      </c>
      <c r="R165" s="62">
        <f t="shared" si="109"/>
        <v>510.88635340937196</v>
      </c>
      <c r="S165" s="62">
        <f ca="1">AVERAGE(OFFSET($R$3,0,0,'Données projet'!$E$9+1,1))-AVERAGE(OFFSET($H$3,0,0,'Données projet'!$E$9+1,1))</f>
        <v>180.76388336802839</v>
      </c>
      <c r="T165" s="62">
        <f t="shared" si="142"/>
        <v>225.35030757566537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2.7343885979962712</v>
      </c>
      <c r="AA165" s="23">
        <f>EXP(-LN(2)/25)*AA164+(1-EXP(-LN(2)/25))/(LN(2)/25)*Calculateur!V165*Calculateur!X165*VLOOKUP('Données projet'!$B$9,Paramètres!$A$1:$I$89,3,0)*0.475*44/12</f>
        <v>0.58844872984009677</v>
      </c>
      <c r="AB165" s="23">
        <f>EXP(-LN(2)/2)*AB164+(1-EXP(-LN(2)/2))/(LN(2)/2)*V165*Y165*VLOOKUP('Données projet'!$B$9,Paramètres!$A$1:$I$89,3,0)*0.475*44/12</f>
        <v>3.9101486380723853E-15</v>
      </c>
      <c r="AC165" s="24">
        <f t="shared" si="163"/>
        <v>3.3228373278363721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243.99999999999989</v>
      </c>
      <c r="AJ165" s="14">
        <f>AI165*VLOOKUP('Données projet'!$B$10,Paramètres!$A$1:$I$89,3,0)*VLOOKUP('Données projet'!$B$10,Paramètres!$A$1:$I$89,5,0)</f>
        <v>190.31999999999991</v>
      </c>
      <c r="AK165" s="14">
        <f t="shared" si="164"/>
        <v>47.61069337740188</v>
      </c>
      <c r="AL165" s="22">
        <f t="shared" si="165"/>
        <v>414.39595763230813</v>
      </c>
      <c r="AM165" s="62">
        <f t="shared" si="113"/>
        <v>702.34675943086984</v>
      </c>
      <c r="AN165" s="62">
        <f ca="1">AVERAGE(OFFSET($AM$3,0,0,'Données projet'!$E$10+1,1))-AVERAGE(OFFSET($H$3,0,0,'Données projet'!$E$10+1,1))</f>
        <v>252.45744983674379</v>
      </c>
      <c r="AO165" s="62">
        <f t="shared" si="144"/>
        <v>283.28099819802776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3.763915241906278</v>
      </c>
      <c r="AV165" s="23">
        <f>EXP(-LN(2)/25)*AV164+(1-EXP(-LN(2)/25))/(LN(2)/25)*Calculateur!AQ165*Calculateur!AS165*VLOOKUP('Données projet'!$B$10,Paramètres!$A$1:$I$89,3,0)*0.475*44/12</f>
        <v>0.30272825837079653</v>
      </c>
      <c r="AW165" s="23">
        <f>EXP(-LN(2)/2)*AW164+(1-EXP(-LN(2)/2))/(LN(2)/2)*AQ165*AT165*VLOOKUP('Données projet'!$B$10,Paramètres!$A$1:$I$89,3,0)*0.475*44/12</f>
        <v>1.6397950759898945E-15</v>
      </c>
      <c r="AX165" s="23">
        <f t="shared" si="166"/>
        <v>4.0666435002770767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243.99999999999989</v>
      </c>
      <c r="BE165" s="14">
        <f>BD165*VLOOKUP('Données projet'!$B$11,Paramètres!$A$1:$I$89,3,0)*VLOOKUP('Données projet'!$B$11,Paramètres!$A$1:$I$89,5,0)</f>
        <v>190.31999999999991</v>
      </c>
      <c r="BF165" s="14">
        <f t="shared" si="167"/>
        <v>47.61069337740188</v>
      </c>
      <c r="BG165" s="22">
        <f t="shared" si="168"/>
        <v>414.39595763230813</v>
      </c>
      <c r="BH165" s="62">
        <f t="shared" si="116"/>
        <v>702.34675943086984</v>
      </c>
      <c r="BI165" s="62">
        <f ca="1">AVERAGE(OFFSET($BH$3,0,0,'Données projet'!$E$11+1,1))-AVERAGE(OFFSET($H$3,0,0,'Données projet'!$E$11+1,1))</f>
        <v>252.45744983674379</v>
      </c>
      <c r="BJ165" s="62">
        <f t="shared" si="146"/>
        <v>283.28099819802776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3.763915241906278</v>
      </c>
      <c r="BQ165" s="23">
        <f>EXP(-LN(2)/25)*BQ164+(1-EXP(-LN(2)/25))/(LN(2)/25)*Calculateur!BL165*Calculateur!BN165*VLOOKUP('Données projet'!$B$11,Paramètres!$A$1:$I$89,3,0)*0.475*44/12</f>
        <v>0.30272825837079653</v>
      </c>
      <c r="BR165" s="23">
        <f>EXP(-LN(2)/2)*BR164+(1-EXP(-LN(2)/2))/(LN(2)/2)*BL165*BO165*VLOOKUP('Données projet'!$B$11,Paramètres!$A$1:$I$89,3,0)*0.475*44/12</f>
        <v>1.6397950759898945E-15</v>
      </c>
      <c r="BS165" s="24">
        <f t="shared" si="169"/>
        <v>4.0666435002770767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243.99999999999989</v>
      </c>
      <c r="BZ165" s="14">
        <f>BY165*VLOOKUP('Données projet'!$B$12,Paramètres!$A$1:$I$89,3,0)*VLOOKUP('Données projet'!$B$12,Paramètres!$A$1:$I$89,5,0)</f>
        <v>190.31999999999991</v>
      </c>
      <c r="CA165" s="14">
        <f t="shared" si="170"/>
        <v>47.61069337740188</v>
      </c>
      <c r="CB165" s="22">
        <f t="shared" si="171"/>
        <v>414.39595763230813</v>
      </c>
      <c r="CC165" s="62">
        <f t="shared" si="119"/>
        <v>702.34675943086984</v>
      </c>
      <c r="CD165" s="62">
        <f ca="1">AVERAGE(OFFSET($CC$3,0,0,'Données projet'!$E$12+1,1))-AVERAGE(OFFSET($H$3,0,0,'Données projet'!$E$12+1,1))</f>
        <v>252.45744983674379</v>
      </c>
      <c r="CE165" s="62">
        <f t="shared" si="148"/>
        <v>283.28099819802776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3.763915241906278</v>
      </c>
      <c r="CL165" s="23">
        <f>EXP(-LN(2)/25)*CL164+(1-EXP(-LN(2)/25))/(LN(2)/25)*Calculateur!CG165*Calculateur!CI165*VLOOKUP('Données projet'!$B$12,Paramètres!$A$1:$I$89,3,0)*0.475*44/12</f>
        <v>0.30272825837079653</v>
      </c>
      <c r="CM165" s="23">
        <f>EXP(-LN(2)/2)*CM164+(1-EXP(-LN(2)/2))/(LN(2)/2)*CG165*CJ165*VLOOKUP('Données projet'!$B$12,Paramètres!$A$1:$I$89,3,0)*0.475*44/12</f>
        <v>1.6397950759898945E-15</v>
      </c>
      <c r="CN165" s="24">
        <f t="shared" si="172"/>
        <v>4.0666435002770767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215.46880000000002</v>
      </c>
      <c r="O166" s="14">
        <f>N166*VLOOKUP('Données projet'!$B$9,Paramètres!$A$1:$I$89,3,0)*VLOOKUP('Données projet'!$B$9,Paramètres!$A$1:$I$89,5,0)</f>
        <v>100.83939840000001</v>
      </c>
      <c r="P166" s="14">
        <f t="shared" si="141"/>
        <v>27.161875252139833</v>
      </c>
      <c r="Q166" s="22">
        <f t="shared" si="162"/>
        <v>222.93555161081022</v>
      </c>
      <c r="R166" s="62">
        <f t="shared" si="109"/>
        <v>510.97972829796242</v>
      </c>
      <c r="S166" s="62">
        <f ca="1">AVERAGE(OFFSET($R$3,0,0,'Données projet'!$E$9+1,1))-AVERAGE(OFFSET($H$3,0,0,'Données projet'!$E$9+1,1))</f>
        <v>180.76388336802839</v>
      </c>
      <c r="T166" s="62">
        <f t="shared" si="142"/>
        <v>225.35030757566537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2.6807689054019264</v>
      </c>
      <c r="AA166" s="23">
        <f>EXP(-LN(2)/25)*AA165+(1-EXP(-LN(2)/25))/(LN(2)/25)*Calculateur!V166*Calculateur!X166*VLOOKUP('Données projet'!$B$9,Paramètres!$A$1:$I$89,3,0)*0.475*44/12</f>
        <v>0.57235756837744556</v>
      </c>
      <c r="AB166" s="23">
        <f>EXP(-LN(2)/2)*AB165+(1-EXP(-LN(2)/2))/(LN(2)/2)*V166*Y166*VLOOKUP('Données projet'!$B$9,Paramètres!$A$1:$I$89,3,0)*0.475*44/12</f>
        <v>2.764892617428327E-15</v>
      </c>
      <c r="AC166" s="24">
        <f t="shared" si="163"/>
        <v>3.2531264737793748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243.99999999999989</v>
      </c>
      <c r="AJ166" s="14">
        <f>AI166*VLOOKUP('Données projet'!$B$10,Paramètres!$A$1:$I$89,3,0)*VLOOKUP('Données projet'!$B$10,Paramètres!$A$1:$I$89,5,0)</f>
        <v>190.31999999999991</v>
      </c>
      <c r="AK166" s="14">
        <f t="shared" si="164"/>
        <v>47.61069337740188</v>
      </c>
      <c r="AL166" s="22">
        <f t="shared" si="165"/>
        <v>414.39595763230813</v>
      </c>
      <c r="AM166" s="62">
        <f t="shared" si="113"/>
        <v>702.44013431946041</v>
      </c>
      <c r="AN166" s="62">
        <f ca="1">AVERAGE(OFFSET($AM$3,0,0,'Données projet'!$E$10+1,1))-AVERAGE(OFFSET($H$3,0,0,'Données projet'!$E$10+1,1))</f>
        <v>252.45744983674379</v>
      </c>
      <c r="AO166" s="62">
        <f t="shared" si="144"/>
        <v>283.28099819802776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3.6901071597741057</v>
      </c>
      <c r="AV166" s="23">
        <f>EXP(-LN(2)/25)*AV165+(1-EXP(-LN(2)/25))/(LN(2)/25)*Calculateur!AQ166*Calculateur!AS166*VLOOKUP('Données projet'!$B$10,Paramètres!$A$1:$I$89,3,0)*0.475*44/12</f>
        <v>0.29445013822585991</v>
      </c>
      <c r="AW166" s="23">
        <f>EXP(-LN(2)/2)*AW165+(1-EXP(-LN(2)/2))/(LN(2)/2)*AQ166*AT166*VLOOKUP('Données projet'!$B$10,Paramètres!$A$1:$I$89,3,0)*0.475*44/12</f>
        <v>1.1595102179887644E-15</v>
      </c>
      <c r="AX166" s="23">
        <f t="shared" si="166"/>
        <v>3.9845572979999671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243.99999999999989</v>
      </c>
      <c r="BE166" s="14">
        <f>BD166*VLOOKUP('Données projet'!$B$11,Paramètres!$A$1:$I$89,3,0)*VLOOKUP('Données projet'!$B$11,Paramètres!$A$1:$I$89,5,0)</f>
        <v>190.31999999999991</v>
      </c>
      <c r="BF166" s="14">
        <f t="shared" si="167"/>
        <v>47.61069337740188</v>
      </c>
      <c r="BG166" s="22">
        <f t="shared" si="168"/>
        <v>414.39595763230813</v>
      </c>
      <c r="BH166" s="62">
        <f t="shared" si="116"/>
        <v>702.44013431946041</v>
      </c>
      <c r="BI166" s="62">
        <f ca="1">AVERAGE(OFFSET($BH$3,0,0,'Données projet'!$E$11+1,1))-AVERAGE(OFFSET($H$3,0,0,'Données projet'!$E$11+1,1))</f>
        <v>252.45744983674379</v>
      </c>
      <c r="BJ166" s="62">
        <f t="shared" si="146"/>
        <v>283.28099819802776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3.6901071597741057</v>
      </c>
      <c r="BQ166" s="23">
        <f>EXP(-LN(2)/25)*BQ165+(1-EXP(-LN(2)/25))/(LN(2)/25)*Calculateur!BL166*Calculateur!BN166*VLOOKUP('Données projet'!$B$11,Paramètres!$A$1:$I$89,3,0)*0.475*44/12</f>
        <v>0.29445013822585991</v>
      </c>
      <c r="BR166" s="23">
        <f>EXP(-LN(2)/2)*BR165+(1-EXP(-LN(2)/2))/(LN(2)/2)*BL166*BO166*VLOOKUP('Données projet'!$B$11,Paramètres!$A$1:$I$89,3,0)*0.475*44/12</f>
        <v>1.1595102179887644E-15</v>
      </c>
      <c r="BS166" s="24">
        <f t="shared" si="169"/>
        <v>3.9845572979999671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243.99999999999989</v>
      </c>
      <c r="BZ166" s="14">
        <f>BY166*VLOOKUP('Données projet'!$B$12,Paramètres!$A$1:$I$89,3,0)*VLOOKUP('Données projet'!$B$12,Paramètres!$A$1:$I$89,5,0)</f>
        <v>190.31999999999991</v>
      </c>
      <c r="CA166" s="14">
        <f t="shared" si="170"/>
        <v>47.61069337740188</v>
      </c>
      <c r="CB166" s="22">
        <f t="shared" si="171"/>
        <v>414.39595763230813</v>
      </c>
      <c r="CC166" s="62">
        <f t="shared" si="119"/>
        <v>702.44013431946041</v>
      </c>
      <c r="CD166" s="62">
        <f ca="1">AVERAGE(OFFSET($CC$3,0,0,'Données projet'!$E$12+1,1))-AVERAGE(OFFSET($H$3,0,0,'Données projet'!$E$12+1,1))</f>
        <v>252.45744983674379</v>
      </c>
      <c r="CE166" s="62">
        <f t="shared" si="148"/>
        <v>283.28099819802776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3.6901071597741057</v>
      </c>
      <c r="CL166" s="23">
        <f>EXP(-LN(2)/25)*CL165+(1-EXP(-LN(2)/25))/(LN(2)/25)*Calculateur!CG166*Calculateur!CI166*VLOOKUP('Données projet'!$B$12,Paramètres!$A$1:$I$89,3,0)*0.475*44/12</f>
        <v>0.29445013822585991</v>
      </c>
      <c r="CM166" s="23">
        <f>EXP(-LN(2)/2)*CM165+(1-EXP(-LN(2)/2))/(LN(2)/2)*CG166*CJ166*VLOOKUP('Données projet'!$B$12,Paramètres!$A$1:$I$89,3,0)*0.475*44/12</f>
        <v>1.1595102179887644E-15</v>
      </c>
      <c r="CN166" s="24">
        <f t="shared" si="172"/>
        <v>3.9845572979999671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215.46880000000002</v>
      </c>
      <c r="O167" s="14">
        <f>N167*VLOOKUP('Données projet'!$B$9,Paramètres!$A$1:$I$89,3,0)*VLOOKUP('Données projet'!$B$9,Paramètres!$A$1:$I$89,5,0)</f>
        <v>100.83939840000001</v>
      </c>
      <c r="P167" s="14">
        <f t="shared" si="141"/>
        <v>27.161875252139833</v>
      </c>
      <c r="Q167" s="22">
        <f t="shared" si="162"/>
        <v>222.93555161081022</v>
      </c>
      <c r="R167" s="62">
        <f t="shared" si="109"/>
        <v>511.07148334099088</v>
      </c>
      <c r="S167" s="62">
        <f ca="1">AVERAGE(OFFSET($R$3,0,0,'Données projet'!$E$9+1,1))-AVERAGE(OFFSET($H$3,0,0,'Données projet'!$E$9+1,1))</f>
        <v>180.76388336802839</v>
      </c>
      <c r="T167" s="62">
        <f t="shared" si="142"/>
        <v>225.35030757566537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2.6282006622745735</v>
      </c>
      <c r="AA167" s="23">
        <f>EXP(-LN(2)/25)*AA166+(1-EXP(-LN(2)/25))/(LN(2)/25)*Calculateur!V167*Calculateur!X167*VLOOKUP('Données projet'!$B$9,Paramètres!$A$1:$I$89,3,0)*0.475*44/12</f>
        <v>0.55670642057118791</v>
      </c>
      <c r="AB167" s="23">
        <f>EXP(-LN(2)/2)*AB166+(1-EXP(-LN(2)/2))/(LN(2)/2)*V167*Y167*VLOOKUP('Données projet'!$B$9,Paramètres!$A$1:$I$89,3,0)*0.475*44/12</f>
        <v>1.9550743190361927E-15</v>
      </c>
      <c r="AC167" s="24">
        <f t="shared" si="163"/>
        <v>3.1849070828457631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243.99999999999989</v>
      </c>
      <c r="AJ167" s="14">
        <f>AI167*VLOOKUP('Données projet'!$B$10,Paramètres!$A$1:$I$89,3,0)*VLOOKUP('Données projet'!$B$10,Paramètres!$A$1:$I$89,5,0)</f>
        <v>190.31999999999991</v>
      </c>
      <c r="AK167" s="14">
        <f t="shared" si="164"/>
        <v>47.61069337740188</v>
      </c>
      <c r="AL167" s="22">
        <f t="shared" si="165"/>
        <v>414.39595763230813</v>
      </c>
      <c r="AM167" s="62">
        <f t="shared" si="113"/>
        <v>702.53188936248876</v>
      </c>
      <c r="AN167" s="62">
        <f ca="1">AVERAGE(OFFSET($AM$3,0,0,'Données projet'!$E$10+1,1))-AVERAGE(OFFSET($H$3,0,0,'Données projet'!$E$10+1,1))</f>
        <v>252.45744983674379</v>
      </c>
      <c r="AO167" s="62">
        <f t="shared" si="144"/>
        <v>283.28099819802776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3.6177464091140608</v>
      </c>
      <c r="AV167" s="23">
        <f>EXP(-LN(2)/25)*AV166+(1-EXP(-LN(2)/25))/(LN(2)/25)*Calculateur!AQ167*Calculateur!AS167*VLOOKUP('Données projet'!$B$10,Paramètres!$A$1:$I$89,3,0)*0.475*44/12</f>
        <v>0.28639838371161397</v>
      </c>
      <c r="AW167" s="23">
        <f>EXP(-LN(2)/2)*AW166+(1-EXP(-LN(2)/2))/(LN(2)/2)*AQ167*AT167*VLOOKUP('Données projet'!$B$10,Paramètres!$A$1:$I$89,3,0)*0.475*44/12</f>
        <v>8.1989753799494723E-16</v>
      </c>
      <c r="AX167" s="23">
        <f t="shared" si="166"/>
        <v>3.9041447928256758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243.99999999999989</v>
      </c>
      <c r="BE167" s="14">
        <f>BD167*VLOOKUP('Données projet'!$B$11,Paramètres!$A$1:$I$89,3,0)*VLOOKUP('Données projet'!$B$11,Paramètres!$A$1:$I$89,5,0)</f>
        <v>190.31999999999991</v>
      </c>
      <c r="BF167" s="14">
        <f t="shared" si="167"/>
        <v>47.61069337740188</v>
      </c>
      <c r="BG167" s="22">
        <f t="shared" si="168"/>
        <v>414.39595763230813</v>
      </c>
      <c r="BH167" s="62">
        <f t="shared" si="116"/>
        <v>702.53188936248876</v>
      </c>
      <c r="BI167" s="62">
        <f ca="1">AVERAGE(OFFSET($BH$3,0,0,'Données projet'!$E$11+1,1))-AVERAGE(OFFSET($H$3,0,0,'Données projet'!$E$11+1,1))</f>
        <v>252.45744983674379</v>
      </c>
      <c r="BJ167" s="62">
        <f t="shared" si="146"/>
        <v>283.28099819802776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3.6177464091140608</v>
      </c>
      <c r="BQ167" s="23">
        <f>EXP(-LN(2)/25)*BQ166+(1-EXP(-LN(2)/25))/(LN(2)/25)*Calculateur!BL167*Calculateur!BN167*VLOOKUP('Données projet'!$B$11,Paramètres!$A$1:$I$89,3,0)*0.475*44/12</f>
        <v>0.28639838371161397</v>
      </c>
      <c r="BR167" s="23">
        <f>EXP(-LN(2)/2)*BR166+(1-EXP(-LN(2)/2))/(LN(2)/2)*BL167*BO167*VLOOKUP('Données projet'!$B$11,Paramètres!$A$1:$I$89,3,0)*0.475*44/12</f>
        <v>8.1989753799494723E-16</v>
      </c>
      <c r="BS167" s="24">
        <f t="shared" si="169"/>
        <v>3.9041447928256758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243.99999999999989</v>
      </c>
      <c r="BZ167" s="14">
        <f>BY167*VLOOKUP('Données projet'!$B$12,Paramètres!$A$1:$I$89,3,0)*VLOOKUP('Données projet'!$B$12,Paramètres!$A$1:$I$89,5,0)</f>
        <v>190.31999999999991</v>
      </c>
      <c r="CA167" s="14">
        <f t="shared" si="170"/>
        <v>47.61069337740188</v>
      </c>
      <c r="CB167" s="22">
        <f t="shared" si="171"/>
        <v>414.39595763230813</v>
      </c>
      <c r="CC167" s="62">
        <f t="shared" si="119"/>
        <v>702.53188936248876</v>
      </c>
      <c r="CD167" s="62">
        <f ca="1">AVERAGE(OFFSET($CC$3,0,0,'Données projet'!$E$12+1,1))-AVERAGE(OFFSET($H$3,0,0,'Données projet'!$E$12+1,1))</f>
        <v>252.45744983674379</v>
      </c>
      <c r="CE167" s="62">
        <f t="shared" si="148"/>
        <v>283.28099819802776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3.6177464091140608</v>
      </c>
      <c r="CL167" s="23">
        <f>EXP(-LN(2)/25)*CL166+(1-EXP(-LN(2)/25))/(LN(2)/25)*Calculateur!CG167*Calculateur!CI167*VLOOKUP('Données projet'!$B$12,Paramètres!$A$1:$I$89,3,0)*0.475*44/12</f>
        <v>0.28639838371161397</v>
      </c>
      <c r="CM167" s="23">
        <f>EXP(-LN(2)/2)*CM166+(1-EXP(-LN(2)/2))/(LN(2)/2)*CG167*CJ167*VLOOKUP('Données projet'!$B$12,Paramètres!$A$1:$I$89,3,0)*0.475*44/12</f>
        <v>8.1989753799494723E-16</v>
      </c>
      <c r="CN167" s="24">
        <f t="shared" si="172"/>
        <v>3.9041447928256758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215.46880000000002</v>
      </c>
      <c r="O168" s="14">
        <f>N168*VLOOKUP('Données projet'!$B$9,Paramètres!$A$1:$I$89,3,0)*VLOOKUP('Données projet'!$B$9,Paramètres!$A$1:$I$89,5,0)</f>
        <v>100.83939840000001</v>
      </c>
      <c r="P168" s="14">
        <f t="shared" si="141"/>
        <v>27.161875252139833</v>
      </c>
      <c r="Q168" s="22">
        <f t="shared" si="162"/>
        <v>222.93555161081022</v>
      </c>
      <c r="R168" s="62">
        <f t="shared" si="109"/>
        <v>511.1616466391564</v>
      </c>
      <c r="S168" s="62">
        <f ca="1">AVERAGE(OFFSET($R$3,0,0,'Données projet'!$E$9+1,1))-AVERAGE(OFFSET($H$3,0,0,'Données projet'!$E$9+1,1))</f>
        <v>180.76388336802839</v>
      </c>
      <c r="T168" s="62">
        <f t="shared" si="142"/>
        <v>225.35030757566537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2.5766632503314857</v>
      </c>
      <c r="AA168" s="23">
        <f>EXP(-LN(2)/25)*AA167+(1-EXP(-LN(2)/25))/(LN(2)/25)*Calculateur!V168*Calculateur!X168*VLOOKUP('Données projet'!$B$9,Paramètres!$A$1:$I$89,3,0)*0.475*44/12</f>
        <v>0.54148325422475052</v>
      </c>
      <c r="AB168" s="23">
        <f>EXP(-LN(2)/2)*AB167+(1-EXP(-LN(2)/2))/(LN(2)/2)*V168*Y168*VLOOKUP('Données projet'!$B$9,Paramètres!$A$1:$I$89,3,0)*0.475*44/12</f>
        <v>1.3824463087141635E-15</v>
      </c>
      <c r="AC168" s="24">
        <f t="shared" si="163"/>
        <v>3.1181465045562375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243.99999999999989</v>
      </c>
      <c r="AJ168" s="14">
        <f>AI168*VLOOKUP('Données projet'!$B$10,Paramètres!$A$1:$I$89,3,0)*VLOOKUP('Données projet'!$B$10,Paramètres!$A$1:$I$89,5,0)</f>
        <v>190.31999999999991</v>
      </c>
      <c r="AK168" s="14">
        <f t="shared" si="164"/>
        <v>47.61069337740188</v>
      </c>
      <c r="AL168" s="22">
        <f t="shared" si="165"/>
        <v>414.39595763230813</v>
      </c>
      <c r="AM168" s="62">
        <f t="shared" si="113"/>
        <v>702.62205266065428</v>
      </c>
      <c r="AN168" s="62">
        <f ca="1">AVERAGE(OFFSET($AM$3,0,0,'Données projet'!$E$10+1,1))-AVERAGE(OFFSET($H$3,0,0,'Données projet'!$E$10+1,1))</f>
        <v>252.45744983674379</v>
      </c>
      <c r="AO168" s="62">
        <f t="shared" si="144"/>
        <v>283.28099819802776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3.5468046086387592</v>
      </c>
      <c r="AV168" s="23">
        <f>EXP(-LN(2)/25)*AV167+(1-EXP(-LN(2)/25))/(LN(2)/25)*Calculateur!AQ168*Calculateur!AS168*VLOOKUP('Données projet'!$B$10,Paramètres!$A$1:$I$89,3,0)*0.475*44/12</f>
        <v>0.27856680484798346</v>
      </c>
      <c r="AW168" s="23">
        <f>EXP(-LN(2)/2)*AW167+(1-EXP(-LN(2)/2))/(LN(2)/2)*AQ168*AT168*VLOOKUP('Données projet'!$B$10,Paramètres!$A$1:$I$89,3,0)*0.475*44/12</f>
        <v>5.7975510899438218E-16</v>
      </c>
      <c r="AX168" s="23">
        <f t="shared" si="166"/>
        <v>3.8253714134867431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243.99999999999989</v>
      </c>
      <c r="BE168" s="14">
        <f>BD168*VLOOKUP('Données projet'!$B$11,Paramètres!$A$1:$I$89,3,0)*VLOOKUP('Données projet'!$B$11,Paramètres!$A$1:$I$89,5,0)</f>
        <v>190.31999999999991</v>
      </c>
      <c r="BF168" s="14">
        <f t="shared" si="167"/>
        <v>47.61069337740188</v>
      </c>
      <c r="BG168" s="22">
        <f t="shared" si="168"/>
        <v>414.39595763230813</v>
      </c>
      <c r="BH168" s="62">
        <f t="shared" si="116"/>
        <v>702.62205266065428</v>
      </c>
      <c r="BI168" s="62">
        <f ca="1">AVERAGE(OFFSET($BH$3,0,0,'Données projet'!$E$11+1,1))-AVERAGE(OFFSET($H$3,0,0,'Données projet'!$E$11+1,1))</f>
        <v>252.45744983674379</v>
      </c>
      <c r="BJ168" s="62">
        <f t="shared" si="146"/>
        <v>283.28099819802776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3.5468046086387592</v>
      </c>
      <c r="BQ168" s="23">
        <f>EXP(-LN(2)/25)*BQ167+(1-EXP(-LN(2)/25))/(LN(2)/25)*Calculateur!BL168*Calculateur!BN168*VLOOKUP('Données projet'!$B$11,Paramètres!$A$1:$I$89,3,0)*0.475*44/12</f>
        <v>0.27856680484798346</v>
      </c>
      <c r="BR168" s="23">
        <f>EXP(-LN(2)/2)*BR167+(1-EXP(-LN(2)/2))/(LN(2)/2)*BL168*BO168*VLOOKUP('Données projet'!$B$11,Paramètres!$A$1:$I$89,3,0)*0.475*44/12</f>
        <v>5.7975510899438218E-16</v>
      </c>
      <c r="BS168" s="24">
        <f t="shared" si="169"/>
        <v>3.8253714134867431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243.99999999999989</v>
      </c>
      <c r="BZ168" s="14">
        <f>BY168*VLOOKUP('Données projet'!$B$12,Paramètres!$A$1:$I$89,3,0)*VLOOKUP('Données projet'!$B$12,Paramètres!$A$1:$I$89,5,0)</f>
        <v>190.31999999999991</v>
      </c>
      <c r="CA168" s="14">
        <f t="shared" si="170"/>
        <v>47.61069337740188</v>
      </c>
      <c r="CB168" s="22">
        <f t="shared" si="171"/>
        <v>414.39595763230813</v>
      </c>
      <c r="CC168" s="62">
        <f t="shared" si="119"/>
        <v>702.62205266065428</v>
      </c>
      <c r="CD168" s="62">
        <f ca="1">AVERAGE(OFFSET($CC$3,0,0,'Données projet'!$E$12+1,1))-AVERAGE(OFFSET($H$3,0,0,'Données projet'!$E$12+1,1))</f>
        <v>252.45744983674379</v>
      </c>
      <c r="CE168" s="62">
        <f t="shared" si="148"/>
        <v>283.28099819802776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3.5468046086387592</v>
      </c>
      <c r="CL168" s="23">
        <f>EXP(-LN(2)/25)*CL167+(1-EXP(-LN(2)/25))/(LN(2)/25)*Calculateur!CG168*Calculateur!CI168*VLOOKUP('Données projet'!$B$12,Paramètres!$A$1:$I$89,3,0)*0.475*44/12</f>
        <v>0.27856680484798346</v>
      </c>
      <c r="CM168" s="23">
        <f>EXP(-LN(2)/2)*CM167+(1-EXP(-LN(2)/2))/(LN(2)/2)*CG168*CJ168*VLOOKUP('Données projet'!$B$12,Paramètres!$A$1:$I$89,3,0)*0.475*44/12</f>
        <v>5.7975510899438218E-16</v>
      </c>
      <c r="CN168" s="24">
        <f t="shared" si="172"/>
        <v>3.8253714134867431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215.46880000000002</v>
      </c>
      <c r="O169" s="14">
        <f>N169*VLOOKUP('Données projet'!$B$9,Paramètres!$A$1:$I$89,3,0)*VLOOKUP('Données projet'!$B$9,Paramètres!$A$1:$I$89,5,0)</f>
        <v>100.83939840000001</v>
      </c>
      <c r="P169" s="14">
        <f t="shared" si="141"/>
        <v>27.161875252139833</v>
      </c>
      <c r="Q169" s="22">
        <f t="shared" si="162"/>
        <v>222.93555161081022</v>
      </c>
      <c r="R169" s="62">
        <f t="shared" si="109"/>
        <v>511.25024580567367</v>
      </c>
      <c r="S169" s="62">
        <f ca="1">AVERAGE(OFFSET($R$3,0,0,'Données projet'!$E$9+1,1))-AVERAGE(OFFSET($H$3,0,0,'Données projet'!$E$9+1,1))</f>
        <v>180.76388336802839</v>
      </c>
      <c r="T169" s="62">
        <f t="shared" si="142"/>
        <v>225.35030757566537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2.5261364556018844</v>
      </c>
      <c r="AA169" s="23">
        <f>EXP(-LN(2)/25)*AA168+(1-EXP(-LN(2)/25))/(LN(2)/25)*Calculateur!V169*Calculateur!X169*VLOOKUP('Données projet'!$B$9,Paramètres!$A$1:$I$89,3,0)*0.475*44/12</f>
        <v>0.52667636616260793</v>
      </c>
      <c r="AB169" s="23">
        <f>EXP(-LN(2)/2)*AB168+(1-EXP(-LN(2)/2))/(LN(2)/2)*V169*Y169*VLOOKUP('Données projet'!$B$9,Paramètres!$A$1:$I$89,3,0)*0.475*44/12</f>
        <v>9.7753715951809633E-16</v>
      </c>
      <c r="AC169" s="24">
        <f t="shared" si="163"/>
        <v>3.0528128217644932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243.99999999999989</v>
      </c>
      <c r="AJ169" s="14">
        <f>AI169*VLOOKUP('Données projet'!$B$10,Paramètres!$A$1:$I$89,3,0)*VLOOKUP('Données projet'!$B$10,Paramètres!$A$1:$I$89,5,0)</f>
        <v>190.31999999999991</v>
      </c>
      <c r="AK169" s="14">
        <f t="shared" si="164"/>
        <v>47.61069337740188</v>
      </c>
      <c r="AL169" s="22">
        <f t="shared" si="165"/>
        <v>414.39595763230813</v>
      </c>
      <c r="AM169" s="62">
        <f t="shared" si="113"/>
        <v>702.71065182717155</v>
      </c>
      <c r="AN169" s="62">
        <f ca="1">AVERAGE(OFFSET($AM$3,0,0,'Données projet'!$E$10+1,1))-AVERAGE(OFFSET($H$3,0,0,'Données projet'!$E$10+1,1))</f>
        <v>252.45744983674379</v>
      </c>
      <c r="AO169" s="62">
        <f t="shared" si="144"/>
        <v>283.28099819802776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3.4772539336005526</v>
      </c>
      <c r="AV169" s="23">
        <f>EXP(-LN(2)/25)*AV168+(1-EXP(-LN(2)/25))/(LN(2)/25)*Calculateur!AQ169*Calculateur!AS169*VLOOKUP('Données projet'!$B$10,Paramètres!$A$1:$I$89,3,0)*0.475*44/12</f>
        <v>0.27094938092022375</v>
      </c>
      <c r="AW169" s="23">
        <f>EXP(-LN(2)/2)*AW168+(1-EXP(-LN(2)/2))/(LN(2)/2)*AQ169*AT169*VLOOKUP('Données projet'!$B$10,Paramètres!$A$1:$I$89,3,0)*0.475*44/12</f>
        <v>4.0994876899747361E-16</v>
      </c>
      <c r="AX169" s="23">
        <f t="shared" si="166"/>
        <v>3.7482033145207767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243.99999999999989</v>
      </c>
      <c r="BE169" s="14">
        <f>BD169*VLOOKUP('Données projet'!$B$11,Paramètres!$A$1:$I$89,3,0)*VLOOKUP('Données projet'!$B$11,Paramètres!$A$1:$I$89,5,0)</f>
        <v>190.31999999999991</v>
      </c>
      <c r="BF169" s="14">
        <f t="shared" si="167"/>
        <v>47.61069337740188</v>
      </c>
      <c r="BG169" s="22">
        <f t="shared" si="168"/>
        <v>414.39595763230813</v>
      </c>
      <c r="BH169" s="62">
        <f t="shared" si="116"/>
        <v>702.71065182717155</v>
      </c>
      <c r="BI169" s="62">
        <f ca="1">AVERAGE(OFFSET($BH$3,0,0,'Données projet'!$E$11+1,1))-AVERAGE(OFFSET($H$3,0,0,'Données projet'!$E$11+1,1))</f>
        <v>252.45744983674379</v>
      </c>
      <c r="BJ169" s="62">
        <f t="shared" si="146"/>
        <v>283.28099819802776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3.4772539336005526</v>
      </c>
      <c r="BQ169" s="23">
        <f>EXP(-LN(2)/25)*BQ168+(1-EXP(-LN(2)/25))/(LN(2)/25)*Calculateur!BL169*Calculateur!BN169*VLOOKUP('Données projet'!$B$11,Paramètres!$A$1:$I$89,3,0)*0.475*44/12</f>
        <v>0.27094938092022375</v>
      </c>
      <c r="BR169" s="23">
        <f>EXP(-LN(2)/2)*BR168+(1-EXP(-LN(2)/2))/(LN(2)/2)*BL169*BO169*VLOOKUP('Données projet'!$B$11,Paramètres!$A$1:$I$89,3,0)*0.475*44/12</f>
        <v>4.0994876899747361E-16</v>
      </c>
      <c r="BS169" s="24">
        <f t="shared" si="169"/>
        <v>3.7482033145207767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243.99999999999989</v>
      </c>
      <c r="BZ169" s="14">
        <f>BY169*VLOOKUP('Données projet'!$B$12,Paramètres!$A$1:$I$89,3,0)*VLOOKUP('Données projet'!$B$12,Paramètres!$A$1:$I$89,5,0)</f>
        <v>190.31999999999991</v>
      </c>
      <c r="CA169" s="14">
        <f t="shared" si="170"/>
        <v>47.61069337740188</v>
      </c>
      <c r="CB169" s="22">
        <f t="shared" si="171"/>
        <v>414.39595763230813</v>
      </c>
      <c r="CC169" s="62">
        <f t="shared" si="119"/>
        <v>702.71065182717155</v>
      </c>
      <c r="CD169" s="62">
        <f ca="1">AVERAGE(OFFSET($CC$3,0,0,'Données projet'!$E$12+1,1))-AVERAGE(OFFSET($H$3,0,0,'Données projet'!$E$12+1,1))</f>
        <v>252.45744983674379</v>
      </c>
      <c r="CE169" s="62">
        <f t="shared" si="148"/>
        <v>283.28099819802776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3.4772539336005526</v>
      </c>
      <c r="CL169" s="23">
        <f>EXP(-LN(2)/25)*CL168+(1-EXP(-LN(2)/25))/(LN(2)/25)*Calculateur!CG169*Calculateur!CI169*VLOOKUP('Données projet'!$B$12,Paramètres!$A$1:$I$89,3,0)*0.475*44/12</f>
        <v>0.27094938092022375</v>
      </c>
      <c r="CM169" s="23">
        <f>EXP(-LN(2)/2)*CM168+(1-EXP(-LN(2)/2))/(LN(2)/2)*CG169*CJ169*VLOOKUP('Données projet'!$B$12,Paramètres!$A$1:$I$89,3,0)*0.475*44/12</f>
        <v>4.0994876899747361E-16</v>
      </c>
      <c r="CN169" s="24">
        <f t="shared" si="172"/>
        <v>3.7482033145207767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215.46880000000002</v>
      </c>
      <c r="O170" s="14">
        <f>N170*VLOOKUP('Données projet'!$B$9,Paramètres!$A$1:$I$89,3,0)*VLOOKUP('Données projet'!$B$9,Paramètres!$A$1:$I$89,5,0)</f>
        <v>100.83939840000001</v>
      </c>
      <c r="P170" s="14">
        <f t="shared" si="141"/>
        <v>27.161875252139833</v>
      </c>
      <c r="Q170" s="22">
        <f t="shared" si="162"/>
        <v>222.93555161081022</v>
      </c>
      <c r="R170" s="62">
        <f t="shared" si="109"/>
        <v>511.33730797472981</v>
      </c>
      <c r="S170" s="62">
        <f ca="1">AVERAGE(OFFSET($R$3,0,0,'Données projet'!$E$9+1,1))-AVERAGE(OFFSET($H$3,0,0,'Données projet'!$E$9+1,1))</f>
        <v>180.76388336802839</v>
      </c>
      <c r="T170" s="62">
        <f t="shared" si="142"/>
        <v>225.35030757566537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2.4766004604986289</v>
      </c>
      <c r="AA170" s="23">
        <f>EXP(-LN(2)/25)*AA169+(1-EXP(-LN(2)/25))/(LN(2)/25)*Calculateur!V170*Calculateur!X170*VLOOKUP('Données projet'!$B$9,Paramètres!$A$1:$I$89,3,0)*0.475*44/12</f>
        <v>0.51227437323318503</v>
      </c>
      <c r="AB170" s="23">
        <f>EXP(-LN(2)/2)*AB169+(1-EXP(-LN(2)/2))/(LN(2)/2)*V170*Y170*VLOOKUP('Données projet'!$B$9,Paramètres!$A$1:$I$89,3,0)*0.475*44/12</f>
        <v>6.9122315435708176E-16</v>
      </c>
      <c r="AC170" s="24">
        <f t="shared" si="163"/>
        <v>2.9888748337318147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243.99999999999989</v>
      </c>
      <c r="AJ170" s="14">
        <f>AI170*VLOOKUP('Données projet'!$B$10,Paramètres!$A$1:$I$89,3,0)*VLOOKUP('Données projet'!$B$10,Paramètres!$A$1:$I$89,5,0)</f>
        <v>190.31999999999991</v>
      </c>
      <c r="AK170" s="14">
        <f t="shared" si="164"/>
        <v>47.61069337740188</v>
      </c>
      <c r="AL170" s="22">
        <f t="shared" si="165"/>
        <v>414.39595763230813</v>
      </c>
      <c r="AM170" s="62">
        <f t="shared" si="113"/>
        <v>702.79771399622769</v>
      </c>
      <c r="AN170" s="62">
        <f ca="1">AVERAGE(OFFSET($AM$3,0,0,'Données projet'!$E$10+1,1))-AVERAGE(OFFSET($H$3,0,0,'Données projet'!$E$10+1,1))</f>
        <v>252.45744983674379</v>
      </c>
      <c r="AO170" s="62">
        <f t="shared" si="144"/>
        <v>283.28099819802776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3.409067104878122</v>
      </c>
      <c r="AV170" s="23">
        <f>EXP(-LN(2)/25)*AV169+(1-EXP(-LN(2)/25))/(LN(2)/25)*Calculateur!AQ170*Calculateur!AS170*VLOOKUP('Données projet'!$B$10,Paramètres!$A$1:$I$89,3,0)*0.475*44/12</f>
        <v>0.26354025585035157</v>
      </c>
      <c r="AW170" s="23">
        <f>EXP(-LN(2)/2)*AW169+(1-EXP(-LN(2)/2))/(LN(2)/2)*AQ170*AT170*VLOOKUP('Données projet'!$B$10,Paramètres!$A$1:$I$89,3,0)*0.475*44/12</f>
        <v>2.8987755449719109E-16</v>
      </c>
      <c r="AX170" s="23">
        <f t="shared" si="166"/>
        <v>3.6726073607284739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243.99999999999989</v>
      </c>
      <c r="BE170" s="14">
        <f>BD170*VLOOKUP('Données projet'!$B$11,Paramètres!$A$1:$I$89,3,0)*VLOOKUP('Données projet'!$B$11,Paramètres!$A$1:$I$89,5,0)</f>
        <v>190.31999999999991</v>
      </c>
      <c r="BF170" s="14">
        <f t="shared" si="167"/>
        <v>47.61069337740188</v>
      </c>
      <c r="BG170" s="22">
        <f t="shared" si="168"/>
        <v>414.39595763230813</v>
      </c>
      <c r="BH170" s="62">
        <f t="shared" si="116"/>
        <v>702.79771399622769</v>
      </c>
      <c r="BI170" s="62">
        <f ca="1">AVERAGE(OFFSET($BH$3,0,0,'Données projet'!$E$11+1,1))-AVERAGE(OFFSET($H$3,0,0,'Données projet'!$E$11+1,1))</f>
        <v>252.45744983674379</v>
      </c>
      <c r="BJ170" s="62">
        <f t="shared" si="146"/>
        <v>283.28099819802776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3.409067104878122</v>
      </c>
      <c r="BQ170" s="23">
        <f>EXP(-LN(2)/25)*BQ169+(1-EXP(-LN(2)/25))/(LN(2)/25)*Calculateur!BL170*Calculateur!BN170*VLOOKUP('Données projet'!$B$11,Paramètres!$A$1:$I$89,3,0)*0.475*44/12</f>
        <v>0.26354025585035157</v>
      </c>
      <c r="BR170" s="23">
        <f>EXP(-LN(2)/2)*BR169+(1-EXP(-LN(2)/2))/(LN(2)/2)*BL170*BO170*VLOOKUP('Données projet'!$B$11,Paramètres!$A$1:$I$89,3,0)*0.475*44/12</f>
        <v>2.8987755449719109E-16</v>
      </c>
      <c r="BS170" s="24">
        <f t="shared" si="169"/>
        <v>3.6726073607284739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243.99999999999989</v>
      </c>
      <c r="BZ170" s="14">
        <f>BY170*VLOOKUP('Données projet'!$B$12,Paramètres!$A$1:$I$89,3,0)*VLOOKUP('Données projet'!$B$12,Paramètres!$A$1:$I$89,5,0)</f>
        <v>190.31999999999991</v>
      </c>
      <c r="CA170" s="14">
        <f t="shared" si="170"/>
        <v>47.61069337740188</v>
      </c>
      <c r="CB170" s="22">
        <f t="shared" si="171"/>
        <v>414.39595763230813</v>
      </c>
      <c r="CC170" s="62">
        <f t="shared" si="119"/>
        <v>702.79771399622769</v>
      </c>
      <c r="CD170" s="62">
        <f ca="1">AVERAGE(OFFSET($CC$3,0,0,'Données projet'!$E$12+1,1))-AVERAGE(OFFSET($H$3,0,0,'Données projet'!$E$12+1,1))</f>
        <v>252.45744983674379</v>
      </c>
      <c r="CE170" s="62">
        <f t="shared" si="148"/>
        <v>283.28099819802776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3.409067104878122</v>
      </c>
      <c r="CL170" s="23">
        <f>EXP(-LN(2)/25)*CL169+(1-EXP(-LN(2)/25))/(LN(2)/25)*Calculateur!CG170*Calculateur!CI170*VLOOKUP('Données projet'!$B$12,Paramètres!$A$1:$I$89,3,0)*0.475*44/12</f>
        <v>0.26354025585035157</v>
      </c>
      <c r="CM170" s="23">
        <f>EXP(-LN(2)/2)*CM169+(1-EXP(-LN(2)/2))/(LN(2)/2)*CG170*CJ170*VLOOKUP('Données projet'!$B$12,Paramètres!$A$1:$I$89,3,0)*0.475*44/12</f>
        <v>2.8987755449719109E-16</v>
      </c>
      <c r="CN170" s="24">
        <f t="shared" si="172"/>
        <v>3.6726073607284739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215.46880000000002</v>
      </c>
      <c r="O171" s="14">
        <f>N171*VLOOKUP('Données projet'!$B$9,Paramètres!$A$1:$I$89,3,0)*VLOOKUP('Données projet'!$B$9,Paramètres!$A$1:$I$89,5,0)</f>
        <v>100.83939840000001</v>
      </c>
      <c r="P171" s="14">
        <f t="shared" si="141"/>
        <v>27.161875252139833</v>
      </c>
      <c r="Q171" s="22">
        <f t="shared" si="162"/>
        <v>222.93555161081022</v>
      </c>
      <c r="R171" s="62">
        <f t="shared" si="109"/>
        <v>511.42285980979477</v>
      </c>
      <c r="S171" s="62">
        <f ca="1">AVERAGE(OFFSET($R$3,0,0,'Données projet'!$E$9+1,1))-AVERAGE(OFFSET($H$3,0,0,'Données projet'!$E$9+1,1))</f>
        <v>180.76388336802839</v>
      </c>
      <c r="T171" s="62">
        <f t="shared" si="142"/>
        <v>225.35030757566537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2.4280358360453747</v>
      </c>
      <c r="AA171" s="23">
        <f>EXP(-LN(2)/25)*AA170+(1-EXP(-LN(2)/25))/(LN(2)/25)*Calculateur!V171*Calculateur!X171*VLOOKUP('Données projet'!$B$9,Paramètres!$A$1:$I$89,3,0)*0.475*44/12</f>
        <v>0.49826620355778511</v>
      </c>
      <c r="AB171" s="23">
        <f>EXP(-LN(2)/2)*AB170+(1-EXP(-LN(2)/2))/(LN(2)/2)*V171*Y171*VLOOKUP('Données projet'!$B$9,Paramètres!$A$1:$I$89,3,0)*0.475*44/12</f>
        <v>4.8876857975904817E-16</v>
      </c>
      <c r="AC171" s="24">
        <f t="shared" si="163"/>
        <v>2.92630203960316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243.99999999999989</v>
      </c>
      <c r="AJ171" s="14">
        <f>AI171*VLOOKUP('Données projet'!$B$10,Paramètres!$A$1:$I$89,3,0)*VLOOKUP('Données projet'!$B$10,Paramètres!$A$1:$I$89,5,0)</f>
        <v>190.31999999999991</v>
      </c>
      <c r="AK171" s="14">
        <f t="shared" si="164"/>
        <v>47.61069337740188</v>
      </c>
      <c r="AL171" s="22">
        <f t="shared" si="165"/>
        <v>414.39595763230813</v>
      </c>
      <c r="AM171" s="62">
        <f t="shared" si="113"/>
        <v>702.88326583129265</v>
      </c>
      <c r="AN171" s="62">
        <f ca="1">AVERAGE(OFFSET($AM$3,0,0,'Données projet'!$E$10+1,1))-AVERAGE(OFFSET($H$3,0,0,'Données projet'!$E$10+1,1))</f>
        <v>252.45744983674379</v>
      </c>
      <c r="AO171" s="62">
        <f t="shared" si="144"/>
        <v>283.28099819802776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3.3422173782770797</v>
      </c>
      <c r="AV171" s="23">
        <f>EXP(-LN(2)/25)*AV170+(1-EXP(-LN(2)/25))/(LN(2)/25)*Calculateur!AQ171*Calculateur!AS171*VLOOKUP('Données projet'!$B$10,Paramètres!$A$1:$I$89,3,0)*0.475*44/12</f>
        <v>0.25633373369514401</v>
      </c>
      <c r="AW171" s="23">
        <f>EXP(-LN(2)/2)*AW170+(1-EXP(-LN(2)/2))/(LN(2)/2)*AQ171*AT171*VLOOKUP('Données projet'!$B$10,Paramètres!$A$1:$I$89,3,0)*0.475*44/12</f>
        <v>2.0497438449873681E-16</v>
      </c>
      <c r="AX171" s="23">
        <f t="shared" si="166"/>
        <v>3.5985511119722235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243.99999999999989</v>
      </c>
      <c r="BE171" s="14">
        <f>BD171*VLOOKUP('Données projet'!$B$11,Paramètres!$A$1:$I$89,3,0)*VLOOKUP('Données projet'!$B$11,Paramètres!$A$1:$I$89,5,0)</f>
        <v>190.31999999999991</v>
      </c>
      <c r="BF171" s="14">
        <f t="shared" si="167"/>
        <v>47.61069337740188</v>
      </c>
      <c r="BG171" s="22">
        <f t="shared" si="168"/>
        <v>414.39595763230813</v>
      </c>
      <c r="BH171" s="62">
        <f t="shared" si="116"/>
        <v>702.88326583129265</v>
      </c>
      <c r="BI171" s="62">
        <f ca="1">AVERAGE(OFFSET($BH$3,0,0,'Données projet'!$E$11+1,1))-AVERAGE(OFFSET($H$3,0,0,'Données projet'!$E$11+1,1))</f>
        <v>252.45744983674379</v>
      </c>
      <c r="BJ171" s="62">
        <f t="shared" si="146"/>
        <v>283.28099819802776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3.3422173782770797</v>
      </c>
      <c r="BQ171" s="23">
        <f>EXP(-LN(2)/25)*BQ170+(1-EXP(-LN(2)/25))/(LN(2)/25)*Calculateur!BL171*Calculateur!BN171*VLOOKUP('Données projet'!$B$11,Paramètres!$A$1:$I$89,3,0)*0.475*44/12</f>
        <v>0.25633373369514401</v>
      </c>
      <c r="BR171" s="23">
        <f>EXP(-LN(2)/2)*BR170+(1-EXP(-LN(2)/2))/(LN(2)/2)*BL171*BO171*VLOOKUP('Données projet'!$B$11,Paramètres!$A$1:$I$89,3,0)*0.475*44/12</f>
        <v>2.0497438449873681E-16</v>
      </c>
      <c r="BS171" s="24">
        <f t="shared" si="169"/>
        <v>3.5985511119722235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243.99999999999989</v>
      </c>
      <c r="BZ171" s="14">
        <f>BY171*VLOOKUP('Données projet'!$B$12,Paramètres!$A$1:$I$89,3,0)*VLOOKUP('Données projet'!$B$12,Paramètres!$A$1:$I$89,5,0)</f>
        <v>190.31999999999991</v>
      </c>
      <c r="CA171" s="14">
        <f t="shared" si="170"/>
        <v>47.61069337740188</v>
      </c>
      <c r="CB171" s="22">
        <f t="shared" si="171"/>
        <v>414.39595763230813</v>
      </c>
      <c r="CC171" s="62">
        <f t="shared" si="119"/>
        <v>702.88326583129265</v>
      </c>
      <c r="CD171" s="62">
        <f ca="1">AVERAGE(OFFSET($CC$3,0,0,'Données projet'!$E$12+1,1))-AVERAGE(OFFSET($H$3,0,0,'Données projet'!$E$12+1,1))</f>
        <v>252.45744983674379</v>
      </c>
      <c r="CE171" s="62">
        <f t="shared" si="148"/>
        <v>283.28099819802776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3.3422173782770797</v>
      </c>
      <c r="CL171" s="23">
        <f>EXP(-LN(2)/25)*CL170+(1-EXP(-LN(2)/25))/(LN(2)/25)*Calculateur!CG171*Calculateur!CI171*VLOOKUP('Données projet'!$B$12,Paramètres!$A$1:$I$89,3,0)*0.475*44/12</f>
        <v>0.25633373369514401</v>
      </c>
      <c r="CM171" s="23">
        <f>EXP(-LN(2)/2)*CM170+(1-EXP(-LN(2)/2))/(LN(2)/2)*CG171*CJ171*VLOOKUP('Données projet'!$B$12,Paramètres!$A$1:$I$89,3,0)*0.475*44/12</f>
        <v>2.0497438449873681E-16</v>
      </c>
      <c r="CN171" s="24">
        <f t="shared" si="172"/>
        <v>3.5985511119722235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215.46880000000002</v>
      </c>
      <c r="O172" s="14">
        <f>N172*VLOOKUP('Données projet'!$B$9,Paramètres!$A$1:$I$89,3,0)*VLOOKUP('Données projet'!$B$9,Paramètres!$A$1:$I$89,5,0)</f>
        <v>100.83939840000001</v>
      </c>
      <c r="P172" s="14">
        <f t="shared" si="141"/>
        <v>27.161875252139833</v>
      </c>
      <c r="Q172" s="22">
        <f t="shared" si="162"/>
        <v>222.93555161081022</v>
      </c>
      <c r="R172" s="62">
        <f t="shared" si="109"/>
        <v>511.50692751178667</v>
      </c>
      <c r="S172" s="62">
        <f ca="1">AVERAGE(OFFSET($R$3,0,0,'Données projet'!$E$9+1,1))-AVERAGE(OFFSET($H$3,0,0,'Données projet'!$E$9+1,1))</f>
        <v>180.76388336802839</v>
      </c>
      <c r="T172" s="62">
        <f t="shared" si="142"/>
        <v>225.35030757566537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2.3804235342561526</v>
      </c>
      <c r="AA172" s="23">
        <f>EXP(-LN(2)/25)*AA171+(1-EXP(-LN(2)/25))/(LN(2)/25)*Calculateur!V172*Calculateur!X172*VLOOKUP('Données projet'!$B$9,Paramètres!$A$1:$I$89,3,0)*0.475*44/12</f>
        <v>0.48464108801881661</v>
      </c>
      <c r="AB172" s="23">
        <f>EXP(-LN(2)/2)*AB171+(1-EXP(-LN(2)/2))/(LN(2)/2)*V172*Y172*VLOOKUP('Données projet'!$B$9,Paramètres!$A$1:$I$89,3,0)*0.475*44/12</f>
        <v>3.4561157717854088E-16</v>
      </c>
      <c r="AC172" s="24">
        <f t="shared" si="163"/>
        <v>2.8650646222749696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243.99999999999989</v>
      </c>
      <c r="AJ172" s="14">
        <f>AI172*VLOOKUP('Données projet'!$B$10,Paramètres!$A$1:$I$89,3,0)*VLOOKUP('Données projet'!$B$10,Paramètres!$A$1:$I$89,5,0)</f>
        <v>190.31999999999991</v>
      </c>
      <c r="AK172" s="14">
        <f t="shared" si="164"/>
        <v>47.61069337740188</v>
      </c>
      <c r="AL172" s="22">
        <f t="shared" si="165"/>
        <v>414.39595763230813</v>
      </c>
      <c r="AM172" s="62">
        <f t="shared" si="113"/>
        <v>702.96733353328455</v>
      </c>
      <c r="AN172" s="62">
        <f ca="1">AVERAGE(OFFSET($AM$3,0,0,'Données projet'!$E$10+1,1))-AVERAGE(OFFSET($H$3,0,0,'Données projet'!$E$10+1,1))</f>
        <v>252.45744983674379</v>
      </c>
      <c r="AO172" s="62">
        <f t="shared" si="144"/>
        <v>283.28099819802776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3.2766785340403768</v>
      </c>
      <c r="AV172" s="23">
        <f>EXP(-LN(2)/25)*AV171+(1-EXP(-LN(2)/25))/(LN(2)/25)*Calculateur!AQ172*Calculateur!AS172*VLOOKUP('Données projet'!$B$10,Paramètres!$A$1:$I$89,3,0)*0.475*44/12</f>
        <v>0.2493242742672451</v>
      </c>
      <c r="AW172" s="23">
        <f>EXP(-LN(2)/2)*AW171+(1-EXP(-LN(2)/2))/(LN(2)/2)*AQ172*AT172*VLOOKUP('Données projet'!$B$10,Paramètres!$A$1:$I$89,3,0)*0.475*44/12</f>
        <v>1.4493877724859554E-16</v>
      </c>
      <c r="AX172" s="23">
        <f t="shared" si="166"/>
        <v>3.5260028083076218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243.99999999999989</v>
      </c>
      <c r="BE172" s="14">
        <f>BD172*VLOOKUP('Données projet'!$B$11,Paramètres!$A$1:$I$89,3,0)*VLOOKUP('Données projet'!$B$11,Paramètres!$A$1:$I$89,5,0)</f>
        <v>190.31999999999991</v>
      </c>
      <c r="BF172" s="14">
        <f t="shared" si="167"/>
        <v>47.61069337740188</v>
      </c>
      <c r="BG172" s="22">
        <f t="shared" si="168"/>
        <v>414.39595763230813</v>
      </c>
      <c r="BH172" s="62">
        <f t="shared" si="116"/>
        <v>702.96733353328455</v>
      </c>
      <c r="BI172" s="62">
        <f ca="1">AVERAGE(OFFSET($BH$3,0,0,'Données projet'!$E$11+1,1))-AVERAGE(OFFSET($H$3,0,0,'Données projet'!$E$11+1,1))</f>
        <v>252.45744983674379</v>
      </c>
      <c r="BJ172" s="62">
        <f t="shared" si="146"/>
        <v>283.28099819802776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3.2766785340403768</v>
      </c>
      <c r="BQ172" s="23">
        <f>EXP(-LN(2)/25)*BQ171+(1-EXP(-LN(2)/25))/(LN(2)/25)*Calculateur!BL172*Calculateur!BN172*VLOOKUP('Données projet'!$B$11,Paramètres!$A$1:$I$89,3,0)*0.475*44/12</f>
        <v>0.2493242742672451</v>
      </c>
      <c r="BR172" s="23">
        <f>EXP(-LN(2)/2)*BR171+(1-EXP(-LN(2)/2))/(LN(2)/2)*BL172*BO172*VLOOKUP('Données projet'!$B$11,Paramètres!$A$1:$I$89,3,0)*0.475*44/12</f>
        <v>1.4493877724859554E-16</v>
      </c>
      <c r="BS172" s="24">
        <f t="shared" si="169"/>
        <v>3.5260028083076218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243.99999999999989</v>
      </c>
      <c r="BZ172" s="14">
        <f>BY172*VLOOKUP('Données projet'!$B$12,Paramètres!$A$1:$I$89,3,0)*VLOOKUP('Données projet'!$B$12,Paramètres!$A$1:$I$89,5,0)</f>
        <v>190.31999999999991</v>
      </c>
      <c r="CA172" s="14">
        <f t="shared" si="170"/>
        <v>47.61069337740188</v>
      </c>
      <c r="CB172" s="22">
        <f t="shared" si="171"/>
        <v>414.39595763230813</v>
      </c>
      <c r="CC172" s="62">
        <f t="shared" si="119"/>
        <v>702.96733353328455</v>
      </c>
      <c r="CD172" s="62">
        <f ca="1">AVERAGE(OFFSET($CC$3,0,0,'Données projet'!$E$12+1,1))-AVERAGE(OFFSET($H$3,0,0,'Données projet'!$E$12+1,1))</f>
        <v>252.45744983674379</v>
      </c>
      <c r="CE172" s="62">
        <f t="shared" si="148"/>
        <v>283.28099819802776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3.2766785340403768</v>
      </c>
      <c r="CL172" s="23">
        <f>EXP(-LN(2)/25)*CL171+(1-EXP(-LN(2)/25))/(LN(2)/25)*Calculateur!CG172*Calculateur!CI172*VLOOKUP('Données projet'!$B$12,Paramètres!$A$1:$I$89,3,0)*0.475*44/12</f>
        <v>0.2493242742672451</v>
      </c>
      <c r="CM172" s="23">
        <f>EXP(-LN(2)/2)*CM171+(1-EXP(-LN(2)/2))/(LN(2)/2)*CG172*CJ172*VLOOKUP('Données projet'!$B$12,Paramètres!$A$1:$I$89,3,0)*0.475*44/12</f>
        <v>1.4493877724859554E-16</v>
      </c>
      <c r="CN172" s="24">
        <f t="shared" si="172"/>
        <v>3.5260028083076218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215.46880000000002</v>
      </c>
      <c r="O173" s="14">
        <f>N173*VLOOKUP('Données projet'!$B$9,Paramètres!$A$1:$I$89,3,0)*VLOOKUP('Données projet'!$B$9,Paramètres!$A$1:$I$89,5,0)</f>
        <v>100.83939840000001</v>
      </c>
      <c r="P173" s="14">
        <f t="shared" si="141"/>
        <v>27.161875252139833</v>
      </c>
      <c r="Q173" s="22">
        <f t="shared" si="162"/>
        <v>222.93555161081022</v>
      </c>
      <c r="R173" s="62">
        <f t="shared" si="109"/>
        <v>511.58953682709614</v>
      </c>
      <c r="S173" s="62">
        <f ca="1">AVERAGE(OFFSET($R$3,0,0,'Données projet'!$E$9+1,1))-AVERAGE(OFFSET($H$3,0,0,'Données projet'!$E$9+1,1))</f>
        <v>180.76388336802839</v>
      </c>
      <c r="T173" s="62">
        <f t="shared" si="142"/>
        <v>225.35030757566537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2.3337448806643808</v>
      </c>
      <c r="AA173" s="23">
        <f>EXP(-LN(2)/25)*AA172+(1-EXP(-LN(2)/25))/(LN(2)/25)*Calculateur!V173*Calculateur!X173*VLOOKUP('Données projet'!$B$9,Paramètres!$A$1:$I$89,3,0)*0.475*44/12</f>
        <v>0.47138855198077489</v>
      </c>
      <c r="AB173" s="23">
        <f>EXP(-LN(2)/2)*AB172+(1-EXP(-LN(2)/2))/(LN(2)/2)*V173*Y173*VLOOKUP('Données projet'!$B$9,Paramètres!$A$1:$I$89,3,0)*0.475*44/12</f>
        <v>2.4438428987952408E-16</v>
      </c>
      <c r="AC173" s="24">
        <f t="shared" si="163"/>
        <v>2.8051334326451562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243.99999999999989</v>
      </c>
      <c r="AJ173" s="14">
        <f>AI173*VLOOKUP('Données projet'!$B$10,Paramètres!$A$1:$I$89,3,0)*VLOOKUP('Données projet'!$B$10,Paramètres!$A$1:$I$89,5,0)</f>
        <v>190.31999999999991</v>
      </c>
      <c r="AK173" s="14">
        <f t="shared" si="164"/>
        <v>47.61069337740188</v>
      </c>
      <c r="AL173" s="22">
        <f t="shared" si="165"/>
        <v>414.39595763230813</v>
      </c>
      <c r="AM173" s="62">
        <f t="shared" si="113"/>
        <v>703.04994284859401</v>
      </c>
      <c r="AN173" s="62">
        <f ca="1">AVERAGE(OFFSET($AM$3,0,0,'Données projet'!$E$10+1,1))-AVERAGE(OFFSET($H$3,0,0,'Données projet'!$E$10+1,1))</f>
        <v>252.45744983674379</v>
      </c>
      <c r="AO173" s="62">
        <f t="shared" si="144"/>
        <v>283.28099819802776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3.2124248665644077</v>
      </c>
      <c r="AV173" s="23">
        <f>EXP(-LN(2)/25)*AV172+(1-EXP(-LN(2)/25))/(LN(2)/25)*Calculateur!AQ173*Calculateur!AS173*VLOOKUP('Données projet'!$B$10,Paramètres!$A$1:$I$89,3,0)*0.475*44/12</f>
        <v>0.24250648887601353</v>
      </c>
      <c r="AW173" s="23">
        <f>EXP(-LN(2)/2)*AW172+(1-EXP(-LN(2)/2))/(LN(2)/2)*AQ173*AT173*VLOOKUP('Données projet'!$B$10,Paramètres!$A$1:$I$89,3,0)*0.475*44/12</f>
        <v>1.024871922493684E-16</v>
      </c>
      <c r="AX173" s="23">
        <f t="shared" si="166"/>
        <v>3.4549313554404213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243.99999999999989</v>
      </c>
      <c r="BE173" s="14">
        <f>BD173*VLOOKUP('Données projet'!$B$11,Paramètres!$A$1:$I$89,3,0)*VLOOKUP('Données projet'!$B$11,Paramètres!$A$1:$I$89,5,0)</f>
        <v>190.31999999999991</v>
      </c>
      <c r="BF173" s="14">
        <f t="shared" si="167"/>
        <v>47.61069337740188</v>
      </c>
      <c r="BG173" s="22">
        <f t="shared" si="168"/>
        <v>414.39595763230813</v>
      </c>
      <c r="BH173" s="62">
        <f t="shared" si="116"/>
        <v>703.04994284859401</v>
      </c>
      <c r="BI173" s="62">
        <f ca="1">AVERAGE(OFFSET($BH$3,0,0,'Données projet'!$E$11+1,1))-AVERAGE(OFFSET($H$3,0,0,'Données projet'!$E$11+1,1))</f>
        <v>252.45744983674379</v>
      </c>
      <c r="BJ173" s="62">
        <f t="shared" si="146"/>
        <v>283.28099819802776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3.2124248665644077</v>
      </c>
      <c r="BQ173" s="23">
        <f>EXP(-LN(2)/25)*BQ172+(1-EXP(-LN(2)/25))/(LN(2)/25)*Calculateur!BL173*Calculateur!BN173*VLOOKUP('Données projet'!$B$11,Paramètres!$A$1:$I$89,3,0)*0.475*44/12</f>
        <v>0.24250648887601353</v>
      </c>
      <c r="BR173" s="23">
        <f>EXP(-LN(2)/2)*BR172+(1-EXP(-LN(2)/2))/(LN(2)/2)*BL173*BO173*VLOOKUP('Données projet'!$B$11,Paramètres!$A$1:$I$89,3,0)*0.475*44/12</f>
        <v>1.024871922493684E-16</v>
      </c>
      <c r="BS173" s="24">
        <f t="shared" si="169"/>
        <v>3.4549313554404213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243.99999999999989</v>
      </c>
      <c r="BZ173" s="14">
        <f>BY173*VLOOKUP('Données projet'!$B$12,Paramètres!$A$1:$I$89,3,0)*VLOOKUP('Données projet'!$B$12,Paramètres!$A$1:$I$89,5,0)</f>
        <v>190.31999999999991</v>
      </c>
      <c r="CA173" s="14">
        <f t="shared" si="170"/>
        <v>47.61069337740188</v>
      </c>
      <c r="CB173" s="22">
        <f t="shared" si="171"/>
        <v>414.39595763230813</v>
      </c>
      <c r="CC173" s="62">
        <f t="shared" si="119"/>
        <v>703.04994284859401</v>
      </c>
      <c r="CD173" s="62">
        <f ca="1">AVERAGE(OFFSET($CC$3,0,0,'Données projet'!$E$12+1,1))-AVERAGE(OFFSET($H$3,0,0,'Données projet'!$E$12+1,1))</f>
        <v>252.45744983674379</v>
      </c>
      <c r="CE173" s="62">
        <f t="shared" si="148"/>
        <v>283.28099819802776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3.2124248665644077</v>
      </c>
      <c r="CL173" s="23">
        <f>EXP(-LN(2)/25)*CL172+(1-EXP(-LN(2)/25))/(LN(2)/25)*Calculateur!CG173*Calculateur!CI173*VLOOKUP('Données projet'!$B$12,Paramètres!$A$1:$I$89,3,0)*0.475*44/12</f>
        <v>0.24250648887601353</v>
      </c>
      <c r="CM173" s="23">
        <f>EXP(-LN(2)/2)*CM172+(1-EXP(-LN(2)/2))/(LN(2)/2)*CG173*CJ173*VLOOKUP('Données projet'!$B$12,Paramètres!$A$1:$I$89,3,0)*0.475*44/12</f>
        <v>1.024871922493684E-16</v>
      </c>
      <c r="CN173" s="24">
        <f t="shared" si="172"/>
        <v>3.4549313554404213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215.46880000000002</v>
      </c>
      <c r="O174" s="14">
        <f>N174*VLOOKUP('Données projet'!$B$9,Paramètres!$A$1:$I$89,3,0)*VLOOKUP('Données projet'!$B$9,Paramètres!$A$1:$I$89,5,0)</f>
        <v>100.83939840000001</v>
      </c>
      <c r="P174" s="14">
        <f t="shared" si="141"/>
        <v>27.161875252139833</v>
      </c>
      <c r="Q174" s="22">
        <f t="shared" si="162"/>
        <v>222.93555161081022</v>
      </c>
      <c r="R174" s="62">
        <f t="shared" si="109"/>
        <v>511.67071305547177</v>
      </c>
      <c r="S174" s="62">
        <f ca="1">AVERAGE(OFFSET($R$3,0,0,'Données projet'!$E$9+1,1))-AVERAGE(OFFSET($H$3,0,0,'Données projet'!$E$9+1,1))</f>
        <v>180.76388336802839</v>
      </c>
      <c r="T174" s="62">
        <f t="shared" si="142"/>
        <v>225.35030757566537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2.2879815669983761</v>
      </c>
      <c r="AA174" s="23">
        <f>EXP(-LN(2)/25)*AA173+(1-EXP(-LN(2)/25))/(LN(2)/25)*Calculateur!V174*Calculateur!X174*VLOOKUP('Données projet'!$B$9,Paramètres!$A$1:$I$89,3,0)*0.475*44/12</f>
        <v>0.45849840723761404</v>
      </c>
      <c r="AB174" s="23">
        <f>EXP(-LN(2)/2)*AB173+(1-EXP(-LN(2)/2))/(LN(2)/2)*V174*Y174*VLOOKUP('Données projet'!$B$9,Paramètres!$A$1:$I$89,3,0)*0.475*44/12</f>
        <v>1.7280578858927044E-16</v>
      </c>
      <c r="AC174" s="24">
        <f t="shared" si="163"/>
        <v>2.74647997423599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243.99999999999989</v>
      </c>
      <c r="AJ174" s="14">
        <f>AI174*VLOOKUP('Données projet'!$B$10,Paramètres!$A$1:$I$89,3,0)*VLOOKUP('Données projet'!$B$10,Paramètres!$A$1:$I$89,5,0)</f>
        <v>190.31999999999991</v>
      </c>
      <c r="AK174" s="14">
        <f t="shared" si="164"/>
        <v>47.61069337740188</v>
      </c>
      <c r="AL174" s="22">
        <f t="shared" si="165"/>
        <v>414.39595763230813</v>
      </c>
      <c r="AM174" s="62">
        <f t="shared" si="113"/>
        <v>703.13111907696964</v>
      </c>
      <c r="AN174" s="62">
        <f ca="1">AVERAGE(OFFSET($AM$3,0,0,'Données projet'!$E$10+1,1))-AVERAGE(OFFSET($H$3,0,0,'Données projet'!$E$10+1,1))</f>
        <v>252.45744983674379</v>
      </c>
      <c r="AO174" s="62">
        <f t="shared" si="144"/>
        <v>283.28099819802776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3.1494311743167751</v>
      </c>
      <c r="AV174" s="23">
        <f>EXP(-LN(2)/25)*AV173+(1-EXP(-LN(2)/25))/(LN(2)/25)*Calculateur!AQ174*Calculateur!AS174*VLOOKUP('Données projet'!$B$10,Paramètres!$A$1:$I$89,3,0)*0.475*44/12</f>
        <v>0.23587513618483694</v>
      </c>
      <c r="AW174" s="23">
        <f>EXP(-LN(2)/2)*AW173+(1-EXP(-LN(2)/2))/(LN(2)/2)*AQ174*AT174*VLOOKUP('Données projet'!$B$10,Paramètres!$A$1:$I$89,3,0)*0.475*44/12</f>
        <v>7.2469388624297772E-17</v>
      </c>
      <c r="AX174" s="23">
        <f t="shared" si="166"/>
        <v>3.3853063105016119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243.99999999999989</v>
      </c>
      <c r="BE174" s="14">
        <f>BD174*VLOOKUP('Données projet'!$B$11,Paramètres!$A$1:$I$89,3,0)*VLOOKUP('Données projet'!$B$11,Paramètres!$A$1:$I$89,5,0)</f>
        <v>190.31999999999991</v>
      </c>
      <c r="BF174" s="14">
        <f t="shared" si="167"/>
        <v>47.61069337740188</v>
      </c>
      <c r="BG174" s="22">
        <f t="shared" si="168"/>
        <v>414.39595763230813</v>
      </c>
      <c r="BH174" s="62">
        <f t="shared" si="116"/>
        <v>703.13111907696964</v>
      </c>
      <c r="BI174" s="62">
        <f ca="1">AVERAGE(OFFSET($BH$3,0,0,'Données projet'!$E$11+1,1))-AVERAGE(OFFSET($H$3,0,0,'Données projet'!$E$11+1,1))</f>
        <v>252.45744983674379</v>
      </c>
      <c r="BJ174" s="62">
        <f t="shared" si="146"/>
        <v>283.28099819802776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3.1494311743167751</v>
      </c>
      <c r="BQ174" s="23">
        <f>EXP(-LN(2)/25)*BQ173+(1-EXP(-LN(2)/25))/(LN(2)/25)*Calculateur!BL174*Calculateur!BN174*VLOOKUP('Données projet'!$B$11,Paramètres!$A$1:$I$89,3,0)*0.475*44/12</f>
        <v>0.23587513618483694</v>
      </c>
      <c r="BR174" s="23">
        <f>EXP(-LN(2)/2)*BR173+(1-EXP(-LN(2)/2))/(LN(2)/2)*BL174*BO174*VLOOKUP('Données projet'!$B$11,Paramètres!$A$1:$I$89,3,0)*0.475*44/12</f>
        <v>7.2469388624297772E-17</v>
      </c>
      <c r="BS174" s="24">
        <f t="shared" si="169"/>
        <v>3.3853063105016119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243.99999999999989</v>
      </c>
      <c r="BZ174" s="14">
        <f>BY174*VLOOKUP('Données projet'!$B$12,Paramètres!$A$1:$I$89,3,0)*VLOOKUP('Données projet'!$B$12,Paramètres!$A$1:$I$89,5,0)</f>
        <v>190.31999999999991</v>
      </c>
      <c r="CA174" s="14">
        <f t="shared" si="170"/>
        <v>47.61069337740188</v>
      </c>
      <c r="CB174" s="22">
        <f t="shared" si="171"/>
        <v>414.39595763230813</v>
      </c>
      <c r="CC174" s="62">
        <f t="shared" si="119"/>
        <v>703.13111907696964</v>
      </c>
      <c r="CD174" s="62">
        <f ca="1">AVERAGE(OFFSET($CC$3,0,0,'Données projet'!$E$12+1,1))-AVERAGE(OFFSET($H$3,0,0,'Données projet'!$E$12+1,1))</f>
        <v>252.45744983674379</v>
      </c>
      <c r="CE174" s="62">
        <f t="shared" si="148"/>
        <v>283.28099819802776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3.1494311743167751</v>
      </c>
      <c r="CL174" s="23">
        <f>EXP(-LN(2)/25)*CL173+(1-EXP(-LN(2)/25))/(LN(2)/25)*Calculateur!CG174*Calculateur!CI174*VLOOKUP('Données projet'!$B$12,Paramètres!$A$1:$I$89,3,0)*0.475*44/12</f>
        <v>0.23587513618483694</v>
      </c>
      <c r="CM174" s="23">
        <f>EXP(-LN(2)/2)*CM173+(1-EXP(-LN(2)/2))/(LN(2)/2)*CG174*CJ174*VLOOKUP('Données projet'!$B$12,Paramètres!$A$1:$I$89,3,0)*0.475*44/12</f>
        <v>7.2469388624297772E-17</v>
      </c>
      <c r="CN174" s="24">
        <f t="shared" si="172"/>
        <v>3.3853063105016119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215.46880000000002</v>
      </c>
      <c r="O175" s="14">
        <f>N175*VLOOKUP('Données projet'!$B$9,Paramètres!$A$1:$I$89,3,0)*VLOOKUP('Données projet'!$B$9,Paramètres!$A$1:$I$89,5,0)</f>
        <v>100.83939840000001</v>
      </c>
      <c r="P175" s="14">
        <f t="shared" si="141"/>
        <v>27.161875252139833</v>
      </c>
      <c r="Q175" s="22">
        <f t="shared" si="162"/>
        <v>222.93555161081022</v>
      </c>
      <c r="R175" s="62">
        <f t="shared" si="109"/>
        <v>511.75048105776784</v>
      </c>
      <c r="S175" s="62">
        <f ca="1">AVERAGE(OFFSET($R$3,0,0,'Données projet'!$E$9+1,1))-AVERAGE(OFFSET($H$3,0,0,'Données projet'!$E$9+1,1))</f>
        <v>180.76388336802839</v>
      </c>
      <c r="T175" s="62">
        <f t="shared" si="142"/>
        <v>225.35030757566537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2.2431156440004965</v>
      </c>
      <c r="AA175" s="23">
        <f>EXP(-LN(2)/25)*AA174+(1-EXP(-LN(2)/25))/(LN(2)/25)*Calculateur!V175*Calculateur!X175*VLOOKUP('Données projet'!$B$9,Paramètres!$A$1:$I$89,3,0)*0.475*44/12</f>
        <v>0.44596074418031817</v>
      </c>
      <c r="AB175" s="23">
        <f>EXP(-LN(2)/2)*AB174+(1-EXP(-LN(2)/2))/(LN(2)/2)*V175*Y175*VLOOKUP('Données projet'!$B$9,Paramètres!$A$1:$I$89,3,0)*0.475*44/12</f>
        <v>1.2219214493976204E-16</v>
      </c>
      <c r="AC175" s="24">
        <f t="shared" si="163"/>
        <v>2.6890763881808146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243.99999999999989</v>
      </c>
      <c r="AJ175" s="14">
        <f>AI175*VLOOKUP('Données projet'!$B$10,Paramètres!$A$1:$I$89,3,0)*VLOOKUP('Données projet'!$B$10,Paramètres!$A$1:$I$89,5,0)</f>
        <v>190.31999999999991</v>
      </c>
      <c r="AK175" s="14">
        <f t="shared" si="164"/>
        <v>47.61069337740188</v>
      </c>
      <c r="AL175" s="22">
        <f t="shared" si="165"/>
        <v>414.39595763230813</v>
      </c>
      <c r="AM175" s="62">
        <f t="shared" si="113"/>
        <v>703.21088707926583</v>
      </c>
      <c r="AN175" s="62">
        <f ca="1">AVERAGE(OFFSET($AM$3,0,0,'Données projet'!$E$10+1,1))-AVERAGE(OFFSET($H$3,0,0,'Données projet'!$E$10+1,1))</f>
        <v>252.45744983674379</v>
      </c>
      <c r="AO175" s="62">
        <f t="shared" si="144"/>
        <v>283.28099819802776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3.0876727499517602</v>
      </c>
      <c r="AV175" s="23">
        <f>EXP(-LN(2)/25)*AV174+(1-EXP(-LN(2)/25))/(LN(2)/25)*Calculateur!AQ175*Calculateur!AS175*VLOOKUP('Données projet'!$B$10,Paramètres!$A$1:$I$89,3,0)*0.475*44/12</f>
        <v>0.22942511818172825</v>
      </c>
      <c r="AW175" s="23">
        <f>EXP(-LN(2)/2)*AW174+(1-EXP(-LN(2)/2))/(LN(2)/2)*AQ175*AT175*VLOOKUP('Données projet'!$B$10,Paramètres!$A$1:$I$89,3,0)*0.475*44/12</f>
        <v>5.1243596124684202E-17</v>
      </c>
      <c r="AX175" s="23">
        <f t="shared" si="166"/>
        <v>3.3170978681334886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243.99999999999989</v>
      </c>
      <c r="BE175" s="14">
        <f>BD175*VLOOKUP('Données projet'!$B$11,Paramètres!$A$1:$I$89,3,0)*VLOOKUP('Données projet'!$B$11,Paramètres!$A$1:$I$89,5,0)</f>
        <v>190.31999999999991</v>
      </c>
      <c r="BF175" s="14">
        <f t="shared" si="167"/>
        <v>47.61069337740188</v>
      </c>
      <c r="BG175" s="22">
        <f t="shared" si="168"/>
        <v>414.39595763230813</v>
      </c>
      <c r="BH175" s="62">
        <f t="shared" si="116"/>
        <v>703.21088707926583</v>
      </c>
      <c r="BI175" s="62">
        <f ca="1">AVERAGE(OFFSET($BH$3,0,0,'Données projet'!$E$11+1,1))-AVERAGE(OFFSET($H$3,0,0,'Données projet'!$E$11+1,1))</f>
        <v>252.45744983674379</v>
      </c>
      <c r="BJ175" s="62">
        <f t="shared" si="146"/>
        <v>283.28099819802776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3.0876727499517602</v>
      </c>
      <c r="BQ175" s="23">
        <f>EXP(-LN(2)/25)*BQ174+(1-EXP(-LN(2)/25))/(LN(2)/25)*Calculateur!BL175*Calculateur!BN175*VLOOKUP('Données projet'!$B$11,Paramètres!$A$1:$I$89,3,0)*0.475*44/12</f>
        <v>0.22942511818172825</v>
      </c>
      <c r="BR175" s="23">
        <f>EXP(-LN(2)/2)*BR174+(1-EXP(-LN(2)/2))/(LN(2)/2)*BL175*BO175*VLOOKUP('Données projet'!$B$11,Paramètres!$A$1:$I$89,3,0)*0.475*44/12</f>
        <v>5.1243596124684202E-17</v>
      </c>
      <c r="BS175" s="24">
        <f t="shared" si="169"/>
        <v>3.3170978681334886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243.99999999999989</v>
      </c>
      <c r="BZ175" s="14">
        <f>BY175*VLOOKUP('Données projet'!$B$12,Paramètres!$A$1:$I$89,3,0)*VLOOKUP('Données projet'!$B$12,Paramètres!$A$1:$I$89,5,0)</f>
        <v>190.31999999999991</v>
      </c>
      <c r="CA175" s="14">
        <f t="shared" si="170"/>
        <v>47.61069337740188</v>
      </c>
      <c r="CB175" s="22">
        <f t="shared" si="171"/>
        <v>414.39595763230813</v>
      </c>
      <c r="CC175" s="62">
        <f t="shared" si="119"/>
        <v>703.21088707926583</v>
      </c>
      <c r="CD175" s="62">
        <f ca="1">AVERAGE(OFFSET($CC$3,0,0,'Données projet'!$E$12+1,1))-AVERAGE(OFFSET($H$3,0,0,'Données projet'!$E$12+1,1))</f>
        <v>252.45744983674379</v>
      </c>
      <c r="CE175" s="62">
        <f t="shared" si="148"/>
        <v>283.28099819802776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3.0876727499517602</v>
      </c>
      <c r="CL175" s="23">
        <f>EXP(-LN(2)/25)*CL174+(1-EXP(-LN(2)/25))/(LN(2)/25)*Calculateur!CG175*Calculateur!CI175*VLOOKUP('Données projet'!$B$12,Paramètres!$A$1:$I$89,3,0)*0.475*44/12</f>
        <v>0.22942511818172825</v>
      </c>
      <c r="CM175" s="23">
        <f>EXP(-LN(2)/2)*CM174+(1-EXP(-LN(2)/2))/(LN(2)/2)*CG175*CJ175*VLOOKUP('Données projet'!$B$12,Paramètres!$A$1:$I$89,3,0)*0.475*44/12</f>
        <v>5.1243596124684202E-17</v>
      </c>
      <c r="CN175" s="24">
        <f t="shared" si="172"/>
        <v>3.3170978681334886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215.46880000000002</v>
      </c>
      <c r="O176" s="14">
        <f>N176*VLOOKUP('Données projet'!$B$9,Paramètres!$A$1:$I$89,3,0)*VLOOKUP('Données projet'!$B$9,Paramètres!$A$1:$I$89,5,0)</f>
        <v>100.83939840000001</v>
      </c>
      <c r="P176" s="14">
        <f t="shared" si="141"/>
        <v>27.161875252139833</v>
      </c>
      <c r="Q176" s="22">
        <f t="shared" si="162"/>
        <v>222.93555161081022</v>
      </c>
      <c r="R176" s="62">
        <f t="shared" si="109"/>
        <v>511.82886526355867</v>
      </c>
      <c r="S176" s="62">
        <f ca="1">AVERAGE(OFFSET($R$3,0,0,'Données projet'!$E$9+1,1))-AVERAGE(OFFSET($H$3,0,0,'Données projet'!$E$9+1,1))</f>
        <v>180.76388336802839</v>
      </c>
      <c r="T176" s="62">
        <f t="shared" si="142"/>
        <v>225.35030757566537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2.1991295143870944</v>
      </c>
      <c r="AA176" s="23">
        <f>EXP(-LN(2)/25)*AA175+(1-EXP(-LN(2)/25))/(LN(2)/25)*Calculateur!V176*Calculateur!X176*VLOOKUP('Données projet'!$B$9,Paramètres!$A$1:$I$89,3,0)*0.475*44/12</f>
        <v>0.43376592417865106</v>
      </c>
      <c r="AB176" s="23">
        <f>EXP(-LN(2)/2)*AB175+(1-EXP(-LN(2)/2))/(LN(2)/2)*V176*Y176*VLOOKUP('Données projet'!$B$9,Paramètres!$A$1:$I$89,3,0)*0.475*44/12</f>
        <v>8.640289429463522E-17</v>
      </c>
      <c r="AC176" s="24">
        <f t="shared" si="163"/>
        <v>2.6328954385657455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243.99999999999989</v>
      </c>
      <c r="AJ176" s="14">
        <f>AI176*VLOOKUP('Données projet'!$B$10,Paramètres!$A$1:$I$89,3,0)*VLOOKUP('Données projet'!$B$10,Paramètres!$A$1:$I$89,5,0)</f>
        <v>190.31999999999991</v>
      </c>
      <c r="AK176" s="14">
        <f t="shared" si="164"/>
        <v>47.61069337740188</v>
      </c>
      <c r="AL176" s="22">
        <f t="shared" si="165"/>
        <v>414.39595763230813</v>
      </c>
      <c r="AM176" s="62">
        <f t="shared" si="113"/>
        <v>703.28927128505666</v>
      </c>
      <c r="AN176" s="62">
        <f ca="1">AVERAGE(OFFSET($AM$3,0,0,'Données projet'!$E$10+1,1))-AVERAGE(OFFSET($H$3,0,0,'Données projet'!$E$10+1,1))</f>
        <v>252.45744983674379</v>
      </c>
      <c r="AO176" s="62">
        <f t="shared" si="144"/>
        <v>283.28099819802776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3.0271253706196237</v>
      </c>
      <c r="AV176" s="23">
        <f>EXP(-LN(2)/25)*AV175+(1-EXP(-LN(2)/25))/(LN(2)/25)*Calculateur!AQ176*Calculateur!AS176*VLOOKUP('Données projet'!$B$10,Paramètres!$A$1:$I$89,3,0)*0.475*44/12</f>
        <v>0.22315147626010629</v>
      </c>
      <c r="AW176" s="23">
        <f>EXP(-LN(2)/2)*AW175+(1-EXP(-LN(2)/2))/(LN(2)/2)*AQ176*AT176*VLOOKUP('Données projet'!$B$10,Paramètres!$A$1:$I$89,3,0)*0.475*44/12</f>
        <v>3.6234694312148886E-17</v>
      </c>
      <c r="AX176" s="23">
        <f t="shared" si="166"/>
        <v>3.2502768468797298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243.99999999999989</v>
      </c>
      <c r="BE176" s="14">
        <f>BD176*VLOOKUP('Données projet'!$B$11,Paramètres!$A$1:$I$89,3,0)*VLOOKUP('Données projet'!$B$11,Paramètres!$A$1:$I$89,5,0)</f>
        <v>190.31999999999991</v>
      </c>
      <c r="BF176" s="14">
        <f t="shared" si="167"/>
        <v>47.61069337740188</v>
      </c>
      <c r="BG176" s="22">
        <f t="shared" si="168"/>
        <v>414.39595763230813</v>
      </c>
      <c r="BH176" s="62">
        <f t="shared" si="116"/>
        <v>703.28927128505666</v>
      </c>
      <c r="BI176" s="62">
        <f ca="1">AVERAGE(OFFSET($BH$3,0,0,'Données projet'!$E$11+1,1))-AVERAGE(OFFSET($H$3,0,0,'Données projet'!$E$11+1,1))</f>
        <v>252.45744983674379</v>
      </c>
      <c r="BJ176" s="62">
        <f t="shared" si="146"/>
        <v>283.28099819802776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3.0271253706196237</v>
      </c>
      <c r="BQ176" s="23">
        <f>EXP(-LN(2)/25)*BQ175+(1-EXP(-LN(2)/25))/(LN(2)/25)*Calculateur!BL176*Calculateur!BN176*VLOOKUP('Données projet'!$B$11,Paramètres!$A$1:$I$89,3,0)*0.475*44/12</f>
        <v>0.22315147626010629</v>
      </c>
      <c r="BR176" s="23">
        <f>EXP(-LN(2)/2)*BR175+(1-EXP(-LN(2)/2))/(LN(2)/2)*BL176*BO176*VLOOKUP('Données projet'!$B$11,Paramètres!$A$1:$I$89,3,0)*0.475*44/12</f>
        <v>3.6234694312148886E-17</v>
      </c>
      <c r="BS176" s="24">
        <f t="shared" si="169"/>
        <v>3.2502768468797298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243.99999999999989</v>
      </c>
      <c r="BZ176" s="14">
        <f>BY176*VLOOKUP('Données projet'!$B$12,Paramètres!$A$1:$I$89,3,0)*VLOOKUP('Données projet'!$B$12,Paramètres!$A$1:$I$89,5,0)</f>
        <v>190.31999999999991</v>
      </c>
      <c r="CA176" s="14">
        <f t="shared" si="170"/>
        <v>47.61069337740188</v>
      </c>
      <c r="CB176" s="22">
        <f t="shared" si="171"/>
        <v>414.39595763230813</v>
      </c>
      <c r="CC176" s="62">
        <f t="shared" si="119"/>
        <v>703.28927128505666</v>
      </c>
      <c r="CD176" s="62">
        <f ca="1">AVERAGE(OFFSET($CC$3,0,0,'Données projet'!$E$12+1,1))-AVERAGE(OFFSET($H$3,0,0,'Données projet'!$E$12+1,1))</f>
        <v>252.45744983674379</v>
      </c>
      <c r="CE176" s="62">
        <f t="shared" si="148"/>
        <v>283.28099819802776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3.0271253706196237</v>
      </c>
      <c r="CL176" s="23">
        <f>EXP(-LN(2)/25)*CL175+(1-EXP(-LN(2)/25))/(LN(2)/25)*Calculateur!CG176*Calculateur!CI176*VLOOKUP('Données projet'!$B$12,Paramètres!$A$1:$I$89,3,0)*0.475*44/12</f>
        <v>0.22315147626010629</v>
      </c>
      <c r="CM176" s="23">
        <f>EXP(-LN(2)/2)*CM175+(1-EXP(-LN(2)/2))/(LN(2)/2)*CG176*CJ176*VLOOKUP('Données projet'!$B$12,Paramètres!$A$1:$I$89,3,0)*0.475*44/12</f>
        <v>3.6234694312148886E-17</v>
      </c>
      <c r="CN176" s="24">
        <f t="shared" si="172"/>
        <v>3.2502768468797298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215.46880000000002</v>
      </c>
      <c r="O177" s="14">
        <f>N177*VLOOKUP('Données projet'!$B$9,Paramètres!$A$1:$I$89,3,0)*VLOOKUP('Données projet'!$B$9,Paramètres!$A$1:$I$89,5,0)</f>
        <v>100.83939840000001</v>
      </c>
      <c r="P177" s="14">
        <f t="shared" si="141"/>
        <v>27.161875252139833</v>
      </c>
      <c r="Q177" s="22">
        <f t="shared" si="162"/>
        <v>222.93555161081022</v>
      </c>
      <c r="R177" s="62">
        <f t="shared" si="109"/>
        <v>511.90588967861993</v>
      </c>
      <c r="S177" s="62">
        <f ca="1">AVERAGE(OFFSET($R$3,0,0,'Données projet'!$E$9+1,1))-AVERAGE(OFFSET($H$3,0,0,'Données projet'!$E$9+1,1))</f>
        <v>180.76388336802839</v>
      </c>
      <c r="T177" s="62">
        <f t="shared" si="142"/>
        <v>225.35030757566537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2.1560059259465212</v>
      </c>
      <c r="AA177" s="23">
        <f>EXP(-LN(2)/25)*AA176+(1-EXP(-LN(2)/25))/(LN(2)/25)*Calculateur!V177*Calculateur!X177*VLOOKUP('Données projet'!$B$9,Paramètres!$A$1:$I$89,3,0)*0.475*44/12</f>
        <v>0.42190457217122729</v>
      </c>
      <c r="AB177" s="23">
        <f>EXP(-LN(2)/2)*AB176+(1-EXP(-LN(2)/2))/(LN(2)/2)*V177*Y177*VLOOKUP('Données projet'!$B$9,Paramètres!$A$1:$I$89,3,0)*0.475*44/12</f>
        <v>6.1096072469881021E-17</v>
      </c>
      <c r="AC177" s="24">
        <f t="shared" si="163"/>
        <v>2.5779104981177485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243.99999999999989</v>
      </c>
      <c r="AJ177" s="14">
        <f>AI177*VLOOKUP('Données projet'!$B$10,Paramètres!$A$1:$I$89,3,0)*VLOOKUP('Données projet'!$B$10,Paramètres!$A$1:$I$89,5,0)</f>
        <v>190.31999999999991</v>
      </c>
      <c r="AK177" s="14">
        <f t="shared" si="164"/>
        <v>47.61069337740188</v>
      </c>
      <c r="AL177" s="22">
        <f t="shared" si="165"/>
        <v>414.39595763230813</v>
      </c>
      <c r="AM177" s="62">
        <f t="shared" si="113"/>
        <v>703.36629570011792</v>
      </c>
      <c r="AN177" s="62">
        <f ca="1">AVERAGE(OFFSET($AM$3,0,0,'Données projet'!$E$10+1,1))-AVERAGE(OFFSET($H$3,0,0,'Données projet'!$E$10+1,1))</f>
        <v>252.45744983674379</v>
      </c>
      <c r="AO177" s="62">
        <f t="shared" si="144"/>
        <v>283.28099819802776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2.9677652884659356</v>
      </c>
      <c r="AV177" s="23">
        <f>EXP(-LN(2)/25)*AV176+(1-EXP(-LN(2)/25))/(LN(2)/25)*Calculateur!AQ177*Calculateur!AS177*VLOOKUP('Données projet'!$B$10,Paramètres!$A$1:$I$89,3,0)*0.475*44/12</f>
        <v>0.21704938740674756</v>
      </c>
      <c r="AW177" s="23">
        <f>EXP(-LN(2)/2)*AW176+(1-EXP(-LN(2)/2))/(LN(2)/2)*AQ177*AT177*VLOOKUP('Données projet'!$B$10,Paramètres!$A$1:$I$89,3,0)*0.475*44/12</f>
        <v>2.5621798062342101E-17</v>
      </c>
      <c r="AX177" s="23">
        <f t="shared" si="166"/>
        <v>3.184814675872683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243.99999999999989</v>
      </c>
      <c r="BE177" s="14">
        <f>BD177*VLOOKUP('Données projet'!$B$11,Paramètres!$A$1:$I$89,3,0)*VLOOKUP('Données projet'!$B$11,Paramètres!$A$1:$I$89,5,0)</f>
        <v>190.31999999999991</v>
      </c>
      <c r="BF177" s="14">
        <f t="shared" si="167"/>
        <v>47.61069337740188</v>
      </c>
      <c r="BG177" s="22">
        <f t="shared" si="168"/>
        <v>414.39595763230813</v>
      </c>
      <c r="BH177" s="62">
        <f t="shared" si="116"/>
        <v>703.36629570011792</v>
      </c>
      <c r="BI177" s="62">
        <f ca="1">AVERAGE(OFFSET($BH$3,0,0,'Données projet'!$E$11+1,1))-AVERAGE(OFFSET($H$3,0,0,'Données projet'!$E$11+1,1))</f>
        <v>252.45744983674379</v>
      </c>
      <c r="BJ177" s="62">
        <f t="shared" si="146"/>
        <v>283.28099819802776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2.9677652884659356</v>
      </c>
      <c r="BQ177" s="23">
        <f>EXP(-LN(2)/25)*BQ176+(1-EXP(-LN(2)/25))/(LN(2)/25)*Calculateur!BL177*Calculateur!BN177*VLOOKUP('Données projet'!$B$11,Paramètres!$A$1:$I$89,3,0)*0.475*44/12</f>
        <v>0.21704938740674756</v>
      </c>
      <c r="BR177" s="23">
        <f>EXP(-LN(2)/2)*BR176+(1-EXP(-LN(2)/2))/(LN(2)/2)*BL177*BO177*VLOOKUP('Données projet'!$B$11,Paramètres!$A$1:$I$89,3,0)*0.475*44/12</f>
        <v>2.5621798062342101E-17</v>
      </c>
      <c r="BS177" s="24">
        <f t="shared" si="169"/>
        <v>3.184814675872683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243.99999999999989</v>
      </c>
      <c r="BZ177" s="14">
        <f>BY177*VLOOKUP('Données projet'!$B$12,Paramètres!$A$1:$I$89,3,0)*VLOOKUP('Données projet'!$B$12,Paramètres!$A$1:$I$89,5,0)</f>
        <v>190.31999999999991</v>
      </c>
      <c r="CA177" s="14">
        <f t="shared" si="170"/>
        <v>47.61069337740188</v>
      </c>
      <c r="CB177" s="22">
        <f t="shared" si="171"/>
        <v>414.39595763230813</v>
      </c>
      <c r="CC177" s="62">
        <f t="shared" si="119"/>
        <v>703.36629570011792</v>
      </c>
      <c r="CD177" s="62">
        <f ca="1">AVERAGE(OFFSET($CC$3,0,0,'Données projet'!$E$12+1,1))-AVERAGE(OFFSET($H$3,0,0,'Données projet'!$E$12+1,1))</f>
        <v>252.45744983674379</v>
      </c>
      <c r="CE177" s="62">
        <f t="shared" si="148"/>
        <v>283.28099819802776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2.9677652884659356</v>
      </c>
      <c r="CL177" s="23">
        <f>EXP(-LN(2)/25)*CL176+(1-EXP(-LN(2)/25))/(LN(2)/25)*Calculateur!CG177*Calculateur!CI177*VLOOKUP('Données projet'!$B$12,Paramètres!$A$1:$I$89,3,0)*0.475*44/12</f>
        <v>0.21704938740674756</v>
      </c>
      <c r="CM177" s="23">
        <f>EXP(-LN(2)/2)*CM176+(1-EXP(-LN(2)/2))/(LN(2)/2)*CG177*CJ177*VLOOKUP('Données projet'!$B$12,Paramètres!$A$1:$I$89,3,0)*0.475*44/12</f>
        <v>2.5621798062342101E-17</v>
      </c>
      <c r="CN177" s="24">
        <f t="shared" si="172"/>
        <v>3.184814675872683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215.46880000000002</v>
      </c>
      <c r="O178" s="14">
        <f>N178*VLOOKUP('Données projet'!$B$9,Paramètres!$A$1:$I$89,3,0)*VLOOKUP('Données projet'!$B$9,Paramètres!$A$1:$I$89,5,0)</f>
        <v>100.83939840000001</v>
      </c>
      <c r="P178" s="14">
        <f t="shared" si="141"/>
        <v>27.161875252139833</v>
      </c>
      <c r="Q178" s="22">
        <f t="shared" si="162"/>
        <v>222.93555161081022</v>
      </c>
      <c r="R178" s="62">
        <f t="shared" si="109"/>
        <v>511.9815778922806</v>
      </c>
      <c r="S178" s="62">
        <f ca="1">AVERAGE(OFFSET($R$3,0,0,'Données projet'!$E$9+1,1))-AVERAGE(OFFSET($H$3,0,0,'Données projet'!$E$9+1,1))</f>
        <v>180.76388336802839</v>
      </c>
      <c r="T178" s="62">
        <f t="shared" si="142"/>
        <v>225.35030757566537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2.113727964772476</v>
      </c>
      <c r="AA178" s="23">
        <f>EXP(-LN(2)/25)*AA177+(1-EXP(-LN(2)/25))/(LN(2)/25)*Calculateur!V178*Calculateur!X178*VLOOKUP('Données projet'!$B$9,Paramètres!$A$1:$I$89,3,0)*0.475*44/12</f>
        <v>0.4103675694582079</v>
      </c>
      <c r="AB178" s="23">
        <f>EXP(-LN(2)/2)*AB177+(1-EXP(-LN(2)/2))/(LN(2)/2)*V178*Y178*VLOOKUP('Données projet'!$B$9,Paramètres!$A$1:$I$89,3,0)*0.475*44/12</f>
        <v>4.320144714731761E-17</v>
      </c>
      <c r="AC178" s="24">
        <f t="shared" si="163"/>
        <v>2.5240955342306841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243.99999999999989</v>
      </c>
      <c r="AJ178" s="14">
        <f>AI178*VLOOKUP('Données projet'!$B$10,Paramètres!$A$1:$I$89,3,0)*VLOOKUP('Données projet'!$B$10,Paramètres!$A$1:$I$89,5,0)</f>
        <v>190.31999999999991</v>
      </c>
      <c r="AK178" s="14">
        <f t="shared" si="164"/>
        <v>47.61069337740188</v>
      </c>
      <c r="AL178" s="22">
        <f t="shared" si="165"/>
        <v>414.39595763230813</v>
      </c>
      <c r="AM178" s="62">
        <f t="shared" si="113"/>
        <v>703.44198391377859</v>
      </c>
      <c r="AN178" s="62">
        <f ca="1">AVERAGE(OFFSET($AM$3,0,0,'Données projet'!$E$10+1,1))-AVERAGE(OFFSET($H$3,0,0,'Données projet'!$E$10+1,1))</f>
        <v>252.45744983674379</v>
      </c>
      <c r="AO178" s="62">
        <f t="shared" si="144"/>
        <v>283.28099819802776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2.9095692213172062</v>
      </c>
      <c r="AV178" s="23">
        <f>EXP(-LN(2)/25)*AV177+(1-EXP(-LN(2)/25))/(LN(2)/25)*Calculateur!AQ178*Calculateur!AS178*VLOOKUP('Données projet'!$B$10,Paramètres!$A$1:$I$89,3,0)*0.475*44/12</f>
        <v>0.21111416049397885</v>
      </c>
      <c r="AW178" s="23">
        <f>EXP(-LN(2)/2)*AW177+(1-EXP(-LN(2)/2))/(LN(2)/2)*AQ178*AT178*VLOOKUP('Données projet'!$B$10,Paramètres!$A$1:$I$89,3,0)*0.475*44/12</f>
        <v>1.8117347156074443E-17</v>
      </c>
      <c r="AX178" s="23">
        <f t="shared" si="166"/>
        <v>3.120683381811185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243.99999999999989</v>
      </c>
      <c r="BE178" s="14">
        <f>BD178*VLOOKUP('Données projet'!$B$11,Paramètres!$A$1:$I$89,3,0)*VLOOKUP('Données projet'!$B$11,Paramètres!$A$1:$I$89,5,0)</f>
        <v>190.31999999999991</v>
      </c>
      <c r="BF178" s="14">
        <f t="shared" si="167"/>
        <v>47.61069337740188</v>
      </c>
      <c r="BG178" s="22">
        <f t="shared" si="168"/>
        <v>414.39595763230813</v>
      </c>
      <c r="BH178" s="62">
        <f t="shared" si="116"/>
        <v>703.44198391377859</v>
      </c>
      <c r="BI178" s="62">
        <f ca="1">AVERAGE(OFFSET($BH$3,0,0,'Données projet'!$E$11+1,1))-AVERAGE(OFFSET($H$3,0,0,'Données projet'!$E$11+1,1))</f>
        <v>252.45744983674379</v>
      </c>
      <c r="BJ178" s="62">
        <f t="shared" si="146"/>
        <v>283.28099819802776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2.9095692213172062</v>
      </c>
      <c r="BQ178" s="23">
        <f>EXP(-LN(2)/25)*BQ177+(1-EXP(-LN(2)/25))/(LN(2)/25)*Calculateur!BL178*Calculateur!BN178*VLOOKUP('Données projet'!$B$11,Paramètres!$A$1:$I$89,3,0)*0.475*44/12</f>
        <v>0.21111416049397885</v>
      </c>
      <c r="BR178" s="23">
        <f>EXP(-LN(2)/2)*BR177+(1-EXP(-LN(2)/2))/(LN(2)/2)*BL178*BO178*VLOOKUP('Données projet'!$B$11,Paramètres!$A$1:$I$89,3,0)*0.475*44/12</f>
        <v>1.8117347156074443E-17</v>
      </c>
      <c r="BS178" s="24">
        <f t="shared" si="169"/>
        <v>3.120683381811185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243.99999999999989</v>
      </c>
      <c r="BZ178" s="14">
        <f>BY178*VLOOKUP('Données projet'!$B$12,Paramètres!$A$1:$I$89,3,0)*VLOOKUP('Données projet'!$B$12,Paramètres!$A$1:$I$89,5,0)</f>
        <v>190.31999999999991</v>
      </c>
      <c r="CA178" s="14">
        <f t="shared" si="170"/>
        <v>47.61069337740188</v>
      </c>
      <c r="CB178" s="22">
        <f t="shared" si="171"/>
        <v>414.39595763230813</v>
      </c>
      <c r="CC178" s="62">
        <f t="shared" si="119"/>
        <v>703.44198391377859</v>
      </c>
      <c r="CD178" s="62">
        <f ca="1">AVERAGE(OFFSET($CC$3,0,0,'Données projet'!$E$12+1,1))-AVERAGE(OFFSET($H$3,0,0,'Données projet'!$E$12+1,1))</f>
        <v>252.45744983674379</v>
      </c>
      <c r="CE178" s="62">
        <f t="shared" si="148"/>
        <v>283.28099819802776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2.9095692213172062</v>
      </c>
      <c r="CL178" s="23">
        <f>EXP(-LN(2)/25)*CL177+(1-EXP(-LN(2)/25))/(LN(2)/25)*Calculateur!CG178*Calculateur!CI178*VLOOKUP('Données projet'!$B$12,Paramètres!$A$1:$I$89,3,0)*0.475*44/12</f>
        <v>0.21111416049397885</v>
      </c>
      <c r="CM178" s="23">
        <f>EXP(-LN(2)/2)*CM177+(1-EXP(-LN(2)/2))/(LN(2)/2)*CG178*CJ178*VLOOKUP('Données projet'!$B$12,Paramètres!$A$1:$I$89,3,0)*0.475*44/12</f>
        <v>1.8117347156074443E-17</v>
      </c>
      <c r="CN178" s="24">
        <f t="shared" si="172"/>
        <v>3.120683381811185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215.46880000000002</v>
      </c>
      <c r="O179" s="14">
        <f>N179*VLOOKUP('Données projet'!$B$9,Paramètres!$A$1:$I$89,3,0)*VLOOKUP('Données projet'!$B$9,Paramètres!$A$1:$I$89,5,0)</f>
        <v>100.83939840000001</v>
      </c>
      <c r="P179" s="14">
        <f t="shared" si="141"/>
        <v>27.161875252139833</v>
      </c>
      <c r="Q179" s="22">
        <f t="shared" si="162"/>
        <v>222.93555161081022</v>
      </c>
      <c r="R179" s="62">
        <f t="shared" si="109"/>
        <v>512.05595308464785</v>
      </c>
      <c r="S179" s="62">
        <f ca="1">AVERAGE(OFFSET($R$3,0,0,'Données projet'!$E$9+1,1))-AVERAGE(OFFSET($H$3,0,0,'Données projet'!$E$9+1,1))</f>
        <v>180.76388336802839</v>
      </c>
      <c r="T179" s="62">
        <f t="shared" si="142"/>
        <v>225.35030757566537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2.072279048630044</v>
      </c>
      <c r="AA179" s="23">
        <f>EXP(-LN(2)/25)*AA178+(1-EXP(-LN(2)/25))/(LN(2)/25)*Calculateur!V179*Calculateur!X179*VLOOKUP('Données projet'!$B$9,Paramètres!$A$1:$I$89,3,0)*0.475*44/12</f>
        <v>0.39914604669108061</v>
      </c>
      <c r="AB179" s="23">
        <f>EXP(-LN(2)/2)*AB178+(1-EXP(-LN(2)/2))/(LN(2)/2)*V179*Y179*VLOOKUP('Données projet'!$B$9,Paramètres!$A$1:$I$89,3,0)*0.475*44/12</f>
        <v>3.054803623494051E-17</v>
      </c>
      <c r="AC179" s="24">
        <f t="shared" si="163"/>
        <v>2.4714250953211248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243.99999999999989</v>
      </c>
      <c r="AJ179" s="14">
        <f>AI179*VLOOKUP('Données projet'!$B$10,Paramètres!$A$1:$I$89,3,0)*VLOOKUP('Données projet'!$B$10,Paramètres!$A$1:$I$89,5,0)</f>
        <v>190.31999999999991</v>
      </c>
      <c r="AK179" s="14">
        <f t="shared" si="164"/>
        <v>47.61069337740188</v>
      </c>
      <c r="AL179" s="22">
        <f t="shared" si="165"/>
        <v>414.39595763230813</v>
      </c>
      <c r="AM179" s="62">
        <f t="shared" si="113"/>
        <v>703.51635910614573</v>
      </c>
      <c r="AN179" s="62">
        <f ca="1">AVERAGE(OFFSET($AM$3,0,0,'Données projet'!$E$10+1,1))-AVERAGE(OFFSET($H$3,0,0,'Données projet'!$E$10+1,1))</f>
        <v>252.45744983674379</v>
      </c>
      <c r="AO179" s="62">
        <f t="shared" si="144"/>
        <v>283.28099819802776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2.8525143435491676</v>
      </c>
      <c r="AV179" s="23">
        <f>EXP(-LN(2)/25)*AV178+(1-EXP(-LN(2)/25))/(LN(2)/25)*Calculateur!AQ179*Calculateur!AS179*VLOOKUP('Données projet'!$B$10,Paramètres!$A$1:$I$89,3,0)*0.475*44/12</f>
        <v>0.20534123267325982</v>
      </c>
      <c r="AW179" s="23">
        <f>EXP(-LN(2)/2)*AW178+(1-EXP(-LN(2)/2))/(LN(2)/2)*AQ179*AT179*VLOOKUP('Données projet'!$B$10,Paramètres!$A$1:$I$89,3,0)*0.475*44/12</f>
        <v>1.281089903117105E-17</v>
      </c>
      <c r="AX179" s="23">
        <f t="shared" si="166"/>
        <v>3.0578555762224275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243.99999999999989</v>
      </c>
      <c r="BE179" s="14">
        <f>BD179*VLOOKUP('Données projet'!$B$11,Paramètres!$A$1:$I$89,3,0)*VLOOKUP('Données projet'!$B$11,Paramètres!$A$1:$I$89,5,0)</f>
        <v>190.31999999999991</v>
      </c>
      <c r="BF179" s="14">
        <f t="shared" si="167"/>
        <v>47.61069337740188</v>
      </c>
      <c r="BG179" s="22">
        <f t="shared" si="168"/>
        <v>414.39595763230813</v>
      </c>
      <c r="BH179" s="62">
        <f t="shared" si="116"/>
        <v>703.51635910614573</v>
      </c>
      <c r="BI179" s="62">
        <f ca="1">AVERAGE(OFFSET($BH$3,0,0,'Données projet'!$E$11+1,1))-AVERAGE(OFFSET($H$3,0,0,'Données projet'!$E$11+1,1))</f>
        <v>252.45744983674379</v>
      </c>
      <c r="BJ179" s="62">
        <f t="shared" si="146"/>
        <v>283.28099819802776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2.8525143435491676</v>
      </c>
      <c r="BQ179" s="23">
        <f>EXP(-LN(2)/25)*BQ178+(1-EXP(-LN(2)/25))/(LN(2)/25)*Calculateur!BL179*Calculateur!BN179*VLOOKUP('Données projet'!$B$11,Paramètres!$A$1:$I$89,3,0)*0.475*44/12</f>
        <v>0.20534123267325982</v>
      </c>
      <c r="BR179" s="23">
        <f>EXP(-LN(2)/2)*BR178+(1-EXP(-LN(2)/2))/(LN(2)/2)*BL179*BO179*VLOOKUP('Données projet'!$B$11,Paramètres!$A$1:$I$89,3,0)*0.475*44/12</f>
        <v>1.281089903117105E-17</v>
      </c>
      <c r="BS179" s="24">
        <f t="shared" si="169"/>
        <v>3.0578555762224275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243.99999999999989</v>
      </c>
      <c r="BZ179" s="14">
        <f>BY179*VLOOKUP('Données projet'!$B$12,Paramètres!$A$1:$I$89,3,0)*VLOOKUP('Données projet'!$B$12,Paramètres!$A$1:$I$89,5,0)</f>
        <v>190.31999999999991</v>
      </c>
      <c r="CA179" s="14">
        <f t="shared" si="170"/>
        <v>47.61069337740188</v>
      </c>
      <c r="CB179" s="22">
        <f t="shared" si="171"/>
        <v>414.39595763230813</v>
      </c>
      <c r="CC179" s="62">
        <f t="shared" si="119"/>
        <v>703.51635910614573</v>
      </c>
      <c r="CD179" s="62">
        <f ca="1">AVERAGE(OFFSET($CC$3,0,0,'Données projet'!$E$12+1,1))-AVERAGE(OFFSET($H$3,0,0,'Données projet'!$E$12+1,1))</f>
        <v>252.45744983674379</v>
      </c>
      <c r="CE179" s="62">
        <f t="shared" si="148"/>
        <v>283.28099819802776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2.8525143435491676</v>
      </c>
      <c r="CL179" s="23">
        <f>EXP(-LN(2)/25)*CL178+(1-EXP(-LN(2)/25))/(LN(2)/25)*Calculateur!CG179*Calculateur!CI179*VLOOKUP('Données projet'!$B$12,Paramètres!$A$1:$I$89,3,0)*0.475*44/12</f>
        <v>0.20534123267325982</v>
      </c>
      <c r="CM179" s="23">
        <f>EXP(-LN(2)/2)*CM178+(1-EXP(-LN(2)/2))/(LN(2)/2)*CG179*CJ179*VLOOKUP('Données projet'!$B$12,Paramètres!$A$1:$I$89,3,0)*0.475*44/12</f>
        <v>1.281089903117105E-17</v>
      </c>
      <c r="CN179" s="24">
        <f t="shared" si="172"/>
        <v>3.0578555762224275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215.46880000000002</v>
      </c>
      <c r="O180" s="14">
        <f>N180*VLOOKUP('Données projet'!$B$9,Paramètres!$A$1:$I$89,3,0)*VLOOKUP('Données projet'!$B$9,Paramètres!$A$1:$I$89,5,0)</f>
        <v>100.83939840000001</v>
      </c>
      <c r="P180" s="14">
        <f t="shared" si="141"/>
        <v>27.161875252139833</v>
      </c>
      <c r="Q180" s="22">
        <f t="shared" si="162"/>
        <v>222.93555161081022</v>
      </c>
      <c r="R180" s="62">
        <f t="shared" si="109"/>
        <v>512.12903803370546</v>
      </c>
      <c r="S180" s="62">
        <f ca="1">AVERAGE(OFFSET($R$3,0,0,'Données projet'!$E$9+1,1))-AVERAGE(OFFSET($H$3,0,0,'Données projet'!$E$9+1,1))</f>
        <v>180.76388336802839</v>
      </c>
      <c r="T180" s="62">
        <f t="shared" si="142"/>
        <v>225.35030757566537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2.031642920451822</v>
      </c>
      <c r="AA180" s="23">
        <f>EXP(-LN(2)/25)*AA179+(1-EXP(-LN(2)/25))/(LN(2)/25)*Calculateur!V180*Calculateur!X180*VLOOKUP('Données projet'!$B$9,Paramètres!$A$1:$I$89,3,0)*0.475*44/12</f>
        <v>0.38823137705413469</v>
      </c>
      <c r="AB180" s="23">
        <f>EXP(-LN(2)/2)*AB179+(1-EXP(-LN(2)/2))/(LN(2)/2)*V180*Y180*VLOOKUP('Données projet'!$B$9,Paramètres!$A$1:$I$89,3,0)*0.475*44/12</f>
        <v>2.1600723573658805E-17</v>
      </c>
      <c r="AC180" s="24">
        <f t="shared" si="163"/>
        <v>2.4198742975059568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243.99999999999989</v>
      </c>
      <c r="AJ180" s="14">
        <f>AI180*VLOOKUP('Données projet'!$B$10,Paramètres!$A$1:$I$89,3,0)*VLOOKUP('Données projet'!$B$10,Paramètres!$A$1:$I$89,5,0)</f>
        <v>190.31999999999991</v>
      </c>
      <c r="AK180" s="14">
        <f t="shared" si="164"/>
        <v>47.61069337740188</v>
      </c>
      <c r="AL180" s="22">
        <f t="shared" si="165"/>
        <v>414.39595763230813</v>
      </c>
      <c r="AM180" s="62">
        <f t="shared" si="113"/>
        <v>703.58944405520333</v>
      </c>
      <c r="AN180" s="62">
        <f ca="1">AVERAGE(OFFSET($AM$3,0,0,'Données projet'!$E$10+1,1))-AVERAGE(OFFSET($H$3,0,0,'Données projet'!$E$10+1,1))</f>
        <v>252.45744983674379</v>
      </c>
      <c r="AO180" s="62">
        <f t="shared" si="144"/>
        <v>283.28099819802776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2.7965782771341208</v>
      </c>
      <c r="AV180" s="23">
        <f>EXP(-LN(2)/25)*AV179+(1-EXP(-LN(2)/25))/(LN(2)/25)*Calculateur!AQ180*Calculateur!AS180*VLOOKUP('Données projet'!$B$10,Paramètres!$A$1:$I$89,3,0)*0.475*44/12</f>
        <v>0.19972616586738343</v>
      </c>
      <c r="AW180" s="23">
        <f>EXP(-LN(2)/2)*AW179+(1-EXP(-LN(2)/2))/(LN(2)/2)*AQ180*AT180*VLOOKUP('Données projet'!$B$10,Paramètres!$A$1:$I$89,3,0)*0.475*44/12</f>
        <v>9.0586735780372215E-18</v>
      </c>
      <c r="AX180" s="23">
        <f t="shared" si="166"/>
        <v>2.9963044430015042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243.99999999999989</v>
      </c>
      <c r="BE180" s="14">
        <f>BD180*VLOOKUP('Données projet'!$B$11,Paramètres!$A$1:$I$89,3,0)*VLOOKUP('Données projet'!$B$11,Paramètres!$A$1:$I$89,5,0)</f>
        <v>190.31999999999991</v>
      </c>
      <c r="BF180" s="14">
        <f t="shared" si="167"/>
        <v>47.61069337740188</v>
      </c>
      <c r="BG180" s="22">
        <f t="shared" si="168"/>
        <v>414.39595763230813</v>
      </c>
      <c r="BH180" s="62">
        <f t="shared" si="116"/>
        <v>703.58944405520333</v>
      </c>
      <c r="BI180" s="62">
        <f ca="1">AVERAGE(OFFSET($BH$3,0,0,'Données projet'!$E$11+1,1))-AVERAGE(OFFSET($H$3,0,0,'Données projet'!$E$11+1,1))</f>
        <v>252.45744983674379</v>
      </c>
      <c r="BJ180" s="62">
        <f t="shared" si="146"/>
        <v>283.28099819802776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2.7965782771341208</v>
      </c>
      <c r="BQ180" s="23">
        <f>EXP(-LN(2)/25)*BQ179+(1-EXP(-LN(2)/25))/(LN(2)/25)*Calculateur!BL180*Calculateur!BN180*VLOOKUP('Données projet'!$B$11,Paramètres!$A$1:$I$89,3,0)*0.475*44/12</f>
        <v>0.19972616586738343</v>
      </c>
      <c r="BR180" s="23">
        <f>EXP(-LN(2)/2)*BR179+(1-EXP(-LN(2)/2))/(LN(2)/2)*BL180*BO180*VLOOKUP('Données projet'!$B$11,Paramètres!$A$1:$I$89,3,0)*0.475*44/12</f>
        <v>9.0586735780372215E-18</v>
      </c>
      <c r="BS180" s="24">
        <f t="shared" si="169"/>
        <v>2.9963044430015042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243.99999999999989</v>
      </c>
      <c r="BZ180" s="14">
        <f>BY180*VLOOKUP('Données projet'!$B$12,Paramètres!$A$1:$I$89,3,0)*VLOOKUP('Données projet'!$B$12,Paramètres!$A$1:$I$89,5,0)</f>
        <v>190.31999999999991</v>
      </c>
      <c r="CA180" s="14">
        <f t="shared" si="170"/>
        <v>47.61069337740188</v>
      </c>
      <c r="CB180" s="22">
        <f t="shared" si="171"/>
        <v>414.39595763230813</v>
      </c>
      <c r="CC180" s="62">
        <f t="shared" si="119"/>
        <v>703.58944405520333</v>
      </c>
      <c r="CD180" s="62">
        <f ca="1">AVERAGE(OFFSET($CC$3,0,0,'Données projet'!$E$12+1,1))-AVERAGE(OFFSET($H$3,0,0,'Données projet'!$E$12+1,1))</f>
        <v>252.45744983674379</v>
      </c>
      <c r="CE180" s="62">
        <f t="shared" si="148"/>
        <v>283.28099819802776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2.7965782771341208</v>
      </c>
      <c r="CL180" s="23">
        <f>EXP(-LN(2)/25)*CL179+(1-EXP(-LN(2)/25))/(LN(2)/25)*Calculateur!CG180*Calculateur!CI180*VLOOKUP('Données projet'!$B$12,Paramètres!$A$1:$I$89,3,0)*0.475*44/12</f>
        <v>0.19972616586738343</v>
      </c>
      <c r="CM180" s="23">
        <f>EXP(-LN(2)/2)*CM179+(1-EXP(-LN(2)/2))/(LN(2)/2)*CG180*CJ180*VLOOKUP('Données projet'!$B$12,Paramètres!$A$1:$I$89,3,0)*0.475*44/12</f>
        <v>9.0586735780372215E-18</v>
      </c>
      <c r="CN180" s="24">
        <f t="shared" si="172"/>
        <v>2.9963044430015042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215.46880000000002</v>
      </c>
      <c r="O181" s="14">
        <f>N181*VLOOKUP('Données projet'!$B$9,Paramètres!$A$1:$I$89,3,0)*VLOOKUP('Données projet'!$B$9,Paramètres!$A$1:$I$89,5,0)</f>
        <v>100.83939840000001</v>
      </c>
      <c r="P181" s="14">
        <f t="shared" si="141"/>
        <v>27.161875252139833</v>
      </c>
      <c r="Q181" s="22">
        <f t="shared" si="162"/>
        <v>222.93555161081022</v>
      </c>
      <c r="R181" s="62">
        <f t="shared" si="109"/>
        <v>512.20085512229036</v>
      </c>
      <c r="S181" s="62">
        <f ca="1">AVERAGE(OFFSET($R$3,0,0,'Données projet'!$E$9+1,1))-AVERAGE(OFFSET($H$3,0,0,'Données projet'!$E$9+1,1))</f>
        <v>180.76388336802839</v>
      </c>
      <c r="T181" s="62">
        <f t="shared" si="142"/>
        <v>225.35030757566537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1.9918036419615845</v>
      </c>
      <c r="AA181" s="23">
        <f>EXP(-LN(2)/25)*AA180+(1-EXP(-LN(2)/25))/(LN(2)/25)*Calculateur!V181*Calculateur!X181*VLOOKUP('Données projet'!$B$9,Paramètres!$A$1:$I$89,3,0)*0.475*44/12</f>
        <v>0.37761516963238856</v>
      </c>
      <c r="AB181" s="23">
        <f>EXP(-LN(2)/2)*AB180+(1-EXP(-LN(2)/2))/(LN(2)/2)*V181*Y181*VLOOKUP('Données projet'!$B$9,Paramètres!$A$1:$I$89,3,0)*0.475*44/12</f>
        <v>1.5274018117470255E-17</v>
      </c>
      <c r="AC181" s="24">
        <f t="shared" si="163"/>
        <v>2.3694188115939729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243.99999999999989</v>
      </c>
      <c r="AJ181" s="14">
        <f>AI181*VLOOKUP('Données projet'!$B$10,Paramètres!$A$1:$I$89,3,0)*VLOOKUP('Données projet'!$B$10,Paramètres!$A$1:$I$89,5,0)</f>
        <v>190.31999999999991</v>
      </c>
      <c r="AK181" s="14">
        <f t="shared" si="164"/>
        <v>47.61069337740188</v>
      </c>
      <c r="AL181" s="22">
        <f t="shared" si="165"/>
        <v>414.39595763230813</v>
      </c>
      <c r="AM181" s="62">
        <f t="shared" si="113"/>
        <v>703.66126114378835</v>
      </c>
      <c r="AN181" s="62">
        <f ca="1">AVERAGE(OFFSET($AM$3,0,0,'Données projet'!$E$10+1,1))-AVERAGE(OFFSET($H$3,0,0,'Données projet'!$E$10+1,1))</f>
        <v>252.45744983674379</v>
      </c>
      <c r="AO181" s="62">
        <f t="shared" si="144"/>
        <v>283.28099819802776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2.7417390828638415</v>
      </c>
      <c r="AV181" s="23">
        <f>EXP(-LN(2)/25)*AV180+(1-EXP(-LN(2)/25))/(LN(2)/25)*Calculateur!AQ181*Calculateur!AS181*VLOOKUP('Données projet'!$B$10,Paramètres!$A$1:$I$89,3,0)*0.475*44/12</f>
        <v>0.19426464335859725</v>
      </c>
      <c r="AW181" s="23">
        <f>EXP(-LN(2)/2)*AW180+(1-EXP(-LN(2)/2))/(LN(2)/2)*AQ181*AT181*VLOOKUP('Données projet'!$B$10,Paramètres!$A$1:$I$89,3,0)*0.475*44/12</f>
        <v>6.4054495155855252E-18</v>
      </c>
      <c r="AX181" s="23">
        <f t="shared" si="166"/>
        <v>2.9360037262224385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243.99999999999989</v>
      </c>
      <c r="BE181" s="14">
        <f>BD181*VLOOKUP('Données projet'!$B$11,Paramètres!$A$1:$I$89,3,0)*VLOOKUP('Données projet'!$B$11,Paramètres!$A$1:$I$89,5,0)</f>
        <v>190.31999999999991</v>
      </c>
      <c r="BF181" s="14">
        <f t="shared" si="167"/>
        <v>47.61069337740188</v>
      </c>
      <c r="BG181" s="22">
        <f t="shared" si="168"/>
        <v>414.39595763230813</v>
      </c>
      <c r="BH181" s="62">
        <f t="shared" si="116"/>
        <v>703.66126114378835</v>
      </c>
      <c r="BI181" s="62">
        <f ca="1">AVERAGE(OFFSET($BH$3,0,0,'Données projet'!$E$11+1,1))-AVERAGE(OFFSET($H$3,0,0,'Données projet'!$E$11+1,1))</f>
        <v>252.45744983674379</v>
      </c>
      <c r="BJ181" s="62">
        <f t="shared" si="146"/>
        <v>283.28099819802776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2.7417390828638415</v>
      </c>
      <c r="BQ181" s="23">
        <f>EXP(-LN(2)/25)*BQ180+(1-EXP(-LN(2)/25))/(LN(2)/25)*Calculateur!BL181*Calculateur!BN181*VLOOKUP('Données projet'!$B$11,Paramètres!$A$1:$I$89,3,0)*0.475*44/12</f>
        <v>0.19426464335859725</v>
      </c>
      <c r="BR181" s="23">
        <f>EXP(-LN(2)/2)*BR180+(1-EXP(-LN(2)/2))/(LN(2)/2)*BL181*BO181*VLOOKUP('Données projet'!$B$11,Paramètres!$A$1:$I$89,3,0)*0.475*44/12</f>
        <v>6.4054495155855252E-18</v>
      </c>
      <c r="BS181" s="24">
        <f t="shared" si="169"/>
        <v>2.9360037262224385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243.99999999999989</v>
      </c>
      <c r="BZ181" s="14">
        <f>BY181*VLOOKUP('Données projet'!$B$12,Paramètres!$A$1:$I$89,3,0)*VLOOKUP('Données projet'!$B$12,Paramètres!$A$1:$I$89,5,0)</f>
        <v>190.31999999999991</v>
      </c>
      <c r="CA181" s="14">
        <f t="shared" si="170"/>
        <v>47.61069337740188</v>
      </c>
      <c r="CB181" s="22">
        <f t="shared" si="171"/>
        <v>414.39595763230813</v>
      </c>
      <c r="CC181" s="62">
        <f t="shared" si="119"/>
        <v>703.66126114378835</v>
      </c>
      <c r="CD181" s="62">
        <f ca="1">AVERAGE(OFFSET($CC$3,0,0,'Données projet'!$E$12+1,1))-AVERAGE(OFFSET($H$3,0,0,'Données projet'!$E$12+1,1))</f>
        <v>252.45744983674379</v>
      </c>
      <c r="CE181" s="62">
        <f t="shared" si="148"/>
        <v>283.28099819802776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2.7417390828638415</v>
      </c>
      <c r="CL181" s="23">
        <f>EXP(-LN(2)/25)*CL180+(1-EXP(-LN(2)/25))/(LN(2)/25)*Calculateur!CG181*Calculateur!CI181*VLOOKUP('Données projet'!$B$12,Paramètres!$A$1:$I$89,3,0)*0.475*44/12</f>
        <v>0.19426464335859725</v>
      </c>
      <c r="CM181" s="23">
        <f>EXP(-LN(2)/2)*CM180+(1-EXP(-LN(2)/2))/(LN(2)/2)*CG181*CJ181*VLOOKUP('Données projet'!$B$12,Paramètres!$A$1:$I$89,3,0)*0.475*44/12</f>
        <v>6.4054495155855252E-18</v>
      </c>
      <c r="CN181" s="24">
        <f t="shared" si="172"/>
        <v>2.9360037262224385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215.46880000000002</v>
      </c>
      <c r="O182" s="14">
        <f>N182*VLOOKUP('Données projet'!$B$9,Paramètres!$A$1:$I$89,3,0)*VLOOKUP('Données projet'!$B$9,Paramètres!$A$1:$I$89,5,0)</f>
        <v>100.83939840000001</v>
      </c>
      <c r="P182" s="14">
        <f t="shared" si="141"/>
        <v>27.161875252139833</v>
      </c>
      <c r="Q182" s="22">
        <f t="shared" si="162"/>
        <v>222.93555161081022</v>
      </c>
      <c r="R182" s="62">
        <f t="shared" si="109"/>
        <v>512.27142634494737</v>
      </c>
      <c r="S182" s="62">
        <f ca="1">AVERAGE(OFFSET($R$3,0,0,'Données projet'!$E$9+1,1))-AVERAGE(OFFSET($H$3,0,0,'Données projet'!$E$9+1,1))</f>
        <v>180.76388336802839</v>
      </c>
      <c r="T182" s="62">
        <f t="shared" si="142"/>
        <v>225.35030757566537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1.95274558742298</v>
      </c>
      <c r="AA182" s="23">
        <f>EXP(-LN(2)/25)*AA181+(1-EXP(-LN(2)/25))/(LN(2)/25)*Calculateur!V182*Calculateur!X182*VLOOKUP('Données projet'!$B$9,Paramètres!$A$1:$I$89,3,0)*0.475*44/12</f>
        <v>0.36728926296087216</v>
      </c>
      <c r="AB182" s="23">
        <f>EXP(-LN(2)/2)*AB181+(1-EXP(-LN(2)/2))/(LN(2)/2)*V182*Y182*VLOOKUP('Données projet'!$B$9,Paramètres!$A$1:$I$89,3,0)*0.475*44/12</f>
        <v>1.0800361786829402E-17</v>
      </c>
      <c r="AC182" s="24">
        <f t="shared" si="163"/>
        <v>2.3200348503838519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243.99999999999989</v>
      </c>
      <c r="AJ182" s="14">
        <f>AI182*VLOOKUP('Données projet'!$B$10,Paramètres!$A$1:$I$89,3,0)*VLOOKUP('Données projet'!$B$10,Paramètres!$A$1:$I$89,5,0)</f>
        <v>190.31999999999991</v>
      </c>
      <c r="AK182" s="14">
        <f t="shared" si="164"/>
        <v>47.61069337740188</v>
      </c>
      <c r="AL182" s="22">
        <f t="shared" si="165"/>
        <v>414.39595763230813</v>
      </c>
      <c r="AM182" s="62">
        <f t="shared" si="113"/>
        <v>703.73183236644525</v>
      </c>
      <c r="AN182" s="62">
        <f ca="1">AVERAGE(OFFSET($AM$3,0,0,'Données projet'!$E$10+1,1))-AVERAGE(OFFSET($H$3,0,0,'Données projet'!$E$10+1,1))</f>
        <v>252.45744983674379</v>
      </c>
      <c r="AO182" s="62">
        <f t="shared" si="144"/>
        <v>283.28099819802776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2.6879752517445965</v>
      </c>
      <c r="AV182" s="23">
        <f>EXP(-LN(2)/25)*AV181+(1-EXP(-LN(2)/25))/(LN(2)/25)*Calculateur!AQ182*Calculateur!AS182*VLOOKUP('Données projet'!$B$10,Paramètres!$A$1:$I$89,3,0)*0.475*44/12</f>
        <v>0.18895246647002281</v>
      </c>
      <c r="AW182" s="23">
        <f>EXP(-LN(2)/2)*AW181+(1-EXP(-LN(2)/2))/(LN(2)/2)*AQ182*AT182*VLOOKUP('Données projet'!$B$10,Paramètres!$A$1:$I$89,3,0)*0.475*44/12</f>
        <v>4.5293367890186108E-18</v>
      </c>
      <c r="AX182" s="23">
        <f t="shared" si="166"/>
        <v>2.8769277182146191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243.99999999999989</v>
      </c>
      <c r="BE182" s="14">
        <f>BD182*VLOOKUP('Données projet'!$B$11,Paramètres!$A$1:$I$89,3,0)*VLOOKUP('Données projet'!$B$11,Paramètres!$A$1:$I$89,5,0)</f>
        <v>190.31999999999991</v>
      </c>
      <c r="BF182" s="14">
        <f t="shared" si="167"/>
        <v>47.61069337740188</v>
      </c>
      <c r="BG182" s="22">
        <f t="shared" si="168"/>
        <v>414.39595763230813</v>
      </c>
      <c r="BH182" s="62">
        <f t="shared" si="116"/>
        <v>703.73183236644525</v>
      </c>
      <c r="BI182" s="62">
        <f ca="1">AVERAGE(OFFSET($BH$3,0,0,'Données projet'!$E$11+1,1))-AVERAGE(OFFSET($H$3,0,0,'Données projet'!$E$11+1,1))</f>
        <v>252.45744983674379</v>
      </c>
      <c r="BJ182" s="62">
        <f t="shared" si="146"/>
        <v>283.28099819802776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2.6879752517445965</v>
      </c>
      <c r="BQ182" s="23">
        <f>EXP(-LN(2)/25)*BQ181+(1-EXP(-LN(2)/25))/(LN(2)/25)*Calculateur!BL182*Calculateur!BN182*VLOOKUP('Données projet'!$B$11,Paramètres!$A$1:$I$89,3,0)*0.475*44/12</f>
        <v>0.18895246647002281</v>
      </c>
      <c r="BR182" s="23">
        <f>EXP(-LN(2)/2)*BR181+(1-EXP(-LN(2)/2))/(LN(2)/2)*BL182*BO182*VLOOKUP('Données projet'!$B$11,Paramètres!$A$1:$I$89,3,0)*0.475*44/12</f>
        <v>4.5293367890186108E-18</v>
      </c>
      <c r="BS182" s="24">
        <f t="shared" si="169"/>
        <v>2.8769277182146191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243.99999999999989</v>
      </c>
      <c r="BZ182" s="14">
        <f>BY182*VLOOKUP('Données projet'!$B$12,Paramètres!$A$1:$I$89,3,0)*VLOOKUP('Données projet'!$B$12,Paramètres!$A$1:$I$89,5,0)</f>
        <v>190.31999999999991</v>
      </c>
      <c r="CA182" s="14">
        <f t="shared" si="170"/>
        <v>47.61069337740188</v>
      </c>
      <c r="CB182" s="22">
        <f t="shared" si="171"/>
        <v>414.39595763230813</v>
      </c>
      <c r="CC182" s="62">
        <f t="shared" si="119"/>
        <v>703.73183236644525</v>
      </c>
      <c r="CD182" s="62">
        <f ca="1">AVERAGE(OFFSET($CC$3,0,0,'Données projet'!$E$12+1,1))-AVERAGE(OFFSET($H$3,0,0,'Données projet'!$E$12+1,1))</f>
        <v>252.45744983674379</v>
      </c>
      <c r="CE182" s="62">
        <f t="shared" si="148"/>
        <v>283.28099819802776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2.6879752517445965</v>
      </c>
      <c r="CL182" s="23">
        <f>EXP(-LN(2)/25)*CL181+(1-EXP(-LN(2)/25))/(LN(2)/25)*Calculateur!CG182*Calculateur!CI182*VLOOKUP('Données projet'!$B$12,Paramètres!$A$1:$I$89,3,0)*0.475*44/12</f>
        <v>0.18895246647002281</v>
      </c>
      <c r="CM182" s="23">
        <f>EXP(-LN(2)/2)*CM181+(1-EXP(-LN(2)/2))/(LN(2)/2)*CG182*CJ182*VLOOKUP('Données projet'!$B$12,Paramètres!$A$1:$I$89,3,0)*0.475*44/12</f>
        <v>4.5293367890186108E-18</v>
      </c>
      <c r="CN182" s="24">
        <f t="shared" si="172"/>
        <v>2.8769277182146191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215.46880000000002</v>
      </c>
      <c r="O183" s="14">
        <f>N183*VLOOKUP('Données projet'!$B$9,Paramètres!$A$1:$I$89,3,0)*VLOOKUP('Données projet'!$B$9,Paramètres!$A$1:$I$89,5,0)</f>
        <v>100.83939840000001</v>
      </c>
      <c r="P183" s="14">
        <f t="shared" si="141"/>
        <v>27.161875252139833</v>
      </c>
      <c r="Q183" s="22">
        <f t="shared" si="162"/>
        <v>222.93555161081022</v>
      </c>
      <c r="R183" s="62">
        <f t="shared" si="109"/>
        <v>512.34077331466483</v>
      </c>
      <c r="S183" s="62">
        <f ca="1">AVERAGE(OFFSET($R$3,0,0,'Données projet'!$E$9+1,1))-AVERAGE(OFFSET($H$3,0,0,'Données projet'!$E$9+1,1))</f>
        <v>180.76388336802839</v>
      </c>
      <c r="T183" s="62">
        <f t="shared" si="142"/>
        <v>225.35030757566537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1.9144534375108166</v>
      </c>
      <c r="AA183" s="23">
        <f>EXP(-LN(2)/25)*AA182+(1-EXP(-LN(2)/25))/(LN(2)/25)*Calculateur!V183*Calculateur!X183*VLOOKUP('Données projet'!$B$9,Paramètres!$A$1:$I$89,3,0)*0.475*44/12</f>
        <v>0.35724571875030425</v>
      </c>
      <c r="AB183" s="23">
        <f>EXP(-LN(2)/2)*AB182+(1-EXP(-LN(2)/2))/(LN(2)/2)*V183*Y183*VLOOKUP('Données projet'!$B$9,Paramètres!$A$1:$I$89,3,0)*0.475*44/12</f>
        <v>7.6370090587351276E-18</v>
      </c>
      <c r="AC183" s="24">
        <f t="shared" si="163"/>
        <v>2.2716991562611208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243.99999999999989</v>
      </c>
      <c r="AJ183" s="14">
        <f>AI183*VLOOKUP('Données projet'!$B$10,Paramètres!$A$1:$I$89,3,0)*VLOOKUP('Données projet'!$B$10,Paramètres!$A$1:$I$89,5,0)</f>
        <v>190.31999999999991</v>
      </c>
      <c r="AK183" s="14">
        <f t="shared" si="164"/>
        <v>47.61069337740188</v>
      </c>
      <c r="AL183" s="22">
        <f t="shared" si="165"/>
        <v>414.39595763230813</v>
      </c>
      <c r="AM183" s="62">
        <f t="shared" si="113"/>
        <v>703.8011793361627</v>
      </c>
      <c r="AN183" s="62">
        <f ca="1">AVERAGE(OFFSET($AM$3,0,0,'Données projet'!$E$10+1,1))-AVERAGE(OFFSET($H$3,0,0,'Données projet'!$E$10+1,1))</f>
        <v>252.45744983674379</v>
      </c>
      <c r="AO183" s="62">
        <f t="shared" si="144"/>
        <v>283.28099819802776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2.6352656965609009</v>
      </c>
      <c r="AV183" s="23">
        <f>EXP(-LN(2)/25)*AV182+(1-EXP(-LN(2)/25))/(LN(2)/25)*Calculateur!AQ183*Calculateur!AS183*VLOOKUP('Données projet'!$B$10,Paramètres!$A$1:$I$89,3,0)*0.475*44/12</f>
        <v>0.18378555133782168</v>
      </c>
      <c r="AW183" s="23">
        <f>EXP(-LN(2)/2)*AW182+(1-EXP(-LN(2)/2))/(LN(2)/2)*AQ183*AT183*VLOOKUP('Données projet'!$B$10,Paramètres!$A$1:$I$89,3,0)*0.475*44/12</f>
        <v>3.2027247577927626E-18</v>
      </c>
      <c r="AX183" s="23">
        <f t="shared" si="166"/>
        <v>2.8190512478987224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243.99999999999989</v>
      </c>
      <c r="BE183" s="14">
        <f>BD183*VLOOKUP('Données projet'!$B$11,Paramètres!$A$1:$I$89,3,0)*VLOOKUP('Données projet'!$B$11,Paramètres!$A$1:$I$89,5,0)</f>
        <v>190.31999999999991</v>
      </c>
      <c r="BF183" s="14">
        <f t="shared" si="167"/>
        <v>47.61069337740188</v>
      </c>
      <c r="BG183" s="22">
        <f t="shared" si="168"/>
        <v>414.39595763230813</v>
      </c>
      <c r="BH183" s="62">
        <f t="shared" si="116"/>
        <v>703.8011793361627</v>
      </c>
      <c r="BI183" s="62">
        <f ca="1">AVERAGE(OFFSET($BH$3,0,0,'Données projet'!$E$11+1,1))-AVERAGE(OFFSET($H$3,0,0,'Données projet'!$E$11+1,1))</f>
        <v>252.45744983674379</v>
      </c>
      <c r="BJ183" s="62">
        <f t="shared" si="146"/>
        <v>283.28099819802776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2.6352656965609009</v>
      </c>
      <c r="BQ183" s="23">
        <f>EXP(-LN(2)/25)*BQ182+(1-EXP(-LN(2)/25))/(LN(2)/25)*Calculateur!BL183*Calculateur!BN183*VLOOKUP('Données projet'!$B$11,Paramètres!$A$1:$I$89,3,0)*0.475*44/12</f>
        <v>0.18378555133782168</v>
      </c>
      <c r="BR183" s="23">
        <f>EXP(-LN(2)/2)*BR182+(1-EXP(-LN(2)/2))/(LN(2)/2)*BL183*BO183*VLOOKUP('Données projet'!$B$11,Paramètres!$A$1:$I$89,3,0)*0.475*44/12</f>
        <v>3.2027247577927626E-18</v>
      </c>
      <c r="BS183" s="24">
        <f t="shared" si="169"/>
        <v>2.8190512478987224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243.99999999999989</v>
      </c>
      <c r="BZ183" s="14">
        <f>BY183*VLOOKUP('Données projet'!$B$12,Paramètres!$A$1:$I$89,3,0)*VLOOKUP('Données projet'!$B$12,Paramètres!$A$1:$I$89,5,0)</f>
        <v>190.31999999999991</v>
      </c>
      <c r="CA183" s="14">
        <f t="shared" si="170"/>
        <v>47.61069337740188</v>
      </c>
      <c r="CB183" s="22">
        <f t="shared" si="171"/>
        <v>414.39595763230813</v>
      </c>
      <c r="CC183" s="62">
        <f t="shared" si="119"/>
        <v>703.8011793361627</v>
      </c>
      <c r="CD183" s="62">
        <f ca="1">AVERAGE(OFFSET($CC$3,0,0,'Données projet'!$E$12+1,1))-AVERAGE(OFFSET($H$3,0,0,'Données projet'!$E$12+1,1))</f>
        <v>252.45744983674379</v>
      </c>
      <c r="CE183" s="62">
        <f t="shared" si="148"/>
        <v>283.28099819802776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2.6352656965609009</v>
      </c>
      <c r="CL183" s="23">
        <f>EXP(-LN(2)/25)*CL182+(1-EXP(-LN(2)/25))/(LN(2)/25)*Calculateur!CG183*Calculateur!CI183*VLOOKUP('Données projet'!$B$12,Paramètres!$A$1:$I$89,3,0)*0.475*44/12</f>
        <v>0.18378555133782168</v>
      </c>
      <c r="CM183" s="23">
        <f>EXP(-LN(2)/2)*CM182+(1-EXP(-LN(2)/2))/(LN(2)/2)*CG183*CJ183*VLOOKUP('Données projet'!$B$12,Paramètres!$A$1:$I$89,3,0)*0.475*44/12</f>
        <v>3.2027247577927626E-18</v>
      </c>
      <c r="CN183" s="24">
        <f t="shared" si="172"/>
        <v>2.8190512478987224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215.46880000000002</v>
      </c>
      <c r="O184" s="14">
        <f>N184*VLOOKUP('Données projet'!$B$9,Paramètres!$A$1:$I$89,3,0)*VLOOKUP('Données projet'!$B$9,Paramètres!$A$1:$I$89,5,0)</f>
        <v>100.83939840000001</v>
      </c>
      <c r="P184" s="14">
        <f t="shared" si="141"/>
        <v>27.161875252139833</v>
      </c>
      <c r="Q184" s="22">
        <f t="shared" si="162"/>
        <v>222.93555161081022</v>
      </c>
      <c r="R184" s="62">
        <f t="shared" si="109"/>
        <v>512.40891726949428</v>
      </c>
      <c r="S184" s="62">
        <f ca="1">AVERAGE(OFFSET($R$3,0,0,'Données projet'!$E$9+1,1))-AVERAGE(OFFSET($H$3,0,0,'Données projet'!$E$9+1,1))</f>
        <v>180.76388336802839</v>
      </c>
      <c r="T184" s="62">
        <f t="shared" si="142"/>
        <v>225.35030757566537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1.8769121733025256</v>
      </c>
      <c r="AA184" s="23">
        <f>EXP(-LN(2)/25)*AA183+(1-EXP(-LN(2)/25))/(LN(2)/25)*Calculateur!V184*Calculateur!X184*VLOOKUP('Données projet'!$B$9,Paramètres!$A$1:$I$89,3,0)*0.475*44/12</f>
        <v>0.34747681578434131</v>
      </c>
      <c r="AB184" s="23">
        <f>EXP(-LN(2)/2)*AB183+(1-EXP(-LN(2)/2))/(LN(2)/2)*V184*Y184*VLOOKUP('Données projet'!$B$9,Paramètres!$A$1:$I$89,3,0)*0.475*44/12</f>
        <v>5.4001808934147012E-18</v>
      </c>
      <c r="AC184" s="24">
        <f t="shared" si="163"/>
        <v>2.2243889890868669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243.99999999999989</v>
      </c>
      <c r="AJ184" s="14">
        <f>AI184*VLOOKUP('Données projet'!$B$10,Paramètres!$A$1:$I$89,3,0)*VLOOKUP('Données projet'!$B$10,Paramètres!$A$1:$I$89,5,0)</f>
        <v>190.31999999999991</v>
      </c>
      <c r="AK184" s="14">
        <f t="shared" si="164"/>
        <v>47.61069337740188</v>
      </c>
      <c r="AL184" s="22">
        <f t="shared" si="165"/>
        <v>414.39595763230813</v>
      </c>
      <c r="AM184" s="62">
        <f t="shared" si="113"/>
        <v>703.86932329099227</v>
      </c>
      <c r="AN184" s="62">
        <f ca="1">AVERAGE(OFFSET($AM$3,0,0,'Données projet'!$E$10+1,1))-AVERAGE(OFFSET($H$3,0,0,'Données projet'!$E$10+1,1))</f>
        <v>252.45744983674379</v>
      </c>
      <c r="AO184" s="62">
        <f t="shared" si="144"/>
        <v>283.28099819802776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2.5835897436047035</v>
      </c>
      <c r="AV184" s="23">
        <f>EXP(-LN(2)/25)*AV183+(1-EXP(-LN(2)/25))/(LN(2)/25)*Calculateur!AQ184*Calculateur!AS184*VLOOKUP('Données projet'!$B$10,Paramètres!$A$1:$I$89,3,0)*0.475*44/12</f>
        <v>0.17875992577162686</v>
      </c>
      <c r="AW184" s="23">
        <f>EXP(-LN(2)/2)*AW183+(1-EXP(-LN(2)/2))/(LN(2)/2)*AQ184*AT184*VLOOKUP('Données projet'!$B$10,Paramètres!$A$1:$I$89,3,0)*0.475*44/12</f>
        <v>2.2646683945093054E-18</v>
      </c>
      <c r="AX184" s="23">
        <f t="shared" si="166"/>
        <v>2.7623496693763303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243.99999999999989</v>
      </c>
      <c r="BE184" s="14">
        <f>BD184*VLOOKUP('Données projet'!$B$11,Paramètres!$A$1:$I$89,3,0)*VLOOKUP('Données projet'!$B$11,Paramètres!$A$1:$I$89,5,0)</f>
        <v>190.31999999999991</v>
      </c>
      <c r="BF184" s="14">
        <f t="shared" si="167"/>
        <v>47.61069337740188</v>
      </c>
      <c r="BG184" s="22">
        <f t="shared" si="168"/>
        <v>414.39595763230813</v>
      </c>
      <c r="BH184" s="62">
        <f t="shared" si="116"/>
        <v>703.86932329099227</v>
      </c>
      <c r="BI184" s="62">
        <f ca="1">AVERAGE(OFFSET($BH$3,0,0,'Données projet'!$E$11+1,1))-AVERAGE(OFFSET($H$3,0,0,'Données projet'!$E$11+1,1))</f>
        <v>252.45744983674379</v>
      </c>
      <c r="BJ184" s="62">
        <f t="shared" si="146"/>
        <v>283.28099819802776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2.5835897436047035</v>
      </c>
      <c r="BQ184" s="23">
        <f>EXP(-LN(2)/25)*BQ183+(1-EXP(-LN(2)/25))/(LN(2)/25)*Calculateur!BL184*Calculateur!BN184*VLOOKUP('Données projet'!$B$11,Paramètres!$A$1:$I$89,3,0)*0.475*44/12</f>
        <v>0.17875992577162686</v>
      </c>
      <c r="BR184" s="23">
        <f>EXP(-LN(2)/2)*BR183+(1-EXP(-LN(2)/2))/(LN(2)/2)*BL184*BO184*VLOOKUP('Données projet'!$B$11,Paramètres!$A$1:$I$89,3,0)*0.475*44/12</f>
        <v>2.2646683945093054E-18</v>
      </c>
      <c r="BS184" s="24">
        <f t="shared" si="169"/>
        <v>2.7623496693763303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243.99999999999989</v>
      </c>
      <c r="BZ184" s="14">
        <f>BY184*VLOOKUP('Données projet'!$B$12,Paramètres!$A$1:$I$89,3,0)*VLOOKUP('Données projet'!$B$12,Paramètres!$A$1:$I$89,5,0)</f>
        <v>190.31999999999991</v>
      </c>
      <c r="CA184" s="14">
        <f t="shared" si="170"/>
        <v>47.61069337740188</v>
      </c>
      <c r="CB184" s="22">
        <f t="shared" si="171"/>
        <v>414.39595763230813</v>
      </c>
      <c r="CC184" s="62">
        <f t="shared" si="119"/>
        <v>703.86932329099227</v>
      </c>
      <c r="CD184" s="62">
        <f ca="1">AVERAGE(OFFSET($CC$3,0,0,'Données projet'!$E$12+1,1))-AVERAGE(OFFSET($H$3,0,0,'Données projet'!$E$12+1,1))</f>
        <v>252.45744983674379</v>
      </c>
      <c r="CE184" s="62">
        <f t="shared" si="148"/>
        <v>283.28099819802776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2.5835897436047035</v>
      </c>
      <c r="CL184" s="23">
        <f>EXP(-LN(2)/25)*CL183+(1-EXP(-LN(2)/25))/(LN(2)/25)*Calculateur!CG184*Calculateur!CI184*VLOOKUP('Données projet'!$B$12,Paramètres!$A$1:$I$89,3,0)*0.475*44/12</f>
        <v>0.17875992577162686</v>
      </c>
      <c r="CM184" s="23">
        <f>EXP(-LN(2)/2)*CM183+(1-EXP(-LN(2)/2))/(LN(2)/2)*CG184*CJ184*VLOOKUP('Données projet'!$B$12,Paramètres!$A$1:$I$89,3,0)*0.475*44/12</f>
        <v>2.2646683945093054E-18</v>
      </c>
      <c r="CN184" s="24">
        <f t="shared" si="172"/>
        <v>2.7623496693763303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215.46880000000002</v>
      </c>
      <c r="O185" s="14">
        <f>N185*VLOOKUP('Données projet'!$B$9,Paramètres!$A$1:$I$89,3,0)*VLOOKUP('Données projet'!$B$9,Paramètres!$A$1:$I$89,5,0)</f>
        <v>100.83939840000001</v>
      </c>
      <c r="P185" s="14">
        <f t="shared" si="141"/>
        <v>27.161875252139833</v>
      </c>
      <c r="Q185" s="22">
        <f t="shared" si="162"/>
        <v>222.93555161081022</v>
      </c>
      <c r="R185" s="62">
        <f t="shared" si="109"/>
        <v>512.47587907905461</v>
      </c>
      <c r="S185" s="62">
        <f ca="1">AVERAGE(OFFSET($R$3,0,0,'Données projet'!$E$9+1,1))-AVERAGE(OFFSET($H$3,0,0,'Données projet'!$E$9+1,1))</f>
        <v>180.76388336802839</v>
      </c>
      <c r="T185" s="62">
        <f t="shared" si="142"/>
        <v>225.35030757566537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1.8401070703874489</v>
      </c>
      <c r="AA185" s="23">
        <f>EXP(-LN(2)/25)*AA184+(1-EXP(-LN(2)/25))/(LN(2)/25)*Calculateur!V185*Calculateur!X185*VLOOKUP('Données projet'!$B$9,Paramètres!$A$1:$I$89,3,0)*0.475*44/12</f>
        <v>0.33797504398370692</v>
      </c>
      <c r="AB185" s="23">
        <f>EXP(-LN(2)/2)*AB184+(1-EXP(-LN(2)/2))/(LN(2)/2)*V185*Y185*VLOOKUP('Données projet'!$B$9,Paramètres!$A$1:$I$89,3,0)*0.475*44/12</f>
        <v>3.8185045293675638E-18</v>
      </c>
      <c r="AC185" s="24">
        <f t="shared" si="163"/>
        <v>2.178082114371156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243.99999999999989</v>
      </c>
      <c r="AJ185" s="14">
        <f>AI185*VLOOKUP('Données projet'!$B$10,Paramètres!$A$1:$I$89,3,0)*VLOOKUP('Données projet'!$B$10,Paramètres!$A$1:$I$89,5,0)</f>
        <v>190.31999999999991</v>
      </c>
      <c r="AK185" s="14">
        <f t="shared" si="164"/>
        <v>47.61069337740188</v>
      </c>
      <c r="AL185" s="22">
        <f t="shared" si="165"/>
        <v>414.39595763230813</v>
      </c>
      <c r="AM185" s="62">
        <f t="shared" si="113"/>
        <v>703.9362851005526</v>
      </c>
      <c r="AN185" s="62">
        <f ca="1">AVERAGE(OFFSET($AM$3,0,0,'Données projet'!$E$10+1,1))-AVERAGE(OFFSET($H$3,0,0,'Données projet'!$E$10+1,1))</f>
        <v>252.45744983674379</v>
      </c>
      <c r="AO185" s="62">
        <f t="shared" si="144"/>
        <v>283.28099819802776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2.5329271245667582</v>
      </c>
      <c r="AV185" s="23">
        <f>EXP(-LN(2)/25)*AV184+(1-EXP(-LN(2)/25))/(LN(2)/25)*Calculateur!AQ185*Calculateur!AS185*VLOOKUP('Données projet'!$B$10,Paramètres!$A$1:$I$89,3,0)*0.475*44/12</f>
        <v>0.17387172620082578</v>
      </c>
      <c r="AW185" s="23">
        <f>EXP(-LN(2)/2)*AW184+(1-EXP(-LN(2)/2))/(LN(2)/2)*AQ185*AT185*VLOOKUP('Données projet'!$B$10,Paramètres!$A$1:$I$89,3,0)*0.475*44/12</f>
        <v>1.6013623788963813E-18</v>
      </c>
      <c r="AX185" s="23">
        <f t="shared" si="166"/>
        <v>2.706798850767584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243.99999999999989</v>
      </c>
      <c r="BE185" s="14">
        <f>BD185*VLOOKUP('Données projet'!$B$11,Paramètres!$A$1:$I$89,3,0)*VLOOKUP('Données projet'!$B$11,Paramètres!$A$1:$I$89,5,0)</f>
        <v>190.31999999999991</v>
      </c>
      <c r="BF185" s="14">
        <f t="shared" si="167"/>
        <v>47.61069337740188</v>
      </c>
      <c r="BG185" s="22">
        <f t="shared" si="168"/>
        <v>414.39595763230813</v>
      </c>
      <c r="BH185" s="62">
        <f t="shared" si="116"/>
        <v>703.9362851005526</v>
      </c>
      <c r="BI185" s="62">
        <f ca="1">AVERAGE(OFFSET($BH$3,0,0,'Données projet'!$E$11+1,1))-AVERAGE(OFFSET($H$3,0,0,'Données projet'!$E$11+1,1))</f>
        <v>252.45744983674379</v>
      </c>
      <c r="BJ185" s="62">
        <f t="shared" si="146"/>
        <v>283.28099819802776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2.5329271245667582</v>
      </c>
      <c r="BQ185" s="23">
        <f>EXP(-LN(2)/25)*BQ184+(1-EXP(-LN(2)/25))/(LN(2)/25)*Calculateur!BL185*Calculateur!BN185*VLOOKUP('Données projet'!$B$11,Paramètres!$A$1:$I$89,3,0)*0.475*44/12</f>
        <v>0.17387172620082578</v>
      </c>
      <c r="BR185" s="23">
        <f>EXP(-LN(2)/2)*BR184+(1-EXP(-LN(2)/2))/(LN(2)/2)*BL185*BO185*VLOOKUP('Données projet'!$B$11,Paramètres!$A$1:$I$89,3,0)*0.475*44/12</f>
        <v>1.6013623788963813E-18</v>
      </c>
      <c r="BS185" s="24">
        <f t="shared" si="169"/>
        <v>2.706798850767584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243.99999999999989</v>
      </c>
      <c r="BZ185" s="14">
        <f>BY185*VLOOKUP('Données projet'!$B$12,Paramètres!$A$1:$I$89,3,0)*VLOOKUP('Données projet'!$B$12,Paramètres!$A$1:$I$89,5,0)</f>
        <v>190.31999999999991</v>
      </c>
      <c r="CA185" s="14">
        <f t="shared" si="170"/>
        <v>47.61069337740188</v>
      </c>
      <c r="CB185" s="22">
        <f t="shared" si="171"/>
        <v>414.39595763230813</v>
      </c>
      <c r="CC185" s="62">
        <f t="shared" si="119"/>
        <v>703.9362851005526</v>
      </c>
      <c r="CD185" s="62">
        <f ca="1">AVERAGE(OFFSET($CC$3,0,0,'Données projet'!$E$12+1,1))-AVERAGE(OFFSET($H$3,0,0,'Données projet'!$E$12+1,1))</f>
        <v>252.45744983674379</v>
      </c>
      <c r="CE185" s="62">
        <f t="shared" si="148"/>
        <v>283.28099819802776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2.5329271245667582</v>
      </c>
      <c r="CL185" s="23">
        <f>EXP(-LN(2)/25)*CL184+(1-EXP(-LN(2)/25))/(LN(2)/25)*Calculateur!CG185*Calculateur!CI185*VLOOKUP('Données projet'!$B$12,Paramètres!$A$1:$I$89,3,0)*0.475*44/12</f>
        <v>0.17387172620082578</v>
      </c>
      <c r="CM185" s="23">
        <f>EXP(-LN(2)/2)*CM184+(1-EXP(-LN(2)/2))/(LN(2)/2)*CG185*CJ185*VLOOKUP('Données projet'!$B$12,Paramètres!$A$1:$I$89,3,0)*0.475*44/12</f>
        <v>1.6013623788963813E-18</v>
      </c>
      <c r="CN185" s="24">
        <f t="shared" si="172"/>
        <v>2.706798850767584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215.46880000000002</v>
      </c>
      <c r="O186" s="14">
        <f>N186*VLOOKUP('Données projet'!$B$9,Paramètres!$A$1:$I$89,3,0)*VLOOKUP('Données projet'!$B$9,Paramètres!$A$1:$I$89,5,0)</f>
        <v>100.83939840000001</v>
      </c>
      <c r="P186" s="14">
        <f t="shared" si="141"/>
        <v>27.161875252139833</v>
      </c>
      <c r="Q186" s="22">
        <f t="shared" si="162"/>
        <v>222.93555161081022</v>
      </c>
      <c r="R186" s="62">
        <f t="shared" si="109"/>
        <v>512.54167925092315</v>
      </c>
      <c r="S186" s="62">
        <f ca="1">AVERAGE(OFFSET($R$3,0,0,'Données projet'!$E$9+1,1))-AVERAGE(OFFSET($H$3,0,0,'Données projet'!$E$9+1,1))</f>
        <v>180.76388336802839</v>
      </c>
      <c r="T186" s="62">
        <f t="shared" si="142"/>
        <v>225.35030757566537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1.8040236930916407</v>
      </c>
      <c r="AA186" s="23">
        <f>EXP(-LN(2)/25)*AA185+(1-EXP(-LN(2)/25))/(LN(2)/25)*Calculateur!V186*Calculateur!X186*VLOOKUP('Données projet'!$B$9,Paramètres!$A$1:$I$89,3,0)*0.475*44/12</f>
        <v>0.32873309863263733</v>
      </c>
      <c r="AB186" s="23">
        <f>EXP(-LN(2)/2)*AB185+(1-EXP(-LN(2)/2))/(LN(2)/2)*V186*Y186*VLOOKUP('Données projet'!$B$9,Paramètres!$A$1:$I$89,3,0)*0.475*44/12</f>
        <v>2.7000904467073506E-18</v>
      </c>
      <c r="AC186" s="24">
        <f t="shared" si="163"/>
        <v>2.1327567917242778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243.99999999999989</v>
      </c>
      <c r="AJ186" s="14">
        <f>AI186*VLOOKUP('Données projet'!$B$10,Paramètres!$A$1:$I$89,3,0)*VLOOKUP('Données projet'!$B$10,Paramètres!$A$1:$I$89,5,0)</f>
        <v>190.31999999999991</v>
      </c>
      <c r="AK186" s="14">
        <f t="shared" si="164"/>
        <v>47.61069337740188</v>
      </c>
      <c r="AL186" s="22">
        <f t="shared" si="165"/>
        <v>414.39595763230813</v>
      </c>
      <c r="AM186" s="62">
        <f t="shared" si="113"/>
        <v>704.00208527242103</v>
      </c>
      <c r="AN186" s="62">
        <f ca="1">AVERAGE(OFFSET($AM$3,0,0,'Données projet'!$E$10+1,1))-AVERAGE(OFFSET($H$3,0,0,'Données projet'!$E$10+1,1))</f>
        <v>252.45744983674379</v>
      </c>
      <c r="AO186" s="62">
        <f t="shared" si="144"/>
        <v>283.28099819802776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2.4832579685870004</v>
      </c>
      <c r="AV186" s="23">
        <f>EXP(-LN(2)/25)*AV185+(1-EXP(-LN(2)/25))/(LN(2)/25)*Calculateur!AQ186*Calculateur!AS186*VLOOKUP('Données projet'!$B$10,Paramètres!$A$1:$I$89,3,0)*0.475*44/12</f>
        <v>0.1691171947043475</v>
      </c>
      <c r="AW186" s="23">
        <f>EXP(-LN(2)/2)*AW185+(1-EXP(-LN(2)/2))/(LN(2)/2)*AQ186*AT186*VLOOKUP('Données projet'!$B$10,Paramètres!$A$1:$I$89,3,0)*0.475*44/12</f>
        <v>1.1323341972546527E-18</v>
      </c>
      <c r="AX186" s="23">
        <f t="shared" si="166"/>
        <v>2.6523751632913477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243.99999999999989</v>
      </c>
      <c r="BE186" s="14">
        <f>BD186*VLOOKUP('Données projet'!$B$11,Paramètres!$A$1:$I$89,3,0)*VLOOKUP('Données projet'!$B$11,Paramètres!$A$1:$I$89,5,0)</f>
        <v>190.31999999999991</v>
      </c>
      <c r="BF186" s="14">
        <f t="shared" si="167"/>
        <v>47.61069337740188</v>
      </c>
      <c r="BG186" s="22">
        <f t="shared" si="168"/>
        <v>414.39595763230813</v>
      </c>
      <c r="BH186" s="62">
        <f t="shared" si="116"/>
        <v>704.00208527242103</v>
      </c>
      <c r="BI186" s="62">
        <f ca="1">AVERAGE(OFFSET($BH$3,0,0,'Données projet'!$E$11+1,1))-AVERAGE(OFFSET($H$3,0,0,'Données projet'!$E$11+1,1))</f>
        <v>252.45744983674379</v>
      </c>
      <c r="BJ186" s="62">
        <f t="shared" si="146"/>
        <v>283.28099819802776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2.4832579685870004</v>
      </c>
      <c r="BQ186" s="23">
        <f>EXP(-LN(2)/25)*BQ185+(1-EXP(-LN(2)/25))/(LN(2)/25)*Calculateur!BL186*Calculateur!BN186*VLOOKUP('Données projet'!$B$11,Paramètres!$A$1:$I$89,3,0)*0.475*44/12</f>
        <v>0.1691171947043475</v>
      </c>
      <c r="BR186" s="23">
        <f>EXP(-LN(2)/2)*BR185+(1-EXP(-LN(2)/2))/(LN(2)/2)*BL186*BO186*VLOOKUP('Données projet'!$B$11,Paramètres!$A$1:$I$89,3,0)*0.475*44/12</f>
        <v>1.1323341972546527E-18</v>
      </c>
      <c r="BS186" s="24">
        <f t="shared" si="169"/>
        <v>2.6523751632913477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243.99999999999989</v>
      </c>
      <c r="BZ186" s="14">
        <f>BY186*VLOOKUP('Données projet'!$B$12,Paramètres!$A$1:$I$89,3,0)*VLOOKUP('Données projet'!$B$12,Paramètres!$A$1:$I$89,5,0)</f>
        <v>190.31999999999991</v>
      </c>
      <c r="CA186" s="14">
        <f t="shared" si="170"/>
        <v>47.61069337740188</v>
      </c>
      <c r="CB186" s="22">
        <f t="shared" si="171"/>
        <v>414.39595763230813</v>
      </c>
      <c r="CC186" s="62">
        <f t="shared" si="119"/>
        <v>704.00208527242103</v>
      </c>
      <c r="CD186" s="62">
        <f ca="1">AVERAGE(OFFSET($CC$3,0,0,'Données projet'!$E$12+1,1))-AVERAGE(OFFSET($H$3,0,0,'Données projet'!$E$12+1,1))</f>
        <v>252.45744983674379</v>
      </c>
      <c r="CE186" s="62">
        <f t="shared" si="148"/>
        <v>283.28099819802776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2.4832579685870004</v>
      </c>
      <c r="CL186" s="23">
        <f>EXP(-LN(2)/25)*CL185+(1-EXP(-LN(2)/25))/(LN(2)/25)*Calculateur!CG186*Calculateur!CI186*VLOOKUP('Données projet'!$B$12,Paramètres!$A$1:$I$89,3,0)*0.475*44/12</f>
        <v>0.1691171947043475</v>
      </c>
      <c r="CM186" s="23">
        <f>EXP(-LN(2)/2)*CM185+(1-EXP(-LN(2)/2))/(LN(2)/2)*CG186*CJ186*VLOOKUP('Données projet'!$B$12,Paramètres!$A$1:$I$89,3,0)*0.475*44/12</f>
        <v>1.1323341972546527E-18</v>
      </c>
      <c r="CN186" s="24">
        <f t="shared" si="172"/>
        <v>2.6523751632913477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215.46880000000002</v>
      </c>
      <c r="O187" s="14">
        <f>N187*VLOOKUP('Données projet'!$B$9,Paramètres!$A$1:$I$89,3,0)*VLOOKUP('Données projet'!$B$9,Paramètres!$A$1:$I$89,5,0)</f>
        <v>100.83939840000001</v>
      </c>
      <c r="P187" s="14">
        <f t="shared" si="141"/>
        <v>27.161875252139833</v>
      </c>
      <c r="Q187" s="22">
        <f t="shared" si="162"/>
        <v>222.93555161081022</v>
      </c>
      <c r="R187" s="62">
        <f t="shared" si="109"/>
        <v>512.60633793691693</v>
      </c>
      <c r="S187" s="62">
        <f ca="1">AVERAGE(OFFSET($R$3,0,0,'Données projet'!$E$9+1,1))-AVERAGE(OFFSET($H$3,0,0,'Données projet'!$E$9+1,1))</f>
        <v>180.76388336802839</v>
      </c>
      <c r="T187" s="62">
        <f t="shared" si="142"/>
        <v>225.35030757566537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1.7686478888159163</v>
      </c>
      <c r="AA187" s="23">
        <f>EXP(-LN(2)/25)*AA186+(1-EXP(-LN(2)/25))/(LN(2)/25)*Calculateur!V187*Calculateur!X187*VLOOKUP('Données projet'!$B$9,Paramètres!$A$1:$I$89,3,0)*0.475*44/12</f>
        <v>0.31974387476320554</v>
      </c>
      <c r="AB187" s="23">
        <f>EXP(-LN(2)/2)*AB186+(1-EXP(-LN(2)/2))/(LN(2)/2)*V187*Y187*VLOOKUP('Données projet'!$B$9,Paramètres!$A$1:$I$89,3,0)*0.475*44/12</f>
        <v>1.9092522646837819E-18</v>
      </c>
      <c r="AC187" s="24">
        <f t="shared" si="163"/>
        <v>2.0883917635791218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243.99999999999989</v>
      </c>
      <c r="AJ187" s="14">
        <f>AI187*VLOOKUP('Données projet'!$B$10,Paramètres!$A$1:$I$89,3,0)*VLOOKUP('Données projet'!$B$10,Paramètres!$A$1:$I$89,5,0)</f>
        <v>190.31999999999991</v>
      </c>
      <c r="AK187" s="14">
        <f t="shared" si="164"/>
        <v>47.61069337740188</v>
      </c>
      <c r="AL187" s="22">
        <f t="shared" si="165"/>
        <v>414.39595763230813</v>
      </c>
      <c r="AM187" s="62">
        <f t="shared" si="113"/>
        <v>704.06674395841492</v>
      </c>
      <c r="AN187" s="62">
        <f ca="1">AVERAGE(OFFSET($AM$3,0,0,'Données projet'!$E$10+1,1))-AVERAGE(OFFSET($H$3,0,0,'Données projet'!$E$10+1,1))</f>
        <v>252.45744983674379</v>
      </c>
      <c r="AO187" s="62">
        <f t="shared" si="144"/>
        <v>283.28099819802776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2.4345627944608119</v>
      </c>
      <c r="AV187" s="23">
        <f>EXP(-LN(2)/25)*AV186+(1-EXP(-LN(2)/25))/(LN(2)/25)*Calculateur!AQ187*Calculateur!AS187*VLOOKUP('Données projet'!$B$10,Paramètres!$A$1:$I$89,3,0)*0.475*44/12</f>
        <v>0.16449267612167037</v>
      </c>
      <c r="AW187" s="23">
        <f>EXP(-LN(2)/2)*AW186+(1-EXP(-LN(2)/2))/(LN(2)/2)*AQ187*AT187*VLOOKUP('Données projet'!$B$10,Paramètres!$A$1:$I$89,3,0)*0.475*44/12</f>
        <v>8.0068118944819065E-19</v>
      </c>
      <c r="AX187" s="23">
        <f t="shared" si="166"/>
        <v>2.5990554705824822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243.99999999999989</v>
      </c>
      <c r="BE187" s="14">
        <f>BD187*VLOOKUP('Données projet'!$B$11,Paramètres!$A$1:$I$89,3,0)*VLOOKUP('Données projet'!$B$11,Paramètres!$A$1:$I$89,5,0)</f>
        <v>190.31999999999991</v>
      </c>
      <c r="BF187" s="14">
        <f t="shared" si="167"/>
        <v>47.61069337740188</v>
      </c>
      <c r="BG187" s="22">
        <f t="shared" si="168"/>
        <v>414.39595763230813</v>
      </c>
      <c r="BH187" s="62">
        <f t="shared" si="116"/>
        <v>704.06674395841492</v>
      </c>
      <c r="BI187" s="62">
        <f ca="1">AVERAGE(OFFSET($BH$3,0,0,'Données projet'!$E$11+1,1))-AVERAGE(OFFSET($H$3,0,0,'Données projet'!$E$11+1,1))</f>
        <v>252.45744983674379</v>
      </c>
      <c r="BJ187" s="62">
        <f t="shared" si="146"/>
        <v>283.28099819802776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2.4345627944608119</v>
      </c>
      <c r="BQ187" s="23">
        <f>EXP(-LN(2)/25)*BQ186+(1-EXP(-LN(2)/25))/(LN(2)/25)*Calculateur!BL187*Calculateur!BN187*VLOOKUP('Données projet'!$B$11,Paramètres!$A$1:$I$89,3,0)*0.475*44/12</f>
        <v>0.16449267612167037</v>
      </c>
      <c r="BR187" s="23">
        <f>EXP(-LN(2)/2)*BR186+(1-EXP(-LN(2)/2))/(LN(2)/2)*BL187*BO187*VLOOKUP('Données projet'!$B$11,Paramètres!$A$1:$I$89,3,0)*0.475*44/12</f>
        <v>8.0068118944819065E-19</v>
      </c>
      <c r="BS187" s="24">
        <f t="shared" si="169"/>
        <v>2.5990554705824822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243.99999999999989</v>
      </c>
      <c r="BZ187" s="14">
        <f>BY187*VLOOKUP('Données projet'!$B$12,Paramètres!$A$1:$I$89,3,0)*VLOOKUP('Données projet'!$B$12,Paramètres!$A$1:$I$89,5,0)</f>
        <v>190.31999999999991</v>
      </c>
      <c r="CA187" s="14">
        <f t="shared" si="170"/>
        <v>47.61069337740188</v>
      </c>
      <c r="CB187" s="22">
        <f t="shared" si="171"/>
        <v>414.39595763230813</v>
      </c>
      <c r="CC187" s="62">
        <f t="shared" si="119"/>
        <v>704.06674395841492</v>
      </c>
      <c r="CD187" s="62">
        <f ca="1">AVERAGE(OFFSET($CC$3,0,0,'Données projet'!$E$12+1,1))-AVERAGE(OFFSET($H$3,0,0,'Données projet'!$E$12+1,1))</f>
        <v>252.45744983674379</v>
      </c>
      <c r="CE187" s="62">
        <f t="shared" si="148"/>
        <v>283.28099819802776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2.4345627944608119</v>
      </c>
      <c r="CL187" s="23">
        <f>EXP(-LN(2)/25)*CL186+(1-EXP(-LN(2)/25))/(LN(2)/25)*Calculateur!CG187*Calculateur!CI187*VLOOKUP('Données projet'!$B$12,Paramètres!$A$1:$I$89,3,0)*0.475*44/12</f>
        <v>0.16449267612167037</v>
      </c>
      <c r="CM187" s="23">
        <f>EXP(-LN(2)/2)*CM186+(1-EXP(-LN(2)/2))/(LN(2)/2)*CG187*CJ187*VLOOKUP('Données projet'!$B$12,Paramètres!$A$1:$I$89,3,0)*0.475*44/12</f>
        <v>8.0068118944819065E-19</v>
      </c>
      <c r="CN187" s="24">
        <f t="shared" si="172"/>
        <v>2.5990554705824822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215.46880000000002</v>
      </c>
      <c r="O188" s="14">
        <f>N188*VLOOKUP('Données projet'!$B$9,Paramètres!$A$1:$I$89,3,0)*VLOOKUP('Données projet'!$B$9,Paramètres!$A$1:$I$89,5,0)</f>
        <v>100.83939840000001</v>
      </c>
      <c r="P188" s="14">
        <f t="shared" si="141"/>
        <v>27.161875252139833</v>
      </c>
      <c r="Q188" s="22">
        <f t="shared" si="162"/>
        <v>222.93555161081022</v>
      </c>
      <c r="R188" s="62">
        <f t="shared" si="109"/>
        <v>512.66987493926399</v>
      </c>
      <c r="S188" s="62">
        <f ca="1">AVERAGE(OFFSET($R$3,0,0,'Données projet'!$E$9+1,1))-AVERAGE(OFFSET($H$3,0,0,'Données projet'!$E$9+1,1))</f>
        <v>180.76388336802839</v>
      </c>
      <c r="T188" s="62">
        <f t="shared" si="142"/>
        <v>225.35030757566537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1.7339657824849288</v>
      </c>
      <c r="AA188" s="23">
        <f>EXP(-LN(2)/25)*AA187+(1-EXP(-LN(2)/25))/(LN(2)/25)*Calculateur!V188*Calculateur!X188*VLOOKUP('Données projet'!$B$9,Paramètres!$A$1:$I$89,3,0)*0.475*44/12</f>
        <v>0.31100046169320611</v>
      </c>
      <c r="AB188" s="23">
        <f>EXP(-LN(2)/2)*AB187+(1-EXP(-LN(2)/2))/(LN(2)/2)*V188*Y188*VLOOKUP('Données projet'!$B$9,Paramètres!$A$1:$I$89,3,0)*0.475*44/12</f>
        <v>1.3500452233536753E-18</v>
      </c>
      <c r="AC188" s="24">
        <f t="shared" si="163"/>
        <v>2.0449662441781351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243.99999999999989</v>
      </c>
      <c r="AJ188" s="14">
        <f>AI188*VLOOKUP('Données projet'!$B$10,Paramètres!$A$1:$I$89,3,0)*VLOOKUP('Données projet'!$B$10,Paramètres!$A$1:$I$89,5,0)</f>
        <v>190.31999999999991</v>
      </c>
      <c r="AK188" s="14">
        <f t="shared" si="164"/>
        <v>47.61069337740188</v>
      </c>
      <c r="AL188" s="22">
        <f t="shared" si="165"/>
        <v>414.39595763230813</v>
      </c>
      <c r="AM188" s="62">
        <f t="shared" si="113"/>
        <v>704.13028096076187</v>
      </c>
      <c r="AN188" s="62">
        <f ca="1">AVERAGE(OFFSET($AM$3,0,0,'Données projet'!$E$10+1,1))-AVERAGE(OFFSET($H$3,0,0,'Données projet'!$E$10+1,1))</f>
        <v>252.45744983674379</v>
      </c>
      <c r="AO188" s="62">
        <f t="shared" si="144"/>
        <v>283.28099819802776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2.3868225029981147</v>
      </c>
      <c r="AV188" s="23">
        <f>EXP(-LN(2)/25)*AV187+(1-EXP(-LN(2)/25))/(LN(2)/25)*Calculateur!AQ188*Calculateur!AS188*VLOOKUP('Données projet'!$B$10,Paramètres!$A$1:$I$89,3,0)*0.475*44/12</f>
        <v>0.1599946152428294</v>
      </c>
      <c r="AW188" s="23">
        <f>EXP(-LN(2)/2)*AW187+(1-EXP(-LN(2)/2))/(LN(2)/2)*AQ188*AT188*VLOOKUP('Données projet'!$B$10,Paramètres!$A$1:$I$89,3,0)*0.475*44/12</f>
        <v>5.6616709862732634E-19</v>
      </c>
      <c r="AX188" s="23">
        <f t="shared" si="166"/>
        <v>2.546817118240944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243.99999999999989</v>
      </c>
      <c r="BE188" s="14">
        <f>BD188*VLOOKUP('Données projet'!$B$11,Paramètres!$A$1:$I$89,3,0)*VLOOKUP('Données projet'!$B$11,Paramètres!$A$1:$I$89,5,0)</f>
        <v>190.31999999999991</v>
      </c>
      <c r="BF188" s="14">
        <f t="shared" si="167"/>
        <v>47.61069337740188</v>
      </c>
      <c r="BG188" s="22">
        <f t="shared" si="168"/>
        <v>414.39595763230813</v>
      </c>
      <c r="BH188" s="62">
        <f t="shared" si="116"/>
        <v>704.13028096076187</v>
      </c>
      <c r="BI188" s="62">
        <f ca="1">AVERAGE(OFFSET($BH$3,0,0,'Données projet'!$E$11+1,1))-AVERAGE(OFFSET($H$3,0,0,'Données projet'!$E$11+1,1))</f>
        <v>252.45744983674379</v>
      </c>
      <c r="BJ188" s="62">
        <f t="shared" si="146"/>
        <v>283.28099819802776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2.3868225029981147</v>
      </c>
      <c r="BQ188" s="23">
        <f>EXP(-LN(2)/25)*BQ187+(1-EXP(-LN(2)/25))/(LN(2)/25)*Calculateur!BL188*Calculateur!BN188*VLOOKUP('Données projet'!$B$11,Paramètres!$A$1:$I$89,3,0)*0.475*44/12</f>
        <v>0.1599946152428294</v>
      </c>
      <c r="BR188" s="23">
        <f>EXP(-LN(2)/2)*BR187+(1-EXP(-LN(2)/2))/(LN(2)/2)*BL188*BO188*VLOOKUP('Données projet'!$B$11,Paramètres!$A$1:$I$89,3,0)*0.475*44/12</f>
        <v>5.6616709862732634E-19</v>
      </c>
      <c r="BS188" s="24">
        <f t="shared" si="169"/>
        <v>2.546817118240944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243.99999999999989</v>
      </c>
      <c r="BZ188" s="14">
        <f>BY188*VLOOKUP('Données projet'!$B$12,Paramètres!$A$1:$I$89,3,0)*VLOOKUP('Données projet'!$B$12,Paramètres!$A$1:$I$89,5,0)</f>
        <v>190.31999999999991</v>
      </c>
      <c r="CA188" s="14">
        <f t="shared" si="170"/>
        <v>47.61069337740188</v>
      </c>
      <c r="CB188" s="22">
        <f t="shared" si="171"/>
        <v>414.39595763230813</v>
      </c>
      <c r="CC188" s="62">
        <f t="shared" si="119"/>
        <v>704.13028096076187</v>
      </c>
      <c r="CD188" s="62">
        <f ca="1">AVERAGE(OFFSET($CC$3,0,0,'Données projet'!$E$12+1,1))-AVERAGE(OFFSET($H$3,0,0,'Données projet'!$E$12+1,1))</f>
        <v>252.45744983674379</v>
      </c>
      <c r="CE188" s="62">
        <f t="shared" si="148"/>
        <v>283.28099819802776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2.3868225029981147</v>
      </c>
      <c r="CL188" s="23">
        <f>EXP(-LN(2)/25)*CL187+(1-EXP(-LN(2)/25))/(LN(2)/25)*Calculateur!CG188*Calculateur!CI188*VLOOKUP('Données projet'!$B$12,Paramètres!$A$1:$I$89,3,0)*0.475*44/12</f>
        <v>0.1599946152428294</v>
      </c>
      <c r="CM188" s="23">
        <f>EXP(-LN(2)/2)*CM187+(1-EXP(-LN(2)/2))/(LN(2)/2)*CG188*CJ188*VLOOKUP('Données projet'!$B$12,Paramètres!$A$1:$I$89,3,0)*0.475*44/12</f>
        <v>5.6616709862732634E-19</v>
      </c>
      <c r="CN188" s="24">
        <f t="shared" si="172"/>
        <v>2.546817118240944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215.46880000000002</v>
      </c>
      <c r="O189" s="14">
        <f>N189*VLOOKUP('Données projet'!$B$9,Paramètres!$A$1:$I$89,3,0)*VLOOKUP('Données projet'!$B$9,Paramètres!$A$1:$I$89,5,0)</f>
        <v>100.83939840000001</v>
      </c>
      <c r="P189" s="14">
        <f t="shared" si="141"/>
        <v>27.161875252139833</v>
      </c>
      <c r="Q189" s="22">
        <f t="shared" si="162"/>
        <v>222.93555161081022</v>
      </c>
      <c r="R189" s="62">
        <f t="shared" si="109"/>
        <v>512.7323097166676</v>
      </c>
      <c r="S189" s="62">
        <f ca="1">AVERAGE(OFFSET($R$3,0,0,'Données projet'!$E$9+1,1))-AVERAGE(OFFSET($H$3,0,0,'Données projet'!$E$9+1,1))</f>
        <v>180.76388336802839</v>
      </c>
      <c r="T189" s="62">
        <f t="shared" si="142"/>
        <v>225.35030757566537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1.6999637711050959</v>
      </c>
      <c r="AA189" s="23">
        <f>EXP(-LN(2)/25)*AA188+(1-EXP(-LN(2)/25))/(LN(2)/25)*Calculateur!V189*Calculateur!X189*VLOOKUP('Données projet'!$B$9,Paramètres!$A$1:$I$89,3,0)*0.475*44/12</f>
        <v>0.30249613771340189</v>
      </c>
      <c r="AB189" s="23">
        <f>EXP(-LN(2)/2)*AB188+(1-EXP(-LN(2)/2))/(LN(2)/2)*V189*Y189*VLOOKUP('Données projet'!$B$9,Paramètres!$A$1:$I$89,3,0)*0.475*44/12</f>
        <v>9.5462613234189095E-19</v>
      </c>
      <c r="AC189" s="24">
        <f t="shared" si="163"/>
        <v>2.0024599088184978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243.99999999999989</v>
      </c>
      <c r="AJ189" s="14">
        <f>AI189*VLOOKUP('Données projet'!$B$10,Paramètres!$A$1:$I$89,3,0)*VLOOKUP('Données projet'!$B$10,Paramètres!$A$1:$I$89,5,0)</f>
        <v>190.31999999999991</v>
      </c>
      <c r="AK189" s="14">
        <f t="shared" si="164"/>
        <v>47.61069337740188</v>
      </c>
      <c r="AL189" s="22">
        <f t="shared" si="165"/>
        <v>414.39595763230813</v>
      </c>
      <c r="AM189" s="62">
        <f t="shared" si="113"/>
        <v>704.19271573816559</v>
      </c>
      <c r="AN189" s="62">
        <f ca="1">AVERAGE(OFFSET($AM$3,0,0,'Données projet'!$E$10+1,1))-AVERAGE(OFFSET($H$3,0,0,'Données projet'!$E$10+1,1))</f>
        <v>252.45744983674379</v>
      </c>
      <c r="AO189" s="62">
        <f t="shared" si="144"/>
        <v>283.28099819802776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2.3400183695322982</v>
      </c>
      <c r="AV189" s="23">
        <f>EXP(-LN(2)/25)*AV188+(1-EXP(-LN(2)/25))/(LN(2)/25)*Calculateur!AQ189*Calculateur!AS189*VLOOKUP('Données projet'!$B$10,Paramètres!$A$1:$I$89,3,0)*0.475*44/12</f>
        <v>0.15561955407526309</v>
      </c>
      <c r="AW189" s="23">
        <f>EXP(-LN(2)/2)*AW188+(1-EXP(-LN(2)/2))/(LN(2)/2)*AQ189*AT189*VLOOKUP('Données projet'!$B$10,Paramètres!$A$1:$I$89,3,0)*0.475*44/12</f>
        <v>4.0034059472409533E-19</v>
      </c>
      <c r="AX189" s="23">
        <f t="shared" si="166"/>
        <v>2.4956379236075614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243.99999999999989</v>
      </c>
      <c r="BE189" s="14">
        <f>BD189*VLOOKUP('Données projet'!$B$11,Paramètres!$A$1:$I$89,3,0)*VLOOKUP('Données projet'!$B$11,Paramètres!$A$1:$I$89,5,0)</f>
        <v>190.31999999999991</v>
      </c>
      <c r="BF189" s="14">
        <f t="shared" si="167"/>
        <v>47.61069337740188</v>
      </c>
      <c r="BG189" s="22">
        <f t="shared" si="168"/>
        <v>414.39595763230813</v>
      </c>
      <c r="BH189" s="62">
        <f t="shared" si="116"/>
        <v>704.19271573816559</v>
      </c>
      <c r="BI189" s="62">
        <f ca="1">AVERAGE(OFFSET($BH$3,0,0,'Données projet'!$E$11+1,1))-AVERAGE(OFFSET($H$3,0,0,'Données projet'!$E$11+1,1))</f>
        <v>252.45744983674379</v>
      </c>
      <c r="BJ189" s="62">
        <f t="shared" si="146"/>
        <v>283.28099819802776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2.3400183695322982</v>
      </c>
      <c r="BQ189" s="23">
        <f>EXP(-LN(2)/25)*BQ188+(1-EXP(-LN(2)/25))/(LN(2)/25)*Calculateur!BL189*Calculateur!BN189*VLOOKUP('Données projet'!$B$11,Paramètres!$A$1:$I$89,3,0)*0.475*44/12</f>
        <v>0.15561955407526309</v>
      </c>
      <c r="BR189" s="23">
        <f>EXP(-LN(2)/2)*BR188+(1-EXP(-LN(2)/2))/(LN(2)/2)*BL189*BO189*VLOOKUP('Données projet'!$B$11,Paramètres!$A$1:$I$89,3,0)*0.475*44/12</f>
        <v>4.0034059472409533E-19</v>
      </c>
      <c r="BS189" s="24">
        <f t="shared" si="169"/>
        <v>2.4956379236075614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243.99999999999989</v>
      </c>
      <c r="BZ189" s="14">
        <f>BY189*VLOOKUP('Données projet'!$B$12,Paramètres!$A$1:$I$89,3,0)*VLOOKUP('Données projet'!$B$12,Paramètres!$A$1:$I$89,5,0)</f>
        <v>190.31999999999991</v>
      </c>
      <c r="CA189" s="14">
        <f t="shared" si="170"/>
        <v>47.61069337740188</v>
      </c>
      <c r="CB189" s="22">
        <f t="shared" si="171"/>
        <v>414.39595763230813</v>
      </c>
      <c r="CC189" s="62">
        <f t="shared" si="119"/>
        <v>704.19271573816559</v>
      </c>
      <c r="CD189" s="62">
        <f ca="1">AVERAGE(OFFSET($CC$3,0,0,'Données projet'!$E$12+1,1))-AVERAGE(OFFSET($H$3,0,0,'Données projet'!$E$12+1,1))</f>
        <v>252.45744983674379</v>
      </c>
      <c r="CE189" s="62">
        <f t="shared" si="148"/>
        <v>283.28099819802776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2.3400183695322982</v>
      </c>
      <c r="CL189" s="23">
        <f>EXP(-LN(2)/25)*CL188+(1-EXP(-LN(2)/25))/(LN(2)/25)*Calculateur!CG189*Calculateur!CI189*VLOOKUP('Données projet'!$B$12,Paramètres!$A$1:$I$89,3,0)*0.475*44/12</f>
        <v>0.15561955407526309</v>
      </c>
      <c r="CM189" s="23">
        <f>EXP(-LN(2)/2)*CM188+(1-EXP(-LN(2)/2))/(LN(2)/2)*CG189*CJ189*VLOOKUP('Données projet'!$B$12,Paramètres!$A$1:$I$89,3,0)*0.475*44/12</f>
        <v>4.0034059472409533E-19</v>
      </c>
      <c r="CN189" s="24">
        <f t="shared" si="172"/>
        <v>2.4956379236075614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215.46880000000002</v>
      </c>
      <c r="O190" s="14">
        <f>N190*VLOOKUP('Données projet'!$B$9,Paramètres!$A$1:$I$89,3,0)*VLOOKUP('Données projet'!$B$9,Paramètres!$A$1:$I$89,5,0)</f>
        <v>100.83939840000001</v>
      </c>
      <c r="P190" s="14">
        <f t="shared" si="141"/>
        <v>27.161875252139833</v>
      </c>
      <c r="Q190" s="22">
        <f t="shared" si="162"/>
        <v>222.93555161081022</v>
      </c>
      <c r="R190" s="62">
        <f t="shared" si="109"/>
        <v>512.79366139026661</v>
      </c>
      <c r="S190" s="62">
        <f ca="1">AVERAGE(OFFSET($R$3,0,0,'Données projet'!$E$9+1,1))-AVERAGE(OFFSET($H$3,0,0,'Données projet'!$E$9+1,1))</f>
        <v>180.76388336802839</v>
      </c>
      <c r="T190" s="62">
        <f t="shared" si="142"/>
        <v>225.35030757566537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1.6666285184292424</v>
      </c>
      <c r="AA190" s="23">
        <f>EXP(-LN(2)/25)*AA189+(1-EXP(-LN(2)/25))/(LN(2)/25)*Calculateur!V190*Calculateur!X190*VLOOKUP('Données projet'!$B$9,Paramètres!$A$1:$I$89,3,0)*0.475*44/12</f>
        <v>0.29422436492004839</v>
      </c>
      <c r="AB190" s="23">
        <f>EXP(-LN(2)/2)*AB189+(1-EXP(-LN(2)/2))/(LN(2)/2)*V190*Y190*VLOOKUP('Données projet'!$B$9,Paramètres!$A$1:$I$89,3,0)*0.475*44/12</f>
        <v>6.7502261167683765E-19</v>
      </c>
      <c r="AC190" s="24">
        <f t="shared" si="163"/>
        <v>1.9608528833492909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243.99999999999989</v>
      </c>
      <c r="AJ190" s="14">
        <f>AI190*VLOOKUP('Données projet'!$B$10,Paramètres!$A$1:$I$89,3,0)*VLOOKUP('Données projet'!$B$10,Paramètres!$A$1:$I$89,5,0)</f>
        <v>190.31999999999991</v>
      </c>
      <c r="AK190" s="14">
        <f t="shared" si="164"/>
        <v>47.61069337740188</v>
      </c>
      <c r="AL190" s="22">
        <f t="shared" si="165"/>
        <v>414.39595763230813</v>
      </c>
      <c r="AM190" s="62">
        <f t="shared" si="113"/>
        <v>704.25406741176448</v>
      </c>
      <c r="AN190" s="62">
        <f ca="1">AVERAGE(OFFSET($AM$3,0,0,'Données projet'!$E$10+1,1))-AVERAGE(OFFSET($H$3,0,0,'Données projet'!$E$10+1,1))</f>
        <v>252.45744983674379</v>
      </c>
      <c r="AO190" s="62">
        <f t="shared" si="144"/>
        <v>283.28099819802776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2.2941320365760443</v>
      </c>
      <c r="AV190" s="23">
        <f>EXP(-LN(2)/25)*AV189+(1-EXP(-LN(2)/25))/(LN(2)/25)*Calculateur!AQ190*Calculateur!AS190*VLOOKUP('Données projet'!$B$10,Paramètres!$A$1:$I$89,3,0)*0.475*44/12</f>
        <v>0.15136412918539835</v>
      </c>
      <c r="AW190" s="23">
        <f>EXP(-LN(2)/2)*AW189+(1-EXP(-LN(2)/2))/(LN(2)/2)*AQ190*AT190*VLOOKUP('Données projet'!$B$10,Paramètres!$A$1:$I$89,3,0)*0.475*44/12</f>
        <v>2.8308354931366317E-19</v>
      </c>
      <c r="AX190" s="23">
        <f t="shared" si="166"/>
        <v>2.4454961657614427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243.99999999999989</v>
      </c>
      <c r="BE190" s="14">
        <f>BD190*VLOOKUP('Données projet'!$B$11,Paramètres!$A$1:$I$89,3,0)*VLOOKUP('Données projet'!$B$11,Paramètres!$A$1:$I$89,5,0)</f>
        <v>190.31999999999991</v>
      </c>
      <c r="BF190" s="14">
        <f t="shared" si="167"/>
        <v>47.61069337740188</v>
      </c>
      <c r="BG190" s="22">
        <f t="shared" si="168"/>
        <v>414.39595763230813</v>
      </c>
      <c r="BH190" s="62">
        <f t="shared" si="116"/>
        <v>704.25406741176448</v>
      </c>
      <c r="BI190" s="62">
        <f ca="1">AVERAGE(OFFSET($BH$3,0,0,'Données projet'!$E$11+1,1))-AVERAGE(OFFSET($H$3,0,0,'Données projet'!$E$11+1,1))</f>
        <v>252.45744983674379</v>
      </c>
      <c r="BJ190" s="62">
        <f t="shared" si="146"/>
        <v>283.28099819802776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2.2941320365760443</v>
      </c>
      <c r="BQ190" s="23">
        <f>EXP(-LN(2)/25)*BQ189+(1-EXP(-LN(2)/25))/(LN(2)/25)*Calculateur!BL190*Calculateur!BN190*VLOOKUP('Données projet'!$B$11,Paramètres!$A$1:$I$89,3,0)*0.475*44/12</f>
        <v>0.15136412918539835</v>
      </c>
      <c r="BR190" s="23">
        <f>EXP(-LN(2)/2)*BR189+(1-EXP(-LN(2)/2))/(LN(2)/2)*BL190*BO190*VLOOKUP('Données projet'!$B$11,Paramètres!$A$1:$I$89,3,0)*0.475*44/12</f>
        <v>2.8308354931366317E-19</v>
      </c>
      <c r="BS190" s="24">
        <f t="shared" si="169"/>
        <v>2.4454961657614427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243.99999999999989</v>
      </c>
      <c r="BZ190" s="14">
        <f>BY190*VLOOKUP('Données projet'!$B$12,Paramètres!$A$1:$I$89,3,0)*VLOOKUP('Données projet'!$B$12,Paramètres!$A$1:$I$89,5,0)</f>
        <v>190.31999999999991</v>
      </c>
      <c r="CA190" s="14">
        <f t="shared" si="170"/>
        <v>47.61069337740188</v>
      </c>
      <c r="CB190" s="22">
        <f t="shared" si="171"/>
        <v>414.39595763230813</v>
      </c>
      <c r="CC190" s="62">
        <f t="shared" si="119"/>
        <v>704.25406741176448</v>
      </c>
      <c r="CD190" s="62">
        <f ca="1">AVERAGE(OFFSET($CC$3,0,0,'Données projet'!$E$12+1,1))-AVERAGE(OFFSET($H$3,0,0,'Données projet'!$E$12+1,1))</f>
        <v>252.45744983674379</v>
      </c>
      <c r="CE190" s="62">
        <f t="shared" si="148"/>
        <v>283.28099819802776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2.2941320365760443</v>
      </c>
      <c r="CL190" s="23">
        <f>EXP(-LN(2)/25)*CL189+(1-EXP(-LN(2)/25))/(LN(2)/25)*Calculateur!CG190*Calculateur!CI190*VLOOKUP('Données projet'!$B$12,Paramètres!$A$1:$I$89,3,0)*0.475*44/12</f>
        <v>0.15136412918539835</v>
      </c>
      <c r="CM190" s="23">
        <f>EXP(-LN(2)/2)*CM189+(1-EXP(-LN(2)/2))/(LN(2)/2)*CG190*CJ190*VLOOKUP('Données projet'!$B$12,Paramètres!$A$1:$I$89,3,0)*0.475*44/12</f>
        <v>2.8308354931366317E-19</v>
      </c>
      <c r="CN190" s="24">
        <f t="shared" si="172"/>
        <v>2.4454961657614427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215.46880000000002</v>
      </c>
      <c r="O191" s="14">
        <f>N191*VLOOKUP('Données projet'!$B$9,Paramètres!$A$1:$I$89,3,0)*VLOOKUP('Données projet'!$B$9,Paramètres!$A$1:$I$89,5,0)</f>
        <v>100.83939840000001</v>
      </c>
      <c r="P191" s="14">
        <f t="shared" si="141"/>
        <v>27.161875252139833</v>
      </c>
      <c r="Q191" s="22">
        <f t="shared" si="162"/>
        <v>222.93555161081022</v>
      </c>
      <c r="R191" s="62">
        <f t="shared" si="109"/>
        <v>512.85394874949043</v>
      </c>
      <c r="S191" s="62">
        <f ca="1">AVERAGE(OFFSET($R$3,0,0,'Données projet'!$E$9+1,1))-AVERAGE(OFFSET($H$3,0,0,'Données projet'!$E$9+1,1))</f>
        <v>180.76388336802839</v>
      </c>
      <c r="T191" s="62">
        <f t="shared" si="142"/>
        <v>225.35030757566537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1.6339469497258658</v>
      </c>
      <c r="AA191" s="23">
        <f>EXP(-LN(2)/25)*AA190+(1-EXP(-LN(2)/25))/(LN(2)/25)*Calculateur!V191*Calculateur!X191*VLOOKUP('Données projet'!$B$9,Paramètres!$A$1:$I$89,3,0)*0.475*44/12</f>
        <v>0.28617878418872278</v>
      </c>
      <c r="AB191" s="23">
        <f>EXP(-LN(2)/2)*AB190+(1-EXP(-LN(2)/2))/(LN(2)/2)*V191*Y191*VLOOKUP('Données projet'!$B$9,Paramètres!$A$1:$I$89,3,0)*0.475*44/12</f>
        <v>4.7731306617094548E-19</v>
      </c>
      <c r="AC191" s="24">
        <f t="shared" si="163"/>
        <v>1.9201257339145887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243.99999999999989</v>
      </c>
      <c r="AJ191" s="14">
        <f>AI191*VLOOKUP('Données projet'!$B$10,Paramètres!$A$1:$I$89,3,0)*VLOOKUP('Données projet'!$B$10,Paramètres!$A$1:$I$89,5,0)</f>
        <v>190.31999999999991</v>
      </c>
      <c r="AK191" s="14">
        <f t="shared" si="164"/>
        <v>47.61069337740188</v>
      </c>
      <c r="AL191" s="22">
        <f t="shared" si="165"/>
        <v>414.39595763230813</v>
      </c>
      <c r="AM191" s="62">
        <f t="shared" si="113"/>
        <v>704.3143547709883</v>
      </c>
      <c r="AN191" s="62">
        <f ca="1">AVERAGE(OFFSET($AM$3,0,0,'Données projet'!$E$10+1,1))-AVERAGE(OFFSET($H$3,0,0,'Données projet'!$E$10+1,1))</f>
        <v>252.45744983674379</v>
      </c>
      <c r="AO191" s="62">
        <f t="shared" si="144"/>
        <v>283.28099819802776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2.2491455066211627</v>
      </c>
      <c r="AV191" s="23">
        <f>EXP(-LN(2)/25)*AV190+(1-EXP(-LN(2)/25))/(LN(2)/25)*Calculateur!AQ191*Calculateur!AS191*VLOOKUP('Données projet'!$B$10,Paramètres!$A$1:$I$89,3,0)*0.475*44/12</f>
        <v>0.14722506911293001</v>
      </c>
      <c r="AW191" s="23">
        <f>EXP(-LN(2)/2)*AW190+(1-EXP(-LN(2)/2))/(LN(2)/2)*AQ191*AT191*VLOOKUP('Données projet'!$B$10,Paramètres!$A$1:$I$89,3,0)*0.475*44/12</f>
        <v>2.0017029736204766E-19</v>
      </c>
      <c r="AX191" s="23">
        <f t="shared" si="166"/>
        <v>2.396370575734093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243.99999999999989</v>
      </c>
      <c r="BE191" s="14">
        <f>BD191*VLOOKUP('Données projet'!$B$11,Paramètres!$A$1:$I$89,3,0)*VLOOKUP('Données projet'!$B$11,Paramètres!$A$1:$I$89,5,0)</f>
        <v>190.31999999999991</v>
      </c>
      <c r="BF191" s="14">
        <f t="shared" si="167"/>
        <v>47.61069337740188</v>
      </c>
      <c r="BG191" s="22">
        <f t="shared" si="168"/>
        <v>414.39595763230813</v>
      </c>
      <c r="BH191" s="62">
        <f t="shared" si="116"/>
        <v>704.3143547709883</v>
      </c>
      <c r="BI191" s="62">
        <f ca="1">AVERAGE(OFFSET($BH$3,0,0,'Données projet'!$E$11+1,1))-AVERAGE(OFFSET($H$3,0,0,'Données projet'!$E$11+1,1))</f>
        <v>252.45744983674379</v>
      </c>
      <c r="BJ191" s="62">
        <f t="shared" si="146"/>
        <v>283.28099819802776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2.2491455066211627</v>
      </c>
      <c r="BQ191" s="23">
        <f>EXP(-LN(2)/25)*BQ190+(1-EXP(-LN(2)/25))/(LN(2)/25)*Calculateur!BL191*Calculateur!BN191*VLOOKUP('Données projet'!$B$11,Paramètres!$A$1:$I$89,3,0)*0.475*44/12</f>
        <v>0.14722506911293001</v>
      </c>
      <c r="BR191" s="23">
        <f>EXP(-LN(2)/2)*BR190+(1-EXP(-LN(2)/2))/(LN(2)/2)*BL191*BO191*VLOOKUP('Données projet'!$B$11,Paramètres!$A$1:$I$89,3,0)*0.475*44/12</f>
        <v>2.0017029736204766E-19</v>
      </c>
      <c r="BS191" s="24">
        <f t="shared" si="169"/>
        <v>2.396370575734093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243.99999999999989</v>
      </c>
      <c r="BZ191" s="14">
        <f>BY191*VLOOKUP('Données projet'!$B$12,Paramètres!$A$1:$I$89,3,0)*VLOOKUP('Données projet'!$B$12,Paramètres!$A$1:$I$89,5,0)</f>
        <v>190.31999999999991</v>
      </c>
      <c r="CA191" s="14">
        <f t="shared" si="170"/>
        <v>47.61069337740188</v>
      </c>
      <c r="CB191" s="22">
        <f t="shared" si="171"/>
        <v>414.39595763230813</v>
      </c>
      <c r="CC191" s="62">
        <f t="shared" si="119"/>
        <v>704.3143547709883</v>
      </c>
      <c r="CD191" s="62">
        <f ca="1">AVERAGE(OFFSET($CC$3,0,0,'Données projet'!$E$12+1,1))-AVERAGE(OFFSET($H$3,0,0,'Données projet'!$E$12+1,1))</f>
        <v>252.45744983674379</v>
      </c>
      <c r="CE191" s="62">
        <f t="shared" si="148"/>
        <v>283.28099819802776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2.2491455066211627</v>
      </c>
      <c r="CL191" s="23">
        <f>EXP(-LN(2)/25)*CL190+(1-EXP(-LN(2)/25))/(LN(2)/25)*Calculateur!CG191*Calculateur!CI191*VLOOKUP('Données projet'!$B$12,Paramètres!$A$1:$I$89,3,0)*0.475*44/12</f>
        <v>0.14722506911293001</v>
      </c>
      <c r="CM191" s="23">
        <f>EXP(-LN(2)/2)*CM190+(1-EXP(-LN(2)/2))/(LN(2)/2)*CG191*CJ191*VLOOKUP('Données projet'!$B$12,Paramètres!$A$1:$I$89,3,0)*0.475*44/12</f>
        <v>2.0017029736204766E-19</v>
      </c>
      <c r="CN191" s="24">
        <f t="shared" si="172"/>
        <v>2.396370575734093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215.46880000000002</v>
      </c>
      <c r="O192" s="14">
        <f>N192*VLOOKUP('Données projet'!$B$9,Paramètres!$A$1:$I$89,3,0)*VLOOKUP('Données projet'!$B$9,Paramètres!$A$1:$I$89,5,0)</f>
        <v>100.83939840000001</v>
      </c>
      <c r="P192" s="14">
        <f t="shared" si="141"/>
        <v>27.161875252139833</v>
      </c>
      <c r="Q192" s="22">
        <f t="shared" si="162"/>
        <v>222.93555161081022</v>
      </c>
      <c r="R192" s="62">
        <f t="shared" si="109"/>
        <v>512.91319025781411</v>
      </c>
      <c r="S192" s="62">
        <f ca="1">AVERAGE(OFFSET($R$3,0,0,'Données projet'!$E$9+1,1))-AVERAGE(OFFSET($H$3,0,0,'Données projet'!$E$9+1,1))</f>
        <v>180.76388336802839</v>
      </c>
      <c r="T192" s="62">
        <f t="shared" si="142"/>
        <v>225.35030757566537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1.6019062466509739</v>
      </c>
      <c r="AA192" s="23">
        <f>EXP(-LN(2)/25)*AA191+(1-EXP(-LN(2)/25))/(LN(2)/25)*Calculateur!V192*Calculateur!X192*VLOOKUP('Données projet'!$B$9,Paramètres!$A$1:$I$89,3,0)*0.475*44/12</f>
        <v>0.27835321028559395</v>
      </c>
      <c r="AB192" s="23">
        <f>EXP(-LN(2)/2)*AB191+(1-EXP(-LN(2)/2))/(LN(2)/2)*V192*Y192*VLOOKUP('Données projet'!$B$9,Paramètres!$A$1:$I$89,3,0)*0.475*44/12</f>
        <v>3.3751130583841883E-19</v>
      </c>
      <c r="AC192" s="24">
        <f t="shared" si="163"/>
        <v>1.8802594569365678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243.99999999999989</v>
      </c>
      <c r="AJ192" s="14">
        <f>AI192*VLOOKUP('Données projet'!$B$10,Paramètres!$A$1:$I$89,3,0)*VLOOKUP('Données projet'!$B$10,Paramètres!$A$1:$I$89,5,0)</f>
        <v>190.31999999999991</v>
      </c>
      <c r="AK192" s="14">
        <f t="shared" si="164"/>
        <v>47.61069337740188</v>
      </c>
      <c r="AL192" s="22">
        <f t="shared" si="165"/>
        <v>414.39595763230813</v>
      </c>
      <c r="AM192" s="62">
        <f t="shared" si="113"/>
        <v>704.37359627931198</v>
      </c>
      <c r="AN192" s="62">
        <f ca="1">AVERAGE(OFFSET($AM$3,0,0,'Données projet'!$E$10+1,1))-AVERAGE(OFFSET($H$3,0,0,'Données projet'!$E$10+1,1))</f>
        <v>252.45744983674379</v>
      </c>
      <c r="AO192" s="62">
        <f t="shared" si="144"/>
        <v>283.28099819802776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2.2050411350796226</v>
      </c>
      <c r="AV192" s="23">
        <f>EXP(-LN(2)/25)*AV191+(1-EXP(-LN(2)/25))/(LN(2)/25)*Calculateur!AQ192*Calculateur!AS192*VLOOKUP('Données projet'!$B$10,Paramètres!$A$1:$I$89,3,0)*0.475*44/12</f>
        <v>0.14319919185580704</v>
      </c>
      <c r="AW192" s="23">
        <f>EXP(-LN(2)/2)*AW191+(1-EXP(-LN(2)/2))/(LN(2)/2)*AQ192*AT192*VLOOKUP('Données projet'!$B$10,Paramètres!$A$1:$I$89,3,0)*0.475*44/12</f>
        <v>1.4154177465683159E-19</v>
      </c>
      <c r="AX192" s="23">
        <f t="shared" si="166"/>
        <v>2.3482403269354295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243.99999999999989</v>
      </c>
      <c r="BE192" s="14">
        <f>BD192*VLOOKUP('Données projet'!$B$11,Paramètres!$A$1:$I$89,3,0)*VLOOKUP('Données projet'!$B$11,Paramètres!$A$1:$I$89,5,0)</f>
        <v>190.31999999999991</v>
      </c>
      <c r="BF192" s="14">
        <f t="shared" si="167"/>
        <v>47.61069337740188</v>
      </c>
      <c r="BG192" s="22">
        <f t="shared" si="168"/>
        <v>414.39595763230813</v>
      </c>
      <c r="BH192" s="62">
        <f t="shared" si="116"/>
        <v>704.37359627931198</v>
      </c>
      <c r="BI192" s="62">
        <f ca="1">AVERAGE(OFFSET($BH$3,0,0,'Données projet'!$E$11+1,1))-AVERAGE(OFFSET($H$3,0,0,'Données projet'!$E$11+1,1))</f>
        <v>252.45744983674379</v>
      </c>
      <c r="BJ192" s="62">
        <f t="shared" si="146"/>
        <v>283.28099819802776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2.2050411350796226</v>
      </c>
      <c r="BQ192" s="23">
        <f>EXP(-LN(2)/25)*BQ191+(1-EXP(-LN(2)/25))/(LN(2)/25)*Calculateur!BL192*Calculateur!BN192*VLOOKUP('Données projet'!$B$11,Paramètres!$A$1:$I$89,3,0)*0.475*44/12</f>
        <v>0.14319919185580704</v>
      </c>
      <c r="BR192" s="23">
        <f>EXP(-LN(2)/2)*BR191+(1-EXP(-LN(2)/2))/(LN(2)/2)*BL192*BO192*VLOOKUP('Données projet'!$B$11,Paramètres!$A$1:$I$89,3,0)*0.475*44/12</f>
        <v>1.4154177465683159E-19</v>
      </c>
      <c r="BS192" s="24">
        <f t="shared" si="169"/>
        <v>2.3482403269354295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243.99999999999989</v>
      </c>
      <c r="BZ192" s="14">
        <f>BY192*VLOOKUP('Données projet'!$B$12,Paramètres!$A$1:$I$89,3,0)*VLOOKUP('Données projet'!$B$12,Paramètres!$A$1:$I$89,5,0)</f>
        <v>190.31999999999991</v>
      </c>
      <c r="CA192" s="14">
        <f t="shared" si="170"/>
        <v>47.61069337740188</v>
      </c>
      <c r="CB192" s="22">
        <f t="shared" si="171"/>
        <v>414.39595763230813</v>
      </c>
      <c r="CC192" s="62">
        <f t="shared" si="119"/>
        <v>704.37359627931198</v>
      </c>
      <c r="CD192" s="62">
        <f ca="1">AVERAGE(OFFSET($CC$3,0,0,'Données projet'!$E$12+1,1))-AVERAGE(OFFSET($H$3,0,0,'Données projet'!$E$12+1,1))</f>
        <v>252.45744983674379</v>
      </c>
      <c r="CE192" s="62">
        <f t="shared" si="148"/>
        <v>283.28099819802776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2.2050411350796226</v>
      </c>
      <c r="CL192" s="23">
        <f>EXP(-LN(2)/25)*CL191+(1-EXP(-LN(2)/25))/(LN(2)/25)*Calculateur!CG192*Calculateur!CI192*VLOOKUP('Données projet'!$B$12,Paramètres!$A$1:$I$89,3,0)*0.475*44/12</f>
        <v>0.14319919185580704</v>
      </c>
      <c r="CM192" s="23">
        <f>EXP(-LN(2)/2)*CM191+(1-EXP(-LN(2)/2))/(LN(2)/2)*CG192*CJ192*VLOOKUP('Données projet'!$B$12,Paramètres!$A$1:$I$89,3,0)*0.475*44/12</f>
        <v>1.4154177465683159E-19</v>
      </c>
      <c r="CN192" s="24">
        <f t="shared" si="172"/>
        <v>2.3482403269354295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215.46880000000002</v>
      </c>
      <c r="O193" s="14">
        <f>N193*VLOOKUP('Données projet'!$B$9,Paramètres!$A$1:$I$89,3,0)*VLOOKUP('Données projet'!$B$9,Paramètres!$A$1:$I$89,5,0)</f>
        <v>100.83939840000001</v>
      </c>
      <c r="P193" s="14">
        <f t="shared" si="141"/>
        <v>27.161875252139833</v>
      </c>
      <c r="Q193" s="22">
        <f t="shared" si="162"/>
        <v>222.93555161081022</v>
      </c>
      <c r="R193" s="62">
        <f t="shared" si="109"/>
        <v>512.97140405841253</v>
      </c>
      <c r="S193" s="62">
        <f ca="1">AVERAGE(OFFSET($R$3,0,0,'Données projet'!$E$9+1,1))-AVERAGE(OFFSET($H$3,0,0,'Données projet'!$E$9+1,1))</f>
        <v>180.76388336802839</v>
      </c>
      <c r="T193" s="62">
        <f t="shared" si="142"/>
        <v>225.35030757566537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1.5704938422204815</v>
      </c>
      <c r="AA193" s="23">
        <f>EXP(-LN(2)/25)*AA192+(1-EXP(-LN(2)/25))/(LN(2)/25)*Calculateur!V193*Calculateur!X193*VLOOKUP('Données projet'!$B$9,Paramètres!$A$1:$I$89,3,0)*0.475*44/12</f>
        <v>0.27074162711237526</v>
      </c>
      <c r="AB193" s="23">
        <f>EXP(-LN(2)/2)*AB192+(1-EXP(-LN(2)/2))/(LN(2)/2)*V193*Y193*VLOOKUP('Données projet'!$B$9,Paramètres!$A$1:$I$89,3,0)*0.475*44/12</f>
        <v>2.3865653308547274E-19</v>
      </c>
      <c r="AC193" s="24">
        <f t="shared" si="163"/>
        <v>1.8412354693328568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243.99999999999989</v>
      </c>
      <c r="AJ193" s="14">
        <f>AI193*VLOOKUP('Données projet'!$B$10,Paramètres!$A$1:$I$89,3,0)*VLOOKUP('Données projet'!$B$10,Paramètres!$A$1:$I$89,5,0)</f>
        <v>190.31999999999991</v>
      </c>
      <c r="AK193" s="14">
        <f t="shared" si="164"/>
        <v>47.61069337740188</v>
      </c>
      <c r="AL193" s="22">
        <f t="shared" si="165"/>
        <v>414.39595763230813</v>
      </c>
      <c r="AM193" s="62">
        <f t="shared" si="113"/>
        <v>704.43181007991041</v>
      </c>
      <c r="AN193" s="62">
        <f ca="1">AVERAGE(OFFSET($AM$3,0,0,'Données projet'!$E$10+1,1))-AVERAGE(OFFSET($H$3,0,0,'Données projet'!$E$10+1,1))</f>
        <v>252.45744983674379</v>
      </c>
      <c r="AO193" s="62">
        <f t="shared" si="144"/>
        <v>283.28099819802776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2.1618016233630017</v>
      </c>
      <c r="AV193" s="23">
        <f>EXP(-LN(2)/25)*AV192+(1-EXP(-LN(2)/25))/(LN(2)/25)*Calculateur!AQ193*Calculateur!AS193*VLOOKUP('Données projet'!$B$10,Paramètres!$A$1:$I$89,3,0)*0.475*44/12</f>
        <v>0.13928340242399179</v>
      </c>
      <c r="AW193" s="23">
        <f>EXP(-LN(2)/2)*AW192+(1-EXP(-LN(2)/2))/(LN(2)/2)*AQ193*AT193*VLOOKUP('Données projet'!$B$10,Paramètres!$A$1:$I$89,3,0)*0.475*44/12</f>
        <v>1.0008514868102383E-19</v>
      </c>
      <c r="AX193" s="23">
        <f t="shared" si="166"/>
        <v>2.3010850257869935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243.99999999999989</v>
      </c>
      <c r="BE193" s="14">
        <f>BD193*VLOOKUP('Données projet'!$B$11,Paramètres!$A$1:$I$89,3,0)*VLOOKUP('Données projet'!$B$11,Paramètres!$A$1:$I$89,5,0)</f>
        <v>190.31999999999991</v>
      </c>
      <c r="BF193" s="14">
        <f t="shared" si="167"/>
        <v>47.61069337740188</v>
      </c>
      <c r="BG193" s="22">
        <f t="shared" si="168"/>
        <v>414.39595763230813</v>
      </c>
      <c r="BH193" s="62">
        <f t="shared" si="116"/>
        <v>704.43181007991041</v>
      </c>
      <c r="BI193" s="62">
        <f ca="1">AVERAGE(OFFSET($BH$3,0,0,'Données projet'!$E$11+1,1))-AVERAGE(OFFSET($H$3,0,0,'Données projet'!$E$11+1,1))</f>
        <v>252.45744983674379</v>
      </c>
      <c r="BJ193" s="62">
        <f t="shared" si="146"/>
        <v>283.28099819802776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2.1618016233630017</v>
      </c>
      <c r="BQ193" s="23">
        <f>EXP(-LN(2)/25)*BQ192+(1-EXP(-LN(2)/25))/(LN(2)/25)*Calculateur!BL193*Calculateur!BN193*VLOOKUP('Données projet'!$B$11,Paramètres!$A$1:$I$89,3,0)*0.475*44/12</f>
        <v>0.13928340242399179</v>
      </c>
      <c r="BR193" s="23">
        <f>EXP(-LN(2)/2)*BR192+(1-EXP(-LN(2)/2))/(LN(2)/2)*BL193*BO193*VLOOKUP('Données projet'!$B$11,Paramètres!$A$1:$I$89,3,0)*0.475*44/12</f>
        <v>1.0008514868102383E-19</v>
      </c>
      <c r="BS193" s="24">
        <f t="shared" si="169"/>
        <v>2.3010850257869935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243.99999999999989</v>
      </c>
      <c r="BZ193" s="14">
        <f>BY193*VLOOKUP('Données projet'!$B$12,Paramètres!$A$1:$I$89,3,0)*VLOOKUP('Données projet'!$B$12,Paramètres!$A$1:$I$89,5,0)</f>
        <v>190.31999999999991</v>
      </c>
      <c r="CA193" s="14">
        <f t="shared" si="170"/>
        <v>47.61069337740188</v>
      </c>
      <c r="CB193" s="22">
        <f t="shared" si="171"/>
        <v>414.39595763230813</v>
      </c>
      <c r="CC193" s="62">
        <f t="shared" si="119"/>
        <v>704.43181007991041</v>
      </c>
      <c r="CD193" s="62">
        <f ca="1">AVERAGE(OFFSET($CC$3,0,0,'Données projet'!$E$12+1,1))-AVERAGE(OFFSET($H$3,0,0,'Données projet'!$E$12+1,1))</f>
        <v>252.45744983674379</v>
      </c>
      <c r="CE193" s="62">
        <f t="shared" si="148"/>
        <v>283.28099819802776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2.1618016233630017</v>
      </c>
      <c r="CL193" s="23">
        <f>EXP(-LN(2)/25)*CL192+(1-EXP(-LN(2)/25))/(LN(2)/25)*Calculateur!CG193*Calculateur!CI193*VLOOKUP('Données projet'!$B$12,Paramètres!$A$1:$I$89,3,0)*0.475*44/12</f>
        <v>0.13928340242399179</v>
      </c>
      <c r="CM193" s="23">
        <f>EXP(-LN(2)/2)*CM192+(1-EXP(-LN(2)/2))/(LN(2)/2)*CG193*CJ193*VLOOKUP('Données projet'!$B$12,Paramètres!$A$1:$I$89,3,0)*0.475*44/12</f>
        <v>1.0008514868102383E-19</v>
      </c>
      <c r="CN193" s="24">
        <f t="shared" si="172"/>
        <v>2.3010850257869935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215.46880000000002</v>
      </c>
      <c r="O194" s="14">
        <f>N194*VLOOKUP('Données projet'!$B$9,Paramètres!$A$1:$I$89,3,0)*VLOOKUP('Données projet'!$B$9,Paramètres!$A$1:$I$89,5,0)</f>
        <v>100.83939840000001</v>
      </c>
      <c r="P194" s="14">
        <f t="shared" si="141"/>
        <v>27.161875252139833</v>
      </c>
      <c r="Q194" s="22">
        <f t="shared" si="162"/>
        <v>222.93555161081022</v>
      </c>
      <c r="R194" s="62">
        <f t="shared" si="109"/>
        <v>513.02860797971709</v>
      </c>
      <c r="S194" s="62">
        <f ca="1">AVERAGE(OFFSET($R$3,0,0,'Données projet'!$E$9+1,1))-AVERAGE(OFFSET($H$3,0,0,'Données projet'!$E$9+1,1))</f>
        <v>180.76388336802839</v>
      </c>
      <c r="T194" s="62">
        <f t="shared" si="142"/>
        <v>225.35030757566537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1.5396974158811962</v>
      </c>
      <c r="AA194" s="23">
        <f>EXP(-LN(2)/25)*AA193+(1-EXP(-LN(2)/25))/(LN(2)/25)*Calculateur!V194*Calculateur!X194*VLOOKUP('Données projet'!$B$9,Paramètres!$A$1:$I$89,3,0)*0.475*44/12</f>
        <v>0.26333818308130397</v>
      </c>
      <c r="AB194" s="23">
        <f>EXP(-LN(2)/2)*AB193+(1-EXP(-LN(2)/2))/(LN(2)/2)*V194*Y194*VLOOKUP('Données projet'!$B$9,Paramètres!$A$1:$I$89,3,0)*0.475*44/12</f>
        <v>1.6875565291920941E-19</v>
      </c>
      <c r="AC194" s="24">
        <f t="shared" si="163"/>
        <v>1.8030355989625002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243.99999999999989</v>
      </c>
      <c r="AJ194" s="14">
        <f>AI194*VLOOKUP('Données projet'!$B$10,Paramètres!$A$1:$I$89,3,0)*VLOOKUP('Données projet'!$B$10,Paramètres!$A$1:$I$89,5,0)</f>
        <v>190.31999999999991</v>
      </c>
      <c r="AK194" s="14">
        <f t="shared" si="164"/>
        <v>47.61069337740188</v>
      </c>
      <c r="AL194" s="22">
        <f t="shared" si="165"/>
        <v>414.39595763230813</v>
      </c>
      <c r="AM194" s="62">
        <f t="shared" si="113"/>
        <v>704.48901400121497</v>
      </c>
      <c r="AN194" s="62">
        <f ca="1">AVERAGE(OFFSET($AM$3,0,0,'Données projet'!$E$10+1,1))-AVERAGE(OFFSET($H$3,0,0,'Données projet'!$E$10+1,1))</f>
        <v>252.45744983674379</v>
      </c>
      <c r="AO194" s="62">
        <f t="shared" si="144"/>
        <v>283.28099819802776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2.1194100120976458</v>
      </c>
      <c r="AV194" s="23">
        <f>EXP(-LN(2)/25)*AV193+(1-EXP(-LN(2)/25))/(LN(2)/25)*Calculateur!AQ194*Calculateur!AS194*VLOOKUP('Données projet'!$B$10,Paramètres!$A$1:$I$89,3,0)*0.475*44/12</f>
        <v>0.13547469046011193</v>
      </c>
      <c r="AW194" s="23">
        <f>EXP(-LN(2)/2)*AW193+(1-EXP(-LN(2)/2))/(LN(2)/2)*AQ194*AT194*VLOOKUP('Données projet'!$B$10,Paramètres!$A$1:$I$89,3,0)*0.475*44/12</f>
        <v>7.0770887328415793E-20</v>
      </c>
      <c r="AX194" s="23">
        <f t="shared" si="166"/>
        <v>2.2548847025577579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243.99999999999989</v>
      </c>
      <c r="BE194" s="14">
        <f>BD194*VLOOKUP('Données projet'!$B$11,Paramètres!$A$1:$I$89,3,0)*VLOOKUP('Données projet'!$B$11,Paramètres!$A$1:$I$89,5,0)</f>
        <v>190.31999999999991</v>
      </c>
      <c r="BF194" s="14">
        <f t="shared" si="167"/>
        <v>47.61069337740188</v>
      </c>
      <c r="BG194" s="22">
        <f t="shared" si="168"/>
        <v>414.39595763230813</v>
      </c>
      <c r="BH194" s="62">
        <f t="shared" si="116"/>
        <v>704.48901400121497</v>
      </c>
      <c r="BI194" s="62">
        <f ca="1">AVERAGE(OFFSET($BH$3,0,0,'Données projet'!$E$11+1,1))-AVERAGE(OFFSET($H$3,0,0,'Données projet'!$E$11+1,1))</f>
        <v>252.45744983674379</v>
      </c>
      <c r="BJ194" s="62">
        <f t="shared" si="146"/>
        <v>283.28099819802776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2.1194100120976458</v>
      </c>
      <c r="BQ194" s="23">
        <f>EXP(-LN(2)/25)*BQ193+(1-EXP(-LN(2)/25))/(LN(2)/25)*Calculateur!BL194*Calculateur!BN194*VLOOKUP('Données projet'!$B$11,Paramètres!$A$1:$I$89,3,0)*0.475*44/12</f>
        <v>0.13547469046011193</v>
      </c>
      <c r="BR194" s="23">
        <f>EXP(-LN(2)/2)*BR193+(1-EXP(-LN(2)/2))/(LN(2)/2)*BL194*BO194*VLOOKUP('Données projet'!$B$11,Paramètres!$A$1:$I$89,3,0)*0.475*44/12</f>
        <v>7.0770887328415793E-20</v>
      </c>
      <c r="BS194" s="24">
        <f t="shared" si="169"/>
        <v>2.2548847025577579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243.99999999999989</v>
      </c>
      <c r="BZ194" s="14">
        <f>BY194*VLOOKUP('Données projet'!$B$12,Paramètres!$A$1:$I$89,3,0)*VLOOKUP('Données projet'!$B$12,Paramètres!$A$1:$I$89,5,0)</f>
        <v>190.31999999999991</v>
      </c>
      <c r="CA194" s="14">
        <f t="shared" si="170"/>
        <v>47.61069337740188</v>
      </c>
      <c r="CB194" s="22">
        <f t="shared" si="171"/>
        <v>414.39595763230813</v>
      </c>
      <c r="CC194" s="62">
        <f t="shared" si="119"/>
        <v>704.48901400121497</v>
      </c>
      <c r="CD194" s="62">
        <f ca="1">AVERAGE(OFFSET($CC$3,0,0,'Données projet'!$E$12+1,1))-AVERAGE(OFFSET($H$3,0,0,'Données projet'!$E$12+1,1))</f>
        <v>252.45744983674379</v>
      </c>
      <c r="CE194" s="62">
        <f t="shared" si="148"/>
        <v>283.28099819802776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2.1194100120976458</v>
      </c>
      <c r="CL194" s="23">
        <f>EXP(-LN(2)/25)*CL193+(1-EXP(-LN(2)/25))/(LN(2)/25)*Calculateur!CG194*Calculateur!CI194*VLOOKUP('Données projet'!$B$12,Paramètres!$A$1:$I$89,3,0)*0.475*44/12</f>
        <v>0.13547469046011193</v>
      </c>
      <c r="CM194" s="23">
        <f>EXP(-LN(2)/2)*CM193+(1-EXP(-LN(2)/2))/(LN(2)/2)*CG194*CJ194*VLOOKUP('Données projet'!$B$12,Paramètres!$A$1:$I$89,3,0)*0.475*44/12</f>
        <v>7.0770887328415793E-20</v>
      </c>
      <c r="CN194" s="24">
        <f t="shared" si="172"/>
        <v>2.2548847025577579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215.46880000000002</v>
      </c>
      <c r="O195" s="14">
        <f>N195*VLOOKUP('Données projet'!$B$9,Paramètres!$A$1:$I$89,3,0)*VLOOKUP('Données projet'!$B$9,Paramètres!$A$1:$I$89,5,0)</f>
        <v>100.83939840000001</v>
      </c>
      <c r="P195" s="14">
        <f t="shared" si="141"/>
        <v>27.161875252139833</v>
      </c>
      <c r="Q195" s="22">
        <f t="shared" si="162"/>
        <v>222.93555161081022</v>
      </c>
      <c r="R195" s="62">
        <f t="shared" ref="R195:R203" si="191">Q195+(I195+J195)*44/12</f>
        <v>513.08481954087586</v>
      </c>
      <c r="S195" s="62">
        <f ca="1">AVERAGE(OFFSET($R$3,0,0,'Données projet'!$E$9+1,1))-AVERAGE(OFFSET($H$3,0,0,'Données projet'!$E$9+1,1))</f>
        <v>180.76388336802839</v>
      </c>
      <c r="T195" s="62">
        <f t="shared" si="142"/>
        <v>225.35030757566537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1.509504888678459</v>
      </c>
      <c r="AA195" s="23">
        <f>EXP(-LN(2)/25)*AA194+(1-EXP(-LN(2)/25))/(LN(2)/25)*Calculateur!V195*Calculateur!X195*VLOOKUP('Données projet'!$B$9,Paramètres!$A$1:$I$89,3,0)*0.475*44/12</f>
        <v>0.25613718661659252</v>
      </c>
      <c r="AB195" s="23">
        <f>EXP(-LN(2)/2)*AB194+(1-EXP(-LN(2)/2))/(LN(2)/2)*V195*Y195*VLOOKUP('Données projet'!$B$9,Paramètres!$A$1:$I$89,3,0)*0.475*44/12</f>
        <v>1.1932826654273637E-19</v>
      </c>
      <c r="AC195" s="24">
        <f t="shared" si="163"/>
        <v>1.7656420752950515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243.99999999999989</v>
      </c>
      <c r="AJ195" s="14">
        <f>AI195*VLOOKUP('Données projet'!$B$10,Paramètres!$A$1:$I$89,3,0)*VLOOKUP('Données projet'!$B$10,Paramètres!$A$1:$I$89,5,0)</f>
        <v>190.31999999999991</v>
      </c>
      <c r="AK195" s="14">
        <f t="shared" si="164"/>
        <v>47.61069337740188</v>
      </c>
      <c r="AL195" s="22">
        <f t="shared" si="165"/>
        <v>414.39595763230813</v>
      </c>
      <c r="AM195" s="62">
        <f t="shared" si="113"/>
        <v>704.54522556237384</v>
      </c>
      <c r="AN195" s="62">
        <f ca="1">AVERAGE(OFFSET($AM$3,0,0,'Données projet'!$E$10+1,1))-AVERAGE(OFFSET($H$3,0,0,'Données projet'!$E$10+1,1))</f>
        <v>252.45744983674379</v>
      </c>
      <c r="AO195" s="62">
        <f t="shared" si="144"/>
        <v>283.28099819802776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2.0778496744728736</v>
      </c>
      <c r="AV195" s="23">
        <f>EXP(-LN(2)/25)*AV194+(1-EXP(-LN(2)/25))/(LN(2)/25)*Calculateur!AQ195*Calculateur!AS195*VLOOKUP('Données projet'!$B$10,Paramètres!$A$1:$I$89,3,0)*0.475*44/12</f>
        <v>0.13177012792517584</v>
      </c>
      <c r="AW195" s="23">
        <f>EXP(-LN(2)/2)*AW194+(1-EXP(-LN(2)/2))/(LN(2)/2)*AQ195*AT195*VLOOKUP('Données projet'!$B$10,Paramètres!$A$1:$I$89,3,0)*0.475*44/12</f>
        <v>5.0042574340511916E-20</v>
      </c>
      <c r="AX195" s="23">
        <f t="shared" si="166"/>
        <v>2.2096198023980493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243.99999999999989</v>
      </c>
      <c r="BE195" s="14">
        <f>BD195*VLOOKUP('Données projet'!$B$11,Paramètres!$A$1:$I$89,3,0)*VLOOKUP('Données projet'!$B$11,Paramètres!$A$1:$I$89,5,0)</f>
        <v>190.31999999999991</v>
      </c>
      <c r="BF195" s="14">
        <f t="shared" si="167"/>
        <v>47.61069337740188</v>
      </c>
      <c r="BG195" s="22">
        <f t="shared" si="168"/>
        <v>414.39595763230813</v>
      </c>
      <c r="BH195" s="62">
        <f t="shared" si="116"/>
        <v>704.54522556237384</v>
      </c>
      <c r="BI195" s="62">
        <f ca="1">AVERAGE(OFFSET($BH$3,0,0,'Données projet'!$E$11+1,1))-AVERAGE(OFFSET($H$3,0,0,'Données projet'!$E$11+1,1))</f>
        <v>252.45744983674379</v>
      </c>
      <c r="BJ195" s="62">
        <f t="shared" si="146"/>
        <v>283.28099819802776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2.0778496744728736</v>
      </c>
      <c r="BQ195" s="23">
        <f>EXP(-LN(2)/25)*BQ194+(1-EXP(-LN(2)/25))/(LN(2)/25)*Calculateur!BL195*Calculateur!BN195*VLOOKUP('Données projet'!$B$11,Paramètres!$A$1:$I$89,3,0)*0.475*44/12</f>
        <v>0.13177012792517584</v>
      </c>
      <c r="BR195" s="23">
        <f>EXP(-LN(2)/2)*BR194+(1-EXP(-LN(2)/2))/(LN(2)/2)*BL195*BO195*VLOOKUP('Données projet'!$B$11,Paramètres!$A$1:$I$89,3,0)*0.475*44/12</f>
        <v>5.0042574340511916E-20</v>
      </c>
      <c r="BS195" s="24">
        <f t="shared" si="169"/>
        <v>2.2096198023980493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243.99999999999989</v>
      </c>
      <c r="BZ195" s="14">
        <f>BY195*VLOOKUP('Données projet'!$B$12,Paramètres!$A$1:$I$89,3,0)*VLOOKUP('Données projet'!$B$12,Paramètres!$A$1:$I$89,5,0)</f>
        <v>190.31999999999991</v>
      </c>
      <c r="CA195" s="14">
        <f t="shared" si="170"/>
        <v>47.61069337740188</v>
      </c>
      <c r="CB195" s="22">
        <f t="shared" si="171"/>
        <v>414.39595763230813</v>
      </c>
      <c r="CC195" s="62">
        <f t="shared" si="119"/>
        <v>704.54522556237384</v>
      </c>
      <c r="CD195" s="62">
        <f ca="1">AVERAGE(OFFSET($CC$3,0,0,'Données projet'!$E$12+1,1))-AVERAGE(OFFSET($H$3,0,0,'Données projet'!$E$12+1,1))</f>
        <v>252.45744983674379</v>
      </c>
      <c r="CE195" s="62">
        <f t="shared" si="148"/>
        <v>283.28099819802776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2.0778496744728736</v>
      </c>
      <c r="CL195" s="23">
        <f>EXP(-LN(2)/25)*CL194+(1-EXP(-LN(2)/25))/(LN(2)/25)*Calculateur!CG195*Calculateur!CI195*VLOOKUP('Données projet'!$B$12,Paramètres!$A$1:$I$89,3,0)*0.475*44/12</f>
        <v>0.13177012792517584</v>
      </c>
      <c r="CM195" s="23">
        <f>EXP(-LN(2)/2)*CM194+(1-EXP(-LN(2)/2))/(LN(2)/2)*CG195*CJ195*VLOOKUP('Données projet'!$B$12,Paramètres!$A$1:$I$89,3,0)*0.475*44/12</f>
        <v>5.0042574340511916E-20</v>
      </c>
      <c r="CN195" s="24">
        <f t="shared" si="172"/>
        <v>2.2096198023980493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215.46880000000002</v>
      </c>
      <c r="O196" s="14">
        <f>N196*VLOOKUP('Données projet'!$B$9,Paramètres!$A$1:$I$89,3,0)*VLOOKUP('Données projet'!$B$9,Paramètres!$A$1:$I$89,5,0)</f>
        <v>100.83939840000001</v>
      </c>
      <c r="P196" s="14">
        <f t="shared" si="141"/>
        <v>27.161875252139833</v>
      </c>
      <c r="Q196" s="22">
        <f t="shared" si="162"/>
        <v>222.93555161081022</v>
      </c>
      <c r="R196" s="62">
        <f t="shared" si="191"/>
        <v>513.14005595711876</v>
      </c>
      <c r="S196" s="62">
        <f ca="1">AVERAGE(OFFSET($R$3,0,0,'Données projet'!$E$9+1,1))-AVERAGE(OFFSET($H$3,0,0,'Données projet'!$E$9+1,1))</f>
        <v>180.76388336802839</v>
      </c>
      <c r="T196" s="62">
        <f t="shared" si="142"/>
        <v>225.35030757566537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1.4799044185185442</v>
      </c>
      <c r="AA196" s="23">
        <f>EXP(-LN(2)/25)*AA195+(1-EXP(-LN(2)/25))/(LN(2)/25)*Calculateur!V196*Calculateur!X196*VLOOKUP('Données projet'!$B$9,Paramètres!$A$1:$I$89,3,0)*0.475*44/12</f>
        <v>0.24913310177889256</v>
      </c>
      <c r="AB196" s="23">
        <f>EXP(-LN(2)/2)*AB195+(1-EXP(-LN(2)/2))/(LN(2)/2)*V196*Y196*VLOOKUP('Données projet'!$B$9,Paramètres!$A$1:$I$89,3,0)*0.475*44/12</f>
        <v>8.4377826459604707E-20</v>
      </c>
      <c r="AC196" s="24">
        <f t="shared" si="163"/>
        <v>1.7290375202974366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243.99999999999989</v>
      </c>
      <c r="AJ196" s="14">
        <f>AI196*VLOOKUP('Données projet'!$B$10,Paramètres!$A$1:$I$89,3,0)*VLOOKUP('Données projet'!$B$10,Paramètres!$A$1:$I$89,5,0)</f>
        <v>190.31999999999991</v>
      </c>
      <c r="AK196" s="14">
        <f t="shared" si="164"/>
        <v>47.61069337740188</v>
      </c>
      <c r="AL196" s="22">
        <f t="shared" si="165"/>
        <v>414.39595763230813</v>
      </c>
      <c r="AM196" s="62">
        <f t="shared" ref="AM196:AM203" si="193">AL196+(AD196+AE196)*44/12</f>
        <v>704.60046197861664</v>
      </c>
      <c r="AN196" s="62">
        <f ca="1">AVERAGE(OFFSET($AM$3,0,0,'Données projet'!$E$10+1,1))-AVERAGE(OFFSET($H$3,0,0,'Données projet'!$E$10+1,1))</f>
        <v>252.45744983674379</v>
      </c>
      <c r="AO196" s="62">
        <f t="shared" si="144"/>
        <v>283.28099819802776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2.0371043097196204</v>
      </c>
      <c r="AV196" s="23">
        <f>EXP(-LN(2)/25)*AV195+(1-EXP(-LN(2)/25))/(LN(2)/25)*Calculateur!AQ196*Calculateur!AS196*VLOOKUP('Données projet'!$B$10,Paramètres!$A$1:$I$89,3,0)*0.475*44/12</f>
        <v>0.12816686684757203</v>
      </c>
      <c r="AW196" s="23">
        <f>EXP(-LN(2)/2)*AW195+(1-EXP(-LN(2)/2))/(LN(2)/2)*AQ196*AT196*VLOOKUP('Données projet'!$B$10,Paramètres!$A$1:$I$89,3,0)*0.475*44/12</f>
        <v>3.5385443664207897E-20</v>
      </c>
      <c r="AX196" s="23">
        <f t="shared" si="166"/>
        <v>2.1652711765671926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243.99999999999989</v>
      </c>
      <c r="BE196" s="14">
        <f>BD196*VLOOKUP('Données projet'!$B$11,Paramètres!$A$1:$I$89,3,0)*VLOOKUP('Données projet'!$B$11,Paramètres!$A$1:$I$89,5,0)</f>
        <v>190.31999999999991</v>
      </c>
      <c r="BF196" s="14">
        <f t="shared" si="167"/>
        <v>47.61069337740188</v>
      </c>
      <c r="BG196" s="22">
        <f t="shared" si="168"/>
        <v>414.39595763230813</v>
      </c>
      <c r="BH196" s="62">
        <f t="shared" ref="BH196:BH203" si="194">BG196+(AY196+AZ196)*44/12</f>
        <v>704.60046197861664</v>
      </c>
      <c r="BI196" s="62">
        <f ca="1">AVERAGE(OFFSET($BH$3,0,0,'Données projet'!$E$11+1,1))-AVERAGE(OFFSET($H$3,0,0,'Données projet'!$E$11+1,1))</f>
        <v>252.45744983674379</v>
      </c>
      <c r="BJ196" s="62">
        <f t="shared" si="146"/>
        <v>283.28099819802776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2.0371043097196204</v>
      </c>
      <c r="BQ196" s="23">
        <f>EXP(-LN(2)/25)*BQ195+(1-EXP(-LN(2)/25))/(LN(2)/25)*Calculateur!BL196*Calculateur!BN196*VLOOKUP('Données projet'!$B$11,Paramètres!$A$1:$I$89,3,0)*0.475*44/12</f>
        <v>0.12816686684757203</v>
      </c>
      <c r="BR196" s="23">
        <f>EXP(-LN(2)/2)*BR195+(1-EXP(-LN(2)/2))/(LN(2)/2)*BL196*BO196*VLOOKUP('Données projet'!$B$11,Paramètres!$A$1:$I$89,3,0)*0.475*44/12</f>
        <v>3.5385443664207897E-20</v>
      </c>
      <c r="BS196" s="24">
        <f t="shared" si="169"/>
        <v>2.1652711765671926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243.99999999999989</v>
      </c>
      <c r="BZ196" s="14">
        <f>BY196*VLOOKUP('Données projet'!$B$12,Paramètres!$A$1:$I$89,3,0)*VLOOKUP('Données projet'!$B$12,Paramètres!$A$1:$I$89,5,0)</f>
        <v>190.31999999999991</v>
      </c>
      <c r="CA196" s="14">
        <f t="shared" si="170"/>
        <v>47.61069337740188</v>
      </c>
      <c r="CB196" s="22">
        <f t="shared" si="171"/>
        <v>414.39595763230813</v>
      </c>
      <c r="CC196" s="62">
        <f t="shared" ref="CC196:CC203" si="195">CB196+(BT196+BU196)*44/12</f>
        <v>704.60046197861664</v>
      </c>
      <c r="CD196" s="62">
        <f ca="1">AVERAGE(OFFSET($CC$3,0,0,'Données projet'!$E$12+1,1))-AVERAGE(OFFSET($H$3,0,0,'Données projet'!$E$12+1,1))</f>
        <v>252.45744983674379</v>
      </c>
      <c r="CE196" s="62">
        <f t="shared" si="148"/>
        <v>283.28099819802776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2.0371043097196204</v>
      </c>
      <c r="CL196" s="23">
        <f>EXP(-LN(2)/25)*CL195+(1-EXP(-LN(2)/25))/(LN(2)/25)*Calculateur!CG196*Calculateur!CI196*VLOOKUP('Données projet'!$B$12,Paramètres!$A$1:$I$89,3,0)*0.475*44/12</f>
        <v>0.12816686684757203</v>
      </c>
      <c r="CM196" s="23">
        <f>EXP(-LN(2)/2)*CM195+(1-EXP(-LN(2)/2))/(LN(2)/2)*CG196*CJ196*VLOOKUP('Données projet'!$B$12,Paramètres!$A$1:$I$89,3,0)*0.475*44/12</f>
        <v>3.5385443664207897E-20</v>
      </c>
      <c r="CN196" s="24">
        <f t="shared" si="172"/>
        <v>2.1652711765671926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215.46880000000002</v>
      </c>
      <c r="O197" s="14">
        <f>N197*VLOOKUP('Données projet'!$B$9,Paramètres!$A$1:$I$89,3,0)*VLOOKUP('Données projet'!$B$9,Paramètres!$A$1:$I$89,5,0)</f>
        <v>100.83939840000001</v>
      </c>
      <c r="P197" s="14">
        <f t="shared" ref="P197:P203" si="203">EXP(-1.0587+0.8836*LN(O197)+0.284)</f>
        <v>27.161875252139833</v>
      </c>
      <c r="Q197" s="22">
        <f t="shared" si="162"/>
        <v>222.93555161081022</v>
      </c>
      <c r="R197" s="62">
        <f t="shared" si="191"/>
        <v>513.19433414502998</v>
      </c>
      <c r="S197" s="62">
        <f ca="1">AVERAGE(OFFSET($R$3,0,0,'Données projet'!$E$9+1,1))-AVERAGE(OFFSET($H$3,0,0,'Données projet'!$E$9+1,1))</f>
        <v>180.76388336802839</v>
      </c>
      <c r="T197" s="62">
        <f t="shared" ref="T197:T203" si="204">$T$3</f>
        <v>225.35030757566537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1.4508843955239612</v>
      </c>
      <c r="AA197" s="23">
        <f>EXP(-LN(2)/25)*AA196+(1-EXP(-LN(2)/25))/(LN(2)/25)*Calculateur!V197*Calculateur!X197*VLOOKUP('Données projet'!$B$9,Paramètres!$A$1:$I$89,3,0)*0.475*44/12</f>
        <v>0.24232054400940831</v>
      </c>
      <c r="AB197" s="23">
        <f>EXP(-LN(2)/2)*AB196+(1-EXP(-LN(2)/2))/(LN(2)/2)*V197*Y197*VLOOKUP('Données projet'!$B$9,Paramètres!$A$1:$I$89,3,0)*0.475*44/12</f>
        <v>5.9664133271368184E-20</v>
      </c>
      <c r="AC197" s="24">
        <f t="shared" si="163"/>
        <v>1.6932049395333695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243.99999999999989</v>
      </c>
      <c r="AJ197" s="14">
        <f>AI197*VLOOKUP('Données projet'!$B$10,Paramètres!$A$1:$I$89,3,0)*VLOOKUP('Données projet'!$B$10,Paramètres!$A$1:$I$89,5,0)</f>
        <v>190.31999999999991</v>
      </c>
      <c r="AK197" s="14">
        <f t="shared" si="164"/>
        <v>47.61069337740188</v>
      </c>
      <c r="AL197" s="22">
        <f t="shared" si="165"/>
        <v>414.39595763230813</v>
      </c>
      <c r="AM197" s="62">
        <f t="shared" si="193"/>
        <v>704.65474016652786</v>
      </c>
      <c r="AN197" s="62">
        <f ca="1">AVERAGE(OFFSET($AM$3,0,0,'Données projet'!$E$10+1,1))-AVERAGE(OFFSET($H$3,0,0,'Données projet'!$E$10+1,1))</f>
        <v>252.45744983674379</v>
      </c>
      <c r="AO197" s="62">
        <f t="shared" ref="AO197:AO203" si="205">$AO$3</f>
        <v>283.28099819802776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1.9971579367169598</v>
      </c>
      <c r="AV197" s="23">
        <f>EXP(-LN(2)/25)*AV196+(1-EXP(-LN(2)/25))/(LN(2)/25)*Calculateur!AQ197*Calculateur!AS197*VLOOKUP('Données projet'!$B$10,Paramètres!$A$1:$I$89,3,0)*0.475*44/12</f>
        <v>0.12466213713362258</v>
      </c>
      <c r="AW197" s="23">
        <f>EXP(-LN(2)/2)*AW196+(1-EXP(-LN(2)/2))/(LN(2)/2)*AQ197*AT197*VLOOKUP('Données projet'!$B$10,Paramètres!$A$1:$I$89,3,0)*0.475*44/12</f>
        <v>2.5021287170255958E-20</v>
      </c>
      <c r="AX197" s="23">
        <f t="shared" si="166"/>
        <v>2.1218200738505826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243.99999999999989</v>
      </c>
      <c r="BE197" s="14">
        <f>BD197*VLOOKUP('Données projet'!$B$11,Paramètres!$A$1:$I$89,3,0)*VLOOKUP('Données projet'!$B$11,Paramètres!$A$1:$I$89,5,0)</f>
        <v>190.31999999999991</v>
      </c>
      <c r="BF197" s="14">
        <f t="shared" si="167"/>
        <v>47.61069337740188</v>
      </c>
      <c r="BG197" s="22">
        <f t="shared" si="168"/>
        <v>414.39595763230813</v>
      </c>
      <c r="BH197" s="62">
        <f t="shared" si="194"/>
        <v>704.65474016652786</v>
      </c>
      <c r="BI197" s="62">
        <f ca="1">AVERAGE(OFFSET($BH$3,0,0,'Données projet'!$E$11+1,1))-AVERAGE(OFFSET($H$3,0,0,'Données projet'!$E$11+1,1))</f>
        <v>252.45744983674379</v>
      </c>
      <c r="BJ197" s="62">
        <f t="shared" ref="BJ197:BJ203" si="206">$BJ$3</f>
        <v>283.28099819802776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1.9971579367169598</v>
      </c>
      <c r="BQ197" s="23">
        <f>EXP(-LN(2)/25)*BQ196+(1-EXP(-LN(2)/25))/(LN(2)/25)*Calculateur!BL197*Calculateur!BN197*VLOOKUP('Données projet'!$B$11,Paramètres!$A$1:$I$89,3,0)*0.475*44/12</f>
        <v>0.12466213713362258</v>
      </c>
      <c r="BR197" s="23">
        <f>EXP(-LN(2)/2)*BR196+(1-EXP(-LN(2)/2))/(LN(2)/2)*BL197*BO197*VLOOKUP('Données projet'!$B$11,Paramètres!$A$1:$I$89,3,0)*0.475*44/12</f>
        <v>2.5021287170255958E-20</v>
      </c>
      <c r="BS197" s="24">
        <f t="shared" si="169"/>
        <v>2.1218200738505826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243.99999999999989</v>
      </c>
      <c r="BZ197" s="14">
        <f>BY197*VLOOKUP('Données projet'!$B$12,Paramètres!$A$1:$I$89,3,0)*VLOOKUP('Données projet'!$B$12,Paramètres!$A$1:$I$89,5,0)</f>
        <v>190.31999999999991</v>
      </c>
      <c r="CA197" s="14">
        <f t="shared" si="170"/>
        <v>47.61069337740188</v>
      </c>
      <c r="CB197" s="22">
        <f t="shared" si="171"/>
        <v>414.39595763230813</v>
      </c>
      <c r="CC197" s="62">
        <f t="shared" si="195"/>
        <v>704.65474016652786</v>
      </c>
      <c r="CD197" s="62">
        <f ca="1">AVERAGE(OFFSET($CC$3,0,0,'Données projet'!$E$12+1,1))-AVERAGE(OFFSET($H$3,0,0,'Données projet'!$E$12+1,1))</f>
        <v>252.45744983674379</v>
      </c>
      <c r="CE197" s="62">
        <f t="shared" ref="CE197:CE203" si="207">$CE$3</f>
        <v>283.28099819802776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1.9971579367169598</v>
      </c>
      <c r="CL197" s="23">
        <f>EXP(-LN(2)/25)*CL196+(1-EXP(-LN(2)/25))/(LN(2)/25)*Calculateur!CG197*Calculateur!CI197*VLOOKUP('Données projet'!$B$12,Paramètres!$A$1:$I$89,3,0)*0.475*44/12</f>
        <v>0.12466213713362258</v>
      </c>
      <c r="CM197" s="23">
        <f>EXP(-LN(2)/2)*CM196+(1-EXP(-LN(2)/2))/(LN(2)/2)*CG197*CJ197*VLOOKUP('Données projet'!$B$12,Paramètres!$A$1:$I$89,3,0)*0.475*44/12</f>
        <v>2.5021287170255958E-20</v>
      </c>
      <c r="CN197" s="24">
        <f t="shared" si="172"/>
        <v>2.1218200738505826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215.46880000000002</v>
      </c>
      <c r="O198" s="14">
        <f>N198*VLOOKUP('Données projet'!$B$9,Paramètres!$A$1:$I$89,3,0)*VLOOKUP('Données projet'!$B$9,Paramètres!$A$1:$I$89,5,0)</f>
        <v>100.83939840000001</v>
      </c>
      <c r="P198" s="14">
        <f t="shared" si="203"/>
        <v>27.161875252139833</v>
      </c>
      <c r="Q198" s="22">
        <f t="shared" si="162"/>
        <v>222.93555161081022</v>
      </c>
      <c r="R198" s="62">
        <f t="shared" si="191"/>
        <v>513.24767072772875</v>
      </c>
      <c r="S198" s="62">
        <f ca="1">AVERAGE(OFFSET($R$3,0,0,'Données projet'!$E$9+1,1))-AVERAGE(OFFSET($H$3,0,0,'Données projet'!$E$9+1,1))</f>
        <v>180.76388336802839</v>
      </c>
      <c r="T198" s="62">
        <f t="shared" si="204"/>
        <v>225.35030757566537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1.4224334374798357</v>
      </c>
      <c r="AA198" s="23">
        <f>EXP(-LN(2)/25)*AA197+(1-EXP(-LN(2)/25))/(LN(2)/25)*Calculateur!V198*Calculateur!X198*VLOOKUP('Données projet'!$B$9,Paramètres!$A$1:$I$89,3,0)*0.475*44/12</f>
        <v>0.23569427599038745</v>
      </c>
      <c r="AB198" s="23">
        <f>EXP(-LN(2)/2)*AB197+(1-EXP(-LN(2)/2))/(LN(2)/2)*V198*Y198*VLOOKUP('Données projet'!$B$9,Paramètres!$A$1:$I$89,3,0)*0.475*44/12</f>
        <v>4.2188913229802353E-20</v>
      </c>
      <c r="AC198" s="24">
        <f t="shared" si="163"/>
        <v>1.6581277134702233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243.99999999999989</v>
      </c>
      <c r="AJ198" s="14">
        <f>AI198*VLOOKUP('Données projet'!$B$10,Paramètres!$A$1:$I$89,3,0)*VLOOKUP('Données projet'!$B$10,Paramètres!$A$1:$I$89,5,0)</f>
        <v>190.31999999999991</v>
      </c>
      <c r="AK198" s="14">
        <f t="shared" si="164"/>
        <v>47.61069337740188</v>
      </c>
      <c r="AL198" s="22">
        <f t="shared" si="165"/>
        <v>414.39595763230813</v>
      </c>
      <c r="AM198" s="62">
        <f t="shared" si="193"/>
        <v>704.70807674922662</v>
      </c>
      <c r="AN198" s="62">
        <f ca="1">AVERAGE(OFFSET($AM$3,0,0,'Données projet'!$E$10+1,1))-AVERAGE(OFFSET($H$3,0,0,'Données projet'!$E$10+1,1))</f>
        <v>252.45744983674379</v>
      </c>
      <c r="AO198" s="62">
        <f t="shared" si="205"/>
        <v>283.28099819802776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1.9579948877239997</v>
      </c>
      <c r="AV198" s="23">
        <f>EXP(-LN(2)/25)*AV197+(1-EXP(-LN(2)/25))/(LN(2)/25)*Calculateur!AQ198*Calculateur!AS198*VLOOKUP('Données projet'!$B$10,Paramètres!$A$1:$I$89,3,0)*0.475*44/12</f>
        <v>0.12125324443800679</v>
      </c>
      <c r="AW198" s="23">
        <f>EXP(-LN(2)/2)*AW197+(1-EXP(-LN(2)/2))/(LN(2)/2)*AQ198*AT198*VLOOKUP('Données projet'!$B$10,Paramètres!$A$1:$I$89,3,0)*0.475*44/12</f>
        <v>1.7692721832103948E-20</v>
      </c>
      <c r="AX198" s="23">
        <f t="shared" si="166"/>
        <v>2.0792481321620064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243.99999999999989</v>
      </c>
      <c r="BE198" s="14">
        <f>BD198*VLOOKUP('Données projet'!$B$11,Paramètres!$A$1:$I$89,3,0)*VLOOKUP('Données projet'!$B$11,Paramètres!$A$1:$I$89,5,0)</f>
        <v>190.31999999999991</v>
      </c>
      <c r="BF198" s="14">
        <f t="shared" si="167"/>
        <v>47.61069337740188</v>
      </c>
      <c r="BG198" s="22">
        <f t="shared" si="168"/>
        <v>414.39595763230813</v>
      </c>
      <c r="BH198" s="62">
        <f t="shared" si="194"/>
        <v>704.70807674922662</v>
      </c>
      <c r="BI198" s="62">
        <f ca="1">AVERAGE(OFFSET($BH$3,0,0,'Données projet'!$E$11+1,1))-AVERAGE(OFFSET($H$3,0,0,'Données projet'!$E$11+1,1))</f>
        <v>252.45744983674379</v>
      </c>
      <c r="BJ198" s="62">
        <f t="shared" si="206"/>
        <v>283.28099819802776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1.9579948877239997</v>
      </c>
      <c r="BQ198" s="23">
        <f>EXP(-LN(2)/25)*BQ197+(1-EXP(-LN(2)/25))/(LN(2)/25)*Calculateur!BL198*Calculateur!BN198*VLOOKUP('Données projet'!$B$11,Paramètres!$A$1:$I$89,3,0)*0.475*44/12</f>
        <v>0.12125324443800679</v>
      </c>
      <c r="BR198" s="23">
        <f>EXP(-LN(2)/2)*BR197+(1-EXP(-LN(2)/2))/(LN(2)/2)*BL198*BO198*VLOOKUP('Données projet'!$B$11,Paramètres!$A$1:$I$89,3,0)*0.475*44/12</f>
        <v>1.7692721832103948E-20</v>
      </c>
      <c r="BS198" s="24">
        <f t="shared" si="169"/>
        <v>2.0792481321620064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243.99999999999989</v>
      </c>
      <c r="BZ198" s="14">
        <f>BY198*VLOOKUP('Données projet'!$B$12,Paramètres!$A$1:$I$89,3,0)*VLOOKUP('Données projet'!$B$12,Paramètres!$A$1:$I$89,5,0)</f>
        <v>190.31999999999991</v>
      </c>
      <c r="CA198" s="14">
        <f t="shared" si="170"/>
        <v>47.61069337740188</v>
      </c>
      <c r="CB198" s="22">
        <f t="shared" si="171"/>
        <v>414.39595763230813</v>
      </c>
      <c r="CC198" s="62">
        <f t="shared" si="195"/>
        <v>704.70807674922662</v>
      </c>
      <c r="CD198" s="62">
        <f ca="1">AVERAGE(OFFSET($CC$3,0,0,'Données projet'!$E$12+1,1))-AVERAGE(OFFSET($H$3,0,0,'Données projet'!$E$12+1,1))</f>
        <v>252.45744983674379</v>
      </c>
      <c r="CE198" s="62">
        <f t="shared" si="207"/>
        <v>283.28099819802776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1.9579948877239997</v>
      </c>
      <c r="CL198" s="23">
        <f>EXP(-LN(2)/25)*CL197+(1-EXP(-LN(2)/25))/(LN(2)/25)*Calculateur!CG198*Calculateur!CI198*VLOOKUP('Données projet'!$B$12,Paramètres!$A$1:$I$89,3,0)*0.475*44/12</f>
        <v>0.12125324443800679</v>
      </c>
      <c r="CM198" s="23">
        <f>EXP(-LN(2)/2)*CM197+(1-EXP(-LN(2)/2))/(LN(2)/2)*CG198*CJ198*VLOOKUP('Données projet'!$B$12,Paramètres!$A$1:$I$89,3,0)*0.475*44/12</f>
        <v>1.7692721832103948E-20</v>
      </c>
      <c r="CN198" s="24">
        <f t="shared" si="172"/>
        <v>2.0792481321620064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215.46880000000002</v>
      </c>
      <c r="O199" s="14">
        <f>N199*VLOOKUP('Données projet'!$B$9,Paramètres!$A$1:$I$89,3,0)*VLOOKUP('Données projet'!$B$9,Paramètres!$A$1:$I$89,5,0)</f>
        <v>100.83939840000001</v>
      </c>
      <c r="P199" s="14">
        <f t="shared" si="203"/>
        <v>27.161875252139833</v>
      </c>
      <c r="Q199" s="22">
        <f t="shared" si="162"/>
        <v>222.93555161081022</v>
      </c>
      <c r="R199" s="62">
        <f t="shared" si="191"/>
        <v>513.30008203996044</v>
      </c>
      <c r="S199" s="62">
        <f ca="1">AVERAGE(OFFSET($R$3,0,0,'Données projet'!$E$9+1,1))-AVERAGE(OFFSET($H$3,0,0,'Données projet'!$E$9+1,1))</f>
        <v>180.76388336802839</v>
      </c>
      <c r="T199" s="62">
        <f t="shared" si="204"/>
        <v>225.35030757566537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1.3945403853695848</v>
      </c>
      <c r="AA199" s="23">
        <f>EXP(-LN(2)/25)*AA198+(1-EXP(-LN(2)/25))/(LN(2)/25)*Calculateur!V199*Calculateur!X199*VLOOKUP('Données projet'!$B$9,Paramètres!$A$1:$I$89,3,0)*0.475*44/12</f>
        <v>0.22924920361880702</v>
      </c>
      <c r="AB199" s="23">
        <f>EXP(-LN(2)/2)*AB198+(1-EXP(-LN(2)/2))/(LN(2)/2)*V199*Y199*VLOOKUP('Données projet'!$B$9,Paramètres!$A$1:$I$89,3,0)*0.475*44/12</f>
        <v>2.9832066635684092E-20</v>
      </c>
      <c r="AC199" s="24">
        <f t="shared" si="163"/>
        <v>1.6237895889883918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243.99999999999989</v>
      </c>
      <c r="AJ199" s="14">
        <f>AI199*VLOOKUP('Données projet'!$B$10,Paramètres!$A$1:$I$89,3,0)*VLOOKUP('Données projet'!$B$10,Paramètres!$A$1:$I$89,5,0)</f>
        <v>190.31999999999991</v>
      </c>
      <c r="AK199" s="14">
        <f t="shared" si="164"/>
        <v>47.61069337740188</v>
      </c>
      <c r="AL199" s="22">
        <f t="shared" si="165"/>
        <v>414.39595763230813</v>
      </c>
      <c r="AM199" s="62">
        <f t="shared" si="193"/>
        <v>704.76048806145832</v>
      </c>
      <c r="AN199" s="62">
        <f ca="1">AVERAGE(OFFSET($AM$3,0,0,'Données projet'!$E$10+1,1))-AVERAGE(OFFSET($H$3,0,0,'Données projet'!$E$10+1,1))</f>
        <v>252.45744983674379</v>
      </c>
      <c r="AO199" s="62">
        <f t="shared" si="205"/>
        <v>283.28099819802776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1.9195998022346903</v>
      </c>
      <c r="AV199" s="23">
        <f>EXP(-LN(2)/25)*AV198+(1-EXP(-LN(2)/25))/(LN(2)/25)*Calculateur!AQ199*Calculateur!AS199*VLOOKUP('Données projet'!$B$10,Paramètres!$A$1:$I$89,3,0)*0.475*44/12</f>
        <v>0.1179375680924185</v>
      </c>
      <c r="AW199" s="23">
        <f>EXP(-LN(2)/2)*AW198+(1-EXP(-LN(2)/2))/(LN(2)/2)*AQ199*AT199*VLOOKUP('Données projet'!$B$10,Paramètres!$A$1:$I$89,3,0)*0.475*44/12</f>
        <v>1.2510643585127979E-20</v>
      </c>
      <c r="AX199" s="23">
        <f t="shared" si="166"/>
        <v>2.0375373703271089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243.99999999999989</v>
      </c>
      <c r="BE199" s="14">
        <f>BD199*VLOOKUP('Données projet'!$B$11,Paramètres!$A$1:$I$89,3,0)*VLOOKUP('Données projet'!$B$11,Paramètres!$A$1:$I$89,5,0)</f>
        <v>190.31999999999991</v>
      </c>
      <c r="BF199" s="14">
        <f t="shared" si="167"/>
        <v>47.61069337740188</v>
      </c>
      <c r="BG199" s="22">
        <f t="shared" si="168"/>
        <v>414.39595763230813</v>
      </c>
      <c r="BH199" s="62">
        <f t="shared" si="194"/>
        <v>704.76048806145832</v>
      </c>
      <c r="BI199" s="62">
        <f ca="1">AVERAGE(OFFSET($BH$3,0,0,'Données projet'!$E$11+1,1))-AVERAGE(OFFSET($H$3,0,0,'Données projet'!$E$11+1,1))</f>
        <v>252.45744983674379</v>
      </c>
      <c r="BJ199" s="62">
        <f t="shared" si="206"/>
        <v>283.28099819802776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1.9195998022346903</v>
      </c>
      <c r="BQ199" s="23">
        <f>EXP(-LN(2)/25)*BQ198+(1-EXP(-LN(2)/25))/(LN(2)/25)*Calculateur!BL199*Calculateur!BN199*VLOOKUP('Données projet'!$B$11,Paramètres!$A$1:$I$89,3,0)*0.475*44/12</f>
        <v>0.1179375680924185</v>
      </c>
      <c r="BR199" s="23">
        <f>EXP(-LN(2)/2)*BR198+(1-EXP(-LN(2)/2))/(LN(2)/2)*BL199*BO199*VLOOKUP('Données projet'!$B$11,Paramètres!$A$1:$I$89,3,0)*0.475*44/12</f>
        <v>1.2510643585127979E-20</v>
      </c>
      <c r="BS199" s="24">
        <f t="shared" si="169"/>
        <v>2.0375373703271089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243.99999999999989</v>
      </c>
      <c r="BZ199" s="14">
        <f>BY199*VLOOKUP('Données projet'!$B$12,Paramètres!$A$1:$I$89,3,0)*VLOOKUP('Données projet'!$B$12,Paramètres!$A$1:$I$89,5,0)</f>
        <v>190.31999999999991</v>
      </c>
      <c r="CA199" s="14">
        <f t="shared" si="170"/>
        <v>47.61069337740188</v>
      </c>
      <c r="CB199" s="22">
        <f t="shared" si="171"/>
        <v>414.39595763230813</v>
      </c>
      <c r="CC199" s="62">
        <f t="shared" si="195"/>
        <v>704.76048806145832</v>
      </c>
      <c r="CD199" s="62">
        <f ca="1">AVERAGE(OFFSET($CC$3,0,0,'Données projet'!$E$12+1,1))-AVERAGE(OFFSET($H$3,0,0,'Données projet'!$E$12+1,1))</f>
        <v>252.45744983674379</v>
      </c>
      <c r="CE199" s="62">
        <f t="shared" si="207"/>
        <v>283.28099819802776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1.9195998022346903</v>
      </c>
      <c r="CL199" s="23">
        <f>EXP(-LN(2)/25)*CL198+(1-EXP(-LN(2)/25))/(LN(2)/25)*Calculateur!CG199*Calculateur!CI199*VLOOKUP('Données projet'!$B$12,Paramètres!$A$1:$I$89,3,0)*0.475*44/12</f>
        <v>0.1179375680924185</v>
      </c>
      <c r="CM199" s="23">
        <f>EXP(-LN(2)/2)*CM198+(1-EXP(-LN(2)/2))/(LN(2)/2)*CG199*CJ199*VLOOKUP('Données projet'!$B$12,Paramètres!$A$1:$I$89,3,0)*0.475*44/12</f>
        <v>1.2510643585127979E-20</v>
      </c>
      <c r="CN199" s="24">
        <f t="shared" si="172"/>
        <v>2.0375373703271089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215.46880000000002</v>
      </c>
      <c r="O200" s="14">
        <f>N200*VLOOKUP('Données projet'!$B$9,Paramètres!$A$1:$I$89,3,0)*VLOOKUP('Données projet'!$B$9,Paramètres!$A$1:$I$89,5,0)</f>
        <v>100.83939840000001</v>
      </c>
      <c r="P200" s="14">
        <f t="shared" si="203"/>
        <v>27.161875252139833</v>
      </c>
      <c r="Q200" s="22">
        <f t="shared" si="162"/>
        <v>222.93555161081022</v>
      </c>
      <c r="R200" s="62">
        <f t="shared" si="191"/>
        <v>513.35158413309898</v>
      </c>
      <c r="S200" s="62">
        <f ca="1">AVERAGE(OFFSET($R$3,0,0,'Données projet'!$E$9+1,1))-AVERAGE(OFFSET($H$3,0,0,'Données projet'!$E$9+1,1))</f>
        <v>180.76388336802839</v>
      </c>
      <c r="T200" s="62">
        <f t="shared" si="204"/>
        <v>225.35030757566537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1.367194298998134</v>
      </c>
      <c r="AA200" s="23">
        <f>EXP(-LN(2)/25)*AA199+(1-EXP(-LN(2)/25))/(LN(2)/25)*Calculateur!V200*Calculateur!X200*VLOOKUP('Données projet'!$B$9,Paramètres!$A$1:$I$89,3,0)*0.475*44/12</f>
        <v>0.22298037209015908</v>
      </c>
      <c r="AB200" s="23">
        <f>EXP(-LN(2)/2)*AB199+(1-EXP(-LN(2)/2))/(LN(2)/2)*V200*Y200*VLOOKUP('Données projet'!$B$9,Paramètres!$A$1:$I$89,3,0)*0.475*44/12</f>
        <v>2.1094456614901177E-20</v>
      </c>
      <c r="AC200" s="24">
        <f t="shared" si="163"/>
        <v>1.5901746710882931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243.99999999999989</v>
      </c>
      <c r="AJ200" s="14">
        <f>AI200*VLOOKUP('Données projet'!$B$10,Paramètres!$A$1:$I$89,3,0)*VLOOKUP('Données projet'!$B$10,Paramètres!$A$1:$I$89,5,0)</f>
        <v>190.31999999999991</v>
      </c>
      <c r="AK200" s="14">
        <f t="shared" si="164"/>
        <v>47.61069337740188</v>
      </c>
      <c r="AL200" s="22">
        <f t="shared" si="165"/>
        <v>414.39595763230813</v>
      </c>
      <c r="AM200" s="62">
        <f t="shared" si="193"/>
        <v>704.81199015459697</v>
      </c>
      <c r="AN200" s="62">
        <f ca="1">AVERAGE(OFFSET($AM$3,0,0,'Données projet'!$E$10+1,1))-AVERAGE(OFFSET($H$3,0,0,'Données projet'!$E$10+1,1))</f>
        <v>252.45744983674379</v>
      </c>
      <c r="AO200" s="62">
        <f t="shared" si="205"/>
        <v>283.28099819802776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1.8819576209531366</v>
      </c>
      <c r="AV200" s="23">
        <f>EXP(-LN(2)/25)*AV199+(1-EXP(-LN(2)/25))/(LN(2)/25)*Calculateur!AQ200*Calculateur!AS200*VLOOKUP('Données projet'!$B$10,Paramètres!$A$1:$I$89,3,0)*0.475*44/12</f>
        <v>0.11471255909086416</v>
      </c>
      <c r="AW200" s="23">
        <f>EXP(-LN(2)/2)*AW199+(1-EXP(-LN(2)/2))/(LN(2)/2)*AQ200*AT200*VLOOKUP('Données projet'!$B$10,Paramètres!$A$1:$I$89,3,0)*0.475*44/12</f>
        <v>8.8463609160519741E-21</v>
      </c>
      <c r="AX200" s="23">
        <f t="shared" si="166"/>
        <v>1.9966701800440008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243.99999999999989</v>
      </c>
      <c r="BE200" s="14">
        <f>BD200*VLOOKUP('Données projet'!$B$11,Paramètres!$A$1:$I$89,3,0)*VLOOKUP('Données projet'!$B$11,Paramètres!$A$1:$I$89,5,0)</f>
        <v>190.31999999999991</v>
      </c>
      <c r="BF200" s="14">
        <f t="shared" si="167"/>
        <v>47.61069337740188</v>
      </c>
      <c r="BG200" s="22">
        <f t="shared" si="168"/>
        <v>414.39595763230813</v>
      </c>
      <c r="BH200" s="62">
        <f t="shared" si="194"/>
        <v>704.81199015459697</v>
      </c>
      <c r="BI200" s="62">
        <f ca="1">AVERAGE(OFFSET($BH$3,0,0,'Données projet'!$E$11+1,1))-AVERAGE(OFFSET($H$3,0,0,'Données projet'!$E$11+1,1))</f>
        <v>252.45744983674379</v>
      </c>
      <c r="BJ200" s="62">
        <f t="shared" si="206"/>
        <v>283.28099819802776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1.8819576209531366</v>
      </c>
      <c r="BQ200" s="23">
        <f>EXP(-LN(2)/25)*BQ199+(1-EXP(-LN(2)/25))/(LN(2)/25)*Calculateur!BL200*Calculateur!BN200*VLOOKUP('Données projet'!$B$11,Paramètres!$A$1:$I$89,3,0)*0.475*44/12</f>
        <v>0.11471255909086416</v>
      </c>
      <c r="BR200" s="23">
        <f>EXP(-LN(2)/2)*BR199+(1-EXP(-LN(2)/2))/(LN(2)/2)*BL200*BO200*VLOOKUP('Données projet'!$B$11,Paramètres!$A$1:$I$89,3,0)*0.475*44/12</f>
        <v>8.8463609160519741E-21</v>
      </c>
      <c r="BS200" s="24">
        <f t="shared" si="169"/>
        <v>1.9966701800440008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243.99999999999989</v>
      </c>
      <c r="BZ200" s="14">
        <f>BY200*VLOOKUP('Données projet'!$B$12,Paramètres!$A$1:$I$89,3,0)*VLOOKUP('Données projet'!$B$12,Paramètres!$A$1:$I$89,5,0)</f>
        <v>190.31999999999991</v>
      </c>
      <c r="CA200" s="14">
        <f t="shared" si="170"/>
        <v>47.61069337740188</v>
      </c>
      <c r="CB200" s="22">
        <f t="shared" si="171"/>
        <v>414.39595763230813</v>
      </c>
      <c r="CC200" s="62">
        <f t="shared" si="195"/>
        <v>704.81199015459697</v>
      </c>
      <c r="CD200" s="62">
        <f ca="1">AVERAGE(OFFSET($CC$3,0,0,'Données projet'!$E$12+1,1))-AVERAGE(OFFSET($H$3,0,0,'Données projet'!$E$12+1,1))</f>
        <v>252.45744983674379</v>
      </c>
      <c r="CE200" s="62">
        <f t="shared" si="207"/>
        <v>283.28099819802776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1.8819576209531366</v>
      </c>
      <c r="CL200" s="23">
        <f>EXP(-LN(2)/25)*CL199+(1-EXP(-LN(2)/25))/(LN(2)/25)*Calculateur!CG200*Calculateur!CI200*VLOOKUP('Données projet'!$B$12,Paramètres!$A$1:$I$89,3,0)*0.475*44/12</f>
        <v>0.11471255909086416</v>
      </c>
      <c r="CM200" s="23">
        <f>EXP(-LN(2)/2)*CM199+(1-EXP(-LN(2)/2))/(LN(2)/2)*CG200*CJ200*VLOOKUP('Données projet'!$B$12,Paramètres!$A$1:$I$89,3,0)*0.475*44/12</f>
        <v>8.8463609160519741E-21</v>
      </c>
      <c r="CN200" s="24">
        <f t="shared" si="172"/>
        <v>1.9966701800440008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215.46880000000002</v>
      </c>
      <c r="O201" s="14">
        <f>N201*VLOOKUP('Données projet'!$B$9,Paramètres!$A$1:$I$89,3,0)*VLOOKUP('Données projet'!$B$9,Paramètres!$A$1:$I$89,5,0)</f>
        <v>100.83939840000001</v>
      </c>
      <c r="P201" s="14">
        <f t="shared" si="203"/>
        <v>27.161875252139833</v>
      </c>
      <c r="Q201" s="22">
        <f t="shared" si="162"/>
        <v>222.93555161081022</v>
      </c>
      <c r="R201" s="62">
        <f t="shared" si="191"/>
        <v>513.40219278006316</v>
      </c>
      <c r="S201" s="62">
        <f ca="1">AVERAGE(OFFSET($R$3,0,0,'Données projet'!$E$9+1,1))-AVERAGE(OFFSET($H$3,0,0,'Données projet'!$E$9+1,1))</f>
        <v>180.76388336802839</v>
      </c>
      <c r="T201" s="62">
        <f t="shared" si="204"/>
        <v>225.35030757566537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1.3403844527009616</v>
      </c>
      <c r="AA201" s="23">
        <f>EXP(-LN(2)/25)*AA200+(1-EXP(-LN(2)/25))/(LN(2)/25)*Calculateur!V201*Calculateur!X201*VLOOKUP('Données projet'!$B$9,Paramètres!$A$1:$I$89,3,0)*0.475*44/12</f>
        <v>0.21688296208932553</v>
      </c>
      <c r="AB201" s="23">
        <f>EXP(-LN(2)/2)*AB200+(1-EXP(-LN(2)/2))/(LN(2)/2)*V201*Y201*VLOOKUP('Données projet'!$B$9,Paramètres!$A$1:$I$89,3,0)*0.475*44/12</f>
        <v>1.4916033317842046E-20</v>
      </c>
      <c r="AC201" s="24">
        <f t="shared" si="163"/>
        <v>1.5572674147902872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243.99999999999989</v>
      </c>
      <c r="AJ201" s="14">
        <f>AI201*VLOOKUP('Données projet'!$B$10,Paramètres!$A$1:$I$89,3,0)*VLOOKUP('Données projet'!$B$10,Paramètres!$A$1:$I$89,5,0)</f>
        <v>190.31999999999991</v>
      </c>
      <c r="AK201" s="14">
        <f t="shared" si="164"/>
        <v>47.61069337740188</v>
      </c>
      <c r="AL201" s="22">
        <f t="shared" si="165"/>
        <v>414.39595763230813</v>
      </c>
      <c r="AM201" s="62">
        <f t="shared" si="193"/>
        <v>704.86259880156103</v>
      </c>
      <c r="AN201" s="62">
        <f ca="1">AVERAGE(OFFSET($AM$3,0,0,'Données projet'!$E$10+1,1))-AVERAGE(OFFSET($H$3,0,0,'Données projet'!$E$10+1,1))</f>
        <v>252.45744983674379</v>
      </c>
      <c r="AO201" s="62">
        <f t="shared" si="205"/>
        <v>283.28099819802776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1.8450535798870504</v>
      </c>
      <c r="AV201" s="23">
        <f>EXP(-LN(2)/25)*AV200+(1-EXP(-LN(2)/25))/(LN(2)/25)*Calculateur!AQ201*Calculateur!AS201*VLOOKUP('Données projet'!$B$10,Paramètres!$A$1:$I$89,3,0)*0.475*44/12</f>
        <v>0.11157573813005317</v>
      </c>
      <c r="AW201" s="23">
        <f>EXP(-LN(2)/2)*AW200+(1-EXP(-LN(2)/2))/(LN(2)/2)*AQ201*AT201*VLOOKUP('Données projet'!$B$10,Paramètres!$A$1:$I$89,3,0)*0.475*44/12</f>
        <v>6.2553217925639895E-21</v>
      </c>
      <c r="AX201" s="23">
        <f t="shared" si="166"/>
        <v>1.9566293180171037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243.99999999999989</v>
      </c>
      <c r="BE201" s="14">
        <f>BD201*VLOOKUP('Données projet'!$B$11,Paramètres!$A$1:$I$89,3,0)*VLOOKUP('Données projet'!$B$11,Paramètres!$A$1:$I$89,5,0)</f>
        <v>190.31999999999991</v>
      </c>
      <c r="BF201" s="14">
        <f t="shared" si="167"/>
        <v>47.61069337740188</v>
      </c>
      <c r="BG201" s="22">
        <f t="shared" si="168"/>
        <v>414.39595763230813</v>
      </c>
      <c r="BH201" s="62">
        <f t="shared" si="194"/>
        <v>704.86259880156103</v>
      </c>
      <c r="BI201" s="62">
        <f ca="1">AVERAGE(OFFSET($BH$3,0,0,'Données projet'!$E$11+1,1))-AVERAGE(OFFSET($H$3,0,0,'Données projet'!$E$11+1,1))</f>
        <v>252.45744983674379</v>
      </c>
      <c r="BJ201" s="62">
        <f t="shared" si="206"/>
        <v>283.28099819802776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1.8450535798870504</v>
      </c>
      <c r="BQ201" s="23">
        <f>EXP(-LN(2)/25)*BQ200+(1-EXP(-LN(2)/25))/(LN(2)/25)*Calculateur!BL201*Calculateur!BN201*VLOOKUP('Données projet'!$B$11,Paramètres!$A$1:$I$89,3,0)*0.475*44/12</f>
        <v>0.11157573813005317</v>
      </c>
      <c r="BR201" s="23">
        <f>EXP(-LN(2)/2)*BR200+(1-EXP(-LN(2)/2))/(LN(2)/2)*BL201*BO201*VLOOKUP('Données projet'!$B$11,Paramètres!$A$1:$I$89,3,0)*0.475*44/12</f>
        <v>6.2553217925639895E-21</v>
      </c>
      <c r="BS201" s="24">
        <f t="shared" si="169"/>
        <v>1.9566293180171037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243.99999999999989</v>
      </c>
      <c r="BZ201" s="14">
        <f>BY201*VLOOKUP('Données projet'!$B$12,Paramètres!$A$1:$I$89,3,0)*VLOOKUP('Données projet'!$B$12,Paramètres!$A$1:$I$89,5,0)</f>
        <v>190.31999999999991</v>
      </c>
      <c r="CA201" s="14">
        <f t="shared" si="170"/>
        <v>47.61069337740188</v>
      </c>
      <c r="CB201" s="22">
        <f t="shared" si="171"/>
        <v>414.39595763230813</v>
      </c>
      <c r="CC201" s="62">
        <f t="shared" si="195"/>
        <v>704.86259880156103</v>
      </c>
      <c r="CD201" s="62">
        <f ca="1">AVERAGE(OFFSET($CC$3,0,0,'Données projet'!$E$12+1,1))-AVERAGE(OFFSET($H$3,0,0,'Données projet'!$E$12+1,1))</f>
        <v>252.45744983674379</v>
      </c>
      <c r="CE201" s="62">
        <f t="shared" si="207"/>
        <v>283.28099819802776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1.8450535798870504</v>
      </c>
      <c r="CL201" s="23">
        <f>EXP(-LN(2)/25)*CL200+(1-EXP(-LN(2)/25))/(LN(2)/25)*Calculateur!CG201*Calculateur!CI201*VLOOKUP('Données projet'!$B$12,Paramètres!$A$1:$I$89,3,0)*0.475*44/12</f>
        <v>0.11157573813005317</v>
      </c>
      <c r="CM201" s="23">
        <f>EXP(-LN(2)/2)*CM200+(1-EXP(-LN(2)/2))/(LN(2)/2)*CG201*CJ201*VLOOKUP('Données projet'!$B$12,Paramètres!$A$1:$I$89,3,0)*0.475*44/12</f>
        <v>6.2553217925639895E-21</v>
      </c>
      <c r="CN201" s="24">
        <f t="shared" si="172"/>
        <v>1.9566293180171037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215.46880000000002</v>
      </c>
      <c r="O202" s="14">
        <f>N202*VLOOKUP('Données projet'!$B$9,Paramètres!$A$1:$I$89,3,0)*VLOOKUP('Données projet'!$B$9,Paramètres!$A$1:$I$89,5,0)</f>
        <v>100.83939840000001</v>
      </c>
      <c r="P202" s="14">
        <f t="shared" si="203"/>
        <v>27.161875252139833</v>
      </c>
      <c r="Q202" s="22">
        <f t="shared" si="162"/>
        <v>222.93555161081022</v>
      </c>
      <c r="R202" s="62">
        <f t="shared" si="191"/>
        <v>513.45192348014632</v>
      </c>
      <c r="S202" s="62">
        <f ca="1">AVERAGE(OFFSET($R$3,0,0,'Données projet'!$E$9+1,1))-AVERAGE(OFFSET($H$3,0,0,'Données projet'!$E$9+1,1))</f>
        <v>180.76388336802839</v>
      </c>
      <c r="T202" s="62">
        <f t="shared" si="204"/>
        <v>225.35030757566537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1.3141003311372852</v>
      </c>
      <c r="AA202" s="23">
        <f>EXP(-LN(2)/25)*AA201+(1-EXP(-LN(2)/25))/(LN(2)/25)*Calculateur!V202*Calculateur!X202*VLOOKUP('Données projet'!$B$9,Paramètres!$A$1:$I$89,3,0)*0.475*44/12</f>
        <v>0.21095228608561364</v>
      </c>
      <c r="AB202" s="23">
        <f>EXP(-LN(2)/2)*AB201+(1-EXP(-LN(2)/2))/(LN(2)/2)*V202*Y202*VLOOKUP('Données projet'!$B$9,Paramètres!$A$1:$I$89,3,0)*0.475*44/12</f>
        <v>1.0547228307450588E-20</v>
      </c>
      <c r="AC202" s="24">
        <f t="shared" si="163"/>
        <v>1.5250526172228989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243.99999999999989</v>
      </c>
      <c r="AJ202" s="14">
        <f>AI202*VLOOKUP('Données projet'!$B$10,Paramètres!$A$1:$I$89,3,0)*VLOOKUP('Données projet'!$B$10,Paramètres!$A$1:$I$89,5,0)</f>
        <v>190.31999999999991</v>
      </c>
      <c r="AK202" s="14">
        <f t="shared" si="164"/>
        <v>47.61069337740188</v>
      </c>
      <c r="AL202" s="22">
        <f t="shared" si="165"/>
        <v>414.39595763230813</v>
      </c>
      <c r="AM202" s="62">
        <f t="shared" si="193"/>
        <v>704.91232950164431</v>
      </c>
      <c r="AN202" s="62">
        <f ca="1">AVERAGE(OFFSET($AM$3,0,0,'Données projet'!$E$10+1,1))-AVERAGE(OFFSET($H$3,0,0,'Données projet'!$E$10+1,1))</f>
        <v>252.45744983674379</v>
      </c>
      <c r="AO202" s="62">
        <f t="shared" si="205"/>
        <v>283.28099819802776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1.8088732045570279</v>
      </c>
      <c r="AV202" s="23">
        <f>EXP(-LN(2)/25)*AV201+(1-EXP(-LN(2)/25))/(LN(2)/25)*Calculateur!AQ202*Calculateur!AS202*VLOOKUP('Données projet'!$B$10,Paramètres!$A$1:$I$89,3,0)*0.475*44/12</f>
        <v>0.10852469370337381</v>
      </c>
      <c r="AW202" s="23">
        <f>EXP(-LN(2)/2)*AW201+(1-EXP(-LN(2)/2))/(LN(2)/2)*AQ202*AT202*VLOOKUP('Données projet'!$B$10,Paramètres!$A$1:$I$89,3,0)*0.475*44/12</f>
        <v>4.4231804580259871E-21</v>
      </c>
      <c r="AX202" s="23">
        <f t="shared" si="166"/>
        <v>1.9173978982604019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243.99999999999989</v>
      </c>
      <c r="BE202" s="14">
        <f>BD202*VLOOKUP('Données projet'!$B$11,Paramètres!$A$1:$I$89,3,0)*VLOOKUP('Données projet'!$B$11,Paramètres!$A$1:$I$89,5,0)</f>
        <v>190.31999999999991</v>
      </c>
      <c r="BF202" s="14">
        <f t="shared" si="167"/>
        <v>47.61069337740188</v>
      </c>
      <c r="BG202" s="22">
        <f t="shared" si="168"/>
        <v>414.39595763230813</v>
      </c>
      <c r="BH202" s="62">
        <f t="shared" si="194"/>
        <v>704.91232950164431</v>
      </c>
      <c r="BI202" s="62">
        <f ca="1">AVERAGE(OFFSET($BH$3,0,0,'Données projet'!$E$11+1,1))-AVERAGE(OFFSET($H$3,0,0,'Données projet'!$E$11+1,1))</f>
        <v>252.45744983674379</v>
      </c>
      <c r="BJ202" s="62">
        <f t="shared" si="206"/>
        <v>283.28099819802776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1.8088732045570279</v>
      </c>
      <c r="BQ202" s="23">
        <f>EXP(-LN(2)/25)*BQ201+(1-EXP(-LN(2)/25))/(LN(2)/25)*Calculateur!BL202*Calculateur!BN202*VLOOKUP('Données projet'!$B$11,Paramètres!$A$1:$I$89,3,0)*0.475*44/12</f>
        <v>0.10852469370337381</v>
      </c>
      <c r="BR202" s="23">
        <f>EXP(-LN(2)/2)*BR201+(1-EXP(-LN(2)/2))/(LN(2)/2)*BL202*BO202*VLOOKUP('Données projet'!$B$11,Paramètres!$A$1:$I$89,3,0)*0.475*44/12</f>
        <v>4.4231804580259871E-21</v>
      </c>
      <c r="BS202" s="24">
        <f t="shared" si="169"/>
        <v>1.9173978982604019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243.99999999999989</v>
      </c>
      <c r="BZ202" s="14">
        <f>BY202*VLOOKUP('Données projet'!$B$12,Paramètres!$A$1:$I$89,3,0)*VLOOKUP('Données projet'!$B$12,Paramètres!$A$1:$I$89,5,0)</f>
        <v>190.31999999999991</v>
      </c>
      <c r="CA202" s="14">
        <f t="shared" si="170"/>
        <v>47.61069337740188</v>
      </c>
      <c r="CB202" s="22">
        <f t="shared" si="171"/>
        <v>414.39595763230813</v>
      </c>
      <c r="CC202" s="62">
        <f t="shared" si="195"/>
        <v>704.91232950164431</v>
      </c>
      <c r="CD202" s="62">
        <f ca="1">AVERAGE(OFFSET($CC$3,0,0,'Données projet'!$E$12+1,1))-AVERAGE(OFFSET($H$3,0,0,'Données projet'!$E$12+1,1))</f>
        <v>252.45744983674379</v>
      </c>
      <c r="CE202" s="62">
        <f t="shared" si="207"/>
        <v>283.28099819802776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1.8088732045570279</v>
      </c>
      <c r="CL202" s="23">
        <f>EXP(-LN(2)/25)*CL201+(1-EXP(-LN(2)/25))/(LN(2)/25)*Calculateur!CG202*Calculateur!CI202*VLOOKUP('Données projet'!$B$12,Paramètres!$A$1:$I$89,3,0)*0.475*44/12</f>
        <v>0.10852469370337381</v>
      </c>
      <c r="CM202" s="23">
        <f>EXP(-LN(2)/2)*CM201+(1-EXP(-LN(2)/2))/(LN(2)/2)*CG202*CJ202*VLOOKUP('Données projet'!$B$12,Paramètres!$A$1:$I$89,3,0)*0.475*44/12</f>
        <v>4.4231804580259871E-21</v>
      </c>
      <c r="CN202" s="24">
        <f t="shared" si="172"/>
        <v>1.9173978982604019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215.46880000000002</v>
      </c>
      <c r="O203" s="14">
        <f>N203*VLOOKUP('Données projet'!$B$9,Paramètres!$A$1:$I$89,3,0)*VLOOKUP('Données projet'!$B$9,Paramètres!$A$1:$I$89,5,0)</f>
        <v>100.83939840000001</v>
      </c>
      <c r="P203" s="14">
        <f t="shared" si="203"/>
        <v>27.161875252139833</v>
      </c>
      <c r="Q203" s="22">
        <f t="shared" si="162"/>
        <v>222.93555161081022</v>
      </c>
      <c r="R203" s="62">
        <f t="shared" si="191"/>
        <v>513.50079146376436</v>
      </c>
      <c r="S203" s="62">
        <f ca="1">AVERAGE(OFFSET($R$3,0,0,'Données projet'!$E$9+1,1))-AVERAGE(OFFSET($H$3,0,0,'Données projet'!$E$9+1,1))</f>
        <v>180.76388336802839</v>
      </c>
      <c r="T203" s="62">
        <f t="shared" si="204"/>
        <v>225.35030757566537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1.2883316251657413</v>
      </c>
      <c r="AA203" s="23">
        <f>EXP(-LN(2)/25)*AA202+(1-EXP(-LN(2)/25))/(LN(2)/25)*Calculateur!V203*Calculateur!X203*VLOOKUP('Données projet'!$B$9,Paramètres!$A$1:$I$89,3,0)*0.475*44/12</f>
        <v>0.20518378472910395</v>
      </c>
      <c r="AB203" s="23">
        <f>EXP(-LN(2)/2)*AB202+(1-EXP(-LN(2)/2))/(LN(2)/2)*V203*Y203*VLOOKUP('Données projet'!$B$9,Paramètres!$A$1:$I$89,3,0)*0.475*44/12</f>
        <v>7.4580166589210231E-21</v>
      </c>
      <c r="AC203" s="24">
        <f t="shared" si="163"/>
        <v>1.4935154098948453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243.99999999999989</v>
      </c>
      <c r="AJ203" s="14">
        <f>AI203*VLOOKUP('Données projet'!$B$10,Paramètres!$A$1:$I$89,3,0)*VLOOKUP('Données projet'!$B$10,Paramètres!$A$1:$I$89,5,0)</f>
        <v>190.31999999999991</v>
      </c>
      <c r="AK203" s="14">
        <f t="shared" si="164"/>
        <v>47.61069337740188</v>
      </c>
      <c r="AL203" s="22">
        <f t="shared" si="165"/>
        <v>414.39595763230813</v>
      </c>
      <c r="AM203" s="62">
        <f t="shared" si="193"/>
        <v>704.96119748526223</v>
      </c>
      <c r="AN203" s="62">
        <f ca="1">AVERAGE(OFFSET($AM$3,0,0,'Données projet'!$E$10+1,1))-AVERAGE(OFFSET($H$3,0,0,'Données projet'!$E$10+1,1))</f>
        <v>252.45744983674379</v>
      </c>
      <c r="AO203" s="62">
        <f t="shared" si="205"/>
        <v>283.28099819802776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1.7734023043193772</v>
      </c>
      <c r="AV203" s="23">
        <f>EXP(-LN(2)/25)*AV202+(1-EXP(-LN(2)/25))/(LN(2)/25)*Calculateur!AQ203*Calculateur!AS203*VLOOKUP('Données projet'!$B$10,Paramètres!$A$1:$I$89,3,0)*0.475*44/12</f>
        <v>0.10555708024698944</v>
      </c>
      <c r="AW203" s="23">
        <f>EXP(-LN(2)/2)*AW202+(1-EXP(-LN(2)/2))/(LN(2)/2)*AQ203*AT203*VLOOKUP('Données projet'!$B$10,Paramètres!$A$1:$I$89,3,0)*0.475*44/12</f>
        <v>3.1276608962819947E-21</v>
      </c>
      <c r="AX203" s="23">
        <f t="shared" si="166"/>
        <v>1.8789593845663666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243.99999999999989</v>
      </c>
      <c r="BE203" s="14">
        <f>BD203*VLOOKUP('Données projet'!$B$11,Paramètres!$A$1:$I$89,3,0)*VLOOKUP('Données projet'!$B$11,Paramètres!$A$1:$I$89,5,0)</f>
        <v>190.31999999999991</v>
      </c>
      <c r="BF203" s="14">
        <f t="shared" si="167"/>
        <v>47.61069337740188</v>
      </c>
      <c r="BG203" s="22">
        <f t="shared" si="168"/>
        <v>414.39595763230813</v>
      </c>
      <c r="BH203" s="62">
        <f t="shared" si="194"/>
        <v>704.96119748526223</v>
      </c>
      <c r="BI203" s="62">
        <f ca="1">AVERAGE(OFFSET($BH$3,0,0,'Données projet'!$E$11+1,1))-AVERAGE(OFFSET($H$3,0,0,'Données projet'!$E$11+1,1))</f>
        <v>252.45744983674379</v>
      </c>
      <c r="BJ203" s="62">
        <f t="shared" si="206"/>
        <v>283.28099819802776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1.7734023043193772</v>
      </c>
      <c r="BQ203" s="23">
        <f>EXP(-LN(2)/25)*BQ202+(1-EXP(-LN(2)/25))/(LN(2)/25)*Calculateur!BL203*Calculateur!BN203*VLOOKUP('Données projet'!$B$11,Paramètres!$A$1:$I$89,3,0)*0.475*44/12</f>
        <v>0.10555708024698944</v>
      </c>
      <c r="BR203" s="23">
        <f>EXP(-LN(2)/2)*BR202+(1-EXP(-LN(2)/2))/(LN(2)/2)*BL203*BO203*VLOOKUP('Données projet'!$B$11,Paramètres!$A$1:$I$89,3,0)*0.475*44/12</f>
        <v>3.1276608962819947E-21</v>
      </c>
      <c r="BS203" s="24">
        <f t="shared" si="169"/>
        <v>1.8789593845663666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243.99999999999989</v>
      </c>
      <c r="BZ203" s="14">
        <f>BY203*VLOOKUP('Données projet'!$B$12,Paramètres!$A$1:$I$89,3,0)*VLOOKUP('Données projet'!$B$12,Paramètres!$A$1:$I$89,5,0)</f>
        <v>190.31999999999991</v>
      </c>
      <c r="CA203" s="14">
        <f t="shared" si="170"/>
        <v>47.61069337740188</v>
      </c>
      <c r="CB203" s="22">
        <f t="shared" si="171"/>
        <v>414.39595763230813</v>
      </c>
      <c r="CC203" s="62">
        <f t="shared" si="195"/>
        <v>704.96119748526223</v>
      </c>
      <c r="CD203" s="62">
        <f ca="1">AVERAGE(OFFSET($CC$3,0,0,'Données projet'!$E$12+1,1))-AVERAGE(OFFSET($H$3,0,0,'Données projet'!$E$12+1,1))</f>
        <v>252.45744983674379</v>
      </c>
      <c r="CE203" s="62">
        <f t="shared" si="207"/>
        <v>283.28099819802776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1.7734023043193772</v>
      </c>
      <c r="CL203" s="23">
        <f>EXP(-LN(2)/25)*CL202+(1-EXP(-LN(2)/25))/(LN(2)/25)*Calculateur!CG203*Calculateur!CI203*VLOOKUP('Données projet'!$B$12,Paramètres!$A$1:$I$89,3,0)*0.475*44/12</f>
        <v>0.10555708024698944</v>
      </c>
      <c r="CM203" s="23">
        <f>EXP(-LN(2)/2)*CM202+(1-EXP(-LN(2)/2))/(LN(2)/2)*CG203*CJ203*VLOOKUP('Données projet'!$B$12,Paramètres!$A$1:$I$89,3,0)*0.475*44/12</f>
        <v>3.1276608962819947E-21</v>
      </c>
      <c r="CN203" s="24">
        <f t="shared" si="172"/>
        <v>1.8789593845663666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1.1966732973638288</v>
      </c>
      <c r="BA205" s="88">
        <f>EXP(LN('Données projet'!B88)/'Données projet'!A88)</f>
        <v>1.1966732973638288</v>
      </c>
      <c r="BV205" s="88">
        <f>EXP(LN('Données projet'!B114)/'Données projet'!A114)</f>
        <v>1.1966732973638288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80" zoomScaleNormal="80" workbookViewId="0">
      <selection activeCell="C16" sqref="C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0.41399999999999998</v>
      </c>
      <c r="C6" s="156">
        <f ca="1">IF(OR('Données projet'!B9="",'Données projet'!C9="",'Données projet'!C9=0%),0,Calculateur!S3)</f>
        <v>180.76388336802839</v>
      </c>
      <c r="D6" s="156">
        <f>IF(OR('Données projet'!B9="",'Données projet'!C9="",'Données projet'!C9=0%),0,Calculateur!T3)</f>
        <v>225.35030757566537</v>
      </c>
      <c r="E6" s="156">
        <f ca="1">MIN(C6,D6)</f>
        <v>180.76388336802839</v>
      </c>
      <c r="F6" s="156">
        <f ca="1">E6*B6</f>
        <v>74.836247714363751</v>
      </c>
      <c r="G6" s="156">
        <f ca="1">F6*(100%-'Données projet'!$C$24)*(100%-'Données projet'!$C$25)*(100%-'Données projet'!$C$26)*(100%-'Données projet'!$C$27)</f>
        <v>57.249729501488275</v>
      </c>
      <c r="H6" s="157">
        <f>IF(OR('Données projet'!B9="",'Données projet'!C9="",'Données projet'!C9=0%),0,AVERAGE(Calculateur!$AC$3:$AC$33)*B6)</f>
        <v>0.69382278795361108</v>
      </c>
      <c r="I6" s="158">
        <f>H6*(100%-'Données projet'!$C$24)*(100%-'Données projet'!$C$25)*(100%-'Données projet'!$C$26)*(100%-'Données projet'!$C$27)</f>
        <v>0.53077443278451253</v>
      </c>
      <c r="J6" s="159">
        <f>IF(OR('Données projet'!B9="",'Données projet'!C9="",'Données projet'!C9=0%),0,SUM(Calculateur!$V$3:$V$33)*VLOOKUP('Données projet'!$B$9,Paramètres!$A$1:$I$89,9,0)*B6)</f>
        <v>7.4167582499999991</v>
      </c>
      <c r="K6" s="160">
        <f>J6*(100%-'Données projet'!$C$24)*(100%-'Données projet'!$C$25)*(100%-'Données projet'!$C$26)*(100%-'Données projet'!$C$27)</f>
        <v>5.6738200612499989</v>
      </c>
      <c r="L6" s="161">
        <f ca="1">G6+I6+K6</f>
        <v>63.454323995522785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Merisier</v>
      </c>
      <c r="B7" s="163">
        <f>'Données projet'!D10</f>
        <v>0.06</v>
      </c>
      <c r="C7" s="156">
        <f ca="1">IF(OR('Données projet'!B10="",'Données projet'!C10="",'Données projet'!C10=0%),0,Calculateur!AN3)</f>
        <v>252.45744983674379</v>
      </c>
      <c r="D7" s="156">
        <f>IF(OR('Données projet'!B10="",'Données projet'!C10="",'Données projet'!C10=0%),0,Calculateur!AO3)</f>
        <v>283.28099819802776</v>
      </c>
      <c r="E7" s="156">
        <f t="shared" ref="E7:E15" ca="1" si="0">MIN(C7,D7)</f>
        <v>252.45744983674379</v>
      </c>
      <c r="F7" s="156">
        <f t="shared" ref="F7:F15" ca="1" si="1">E7*B7</f>
        <v>15.147446990204626</v>
      </c>
      <c r="G7" s="156">
        <f ca="1">F7*(100%-'Données projet'!$C$24)*(100%-'Données projet'!$C$25)*(100%-'Données projet'!$C$26)*(100%-'Données projet'!$C$27)</f>
        <v>11.587796947506538</v>
      </c>
      <c r="H7" s="164">
        <f>IF(OR('Données projet'!B10="",'Données projet'!C10="",'Données projet'!C10=0%),0,AVERAGE(Calculateur!$AX$3:$AX$33)*B7)</f>
        <v>1.5454986737031563E-2</v>
      </c>
      <c r="I7" s="158">
        <f>H7*(100%-'Données projet'!$C$24)*(100%-'Données projet'!$C$25)*(100%-'Données projet'!$C$26)*(100%-'Données projet'!$C$27)</f>
        <v>1.1823064853829146E-2</v>
      </c>
      <c r="J7" s="159">
        <f>IF(OR('Données projet'!B10="",'Données projet'!C10="",'Données projet'!C10=0%),0,SUM(Calculateur!$AQ$3:$AQ$33)*VLOOKUP('Données projet'!$B$10,Paramètres!$A$1:$I$89,9,0)*B7)</f>
        <v>0.78</v>
      </c>
      <c r="K7" s="160">
        <f>J7*(100%-'Données projet'!$C$24)*(100%-'Données projet'!$C$25)*(100%-'Données projet'!$C$26)*(100%-'Données projet'!$C$27)</f>
        <v>0.59670000000000001</v>
      </c>
      <c r="L7" s="161">
        <f t="shared" ref="L7:L15" ca="1" si="2">G7+I7+K7</f>
        <v>12.196320012360367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Merisier</v>
      </c>
      <c r="B8" s="163">
        <f>'Données projet'!D11</f>
        <v>0.06</v>
      </c>
      <c r="C8" s="156">
        <f ca="1">IF(OR('Données projet'!B11="",'Données projet'!C11="",'Données projet'!C11=0%),0,Calculateur!BI3)</f>
        <v>252.45744983674379</v>
      </c>
      <c r="D8" s="156">
        <f>IF(OR('Données projet'!B11="",'Données projet'!C11="",'Données projet'!C11=0%),0,Calculateur!BJ3)</f>
        <v>283.28099819802776</v>
      </c>
      <c r="E8" s="156">
        <f t="shared" ca="1" si="0"/>
        <v>252.45744983674379</v>
      </c>
      <c r="F8" s="156">
        <f t="shared" ca="1" si="1"/>
        <v>15.147446990204626</v>
      </c>
      <c r="G8" s="156">
        <f ca="1">F8*(100%-'Données projet'!$C$24)*(100%-'Données projet'!$C$25)*(100%-'Données projet'!$C$26)*(100%-'Données projet'!$C$27)</f>
        <v>11.587796947506538</v>
      </c>
      <c r="H8" s="164">
        <f>IF(OR('Données projet'!B11="",'Données projet'!C11="",'Données projet'!C11=0%),0,AVERAGE(Calculateur!$BS$3:$BS$33)*B8)</f>
        <v>1.5454986737031563E-2</v>
      </c>
      <c r="I8" s="158">
        <f>H8*(100%-'Données projet'!$C$24)*(100%-'Données projet'!$C$25)*(100%-'Données projet'!$C$26)*(100%-'Données projet'!$C$27)</f>
        <v>1.1823064853829146E-2</v>
      </c>
      <c r="J8" s="159">
        <f>IF(OR('Données projet'!B11="",'Données projet'!C11="",'Données projet'!C11=0%),0,SUM(Calculateur!$BL$3:$BL$33)*VLOOKUP('Données projet'!$B$11,Paramètres!$A$1:$I$89,9,0)*B8)</f>
        <v>0.78</v>
      </c>
      <c r="K8" s="160">
        <f>J8*(100%-'Données projet'!$C$24)*(100%-'Données projet'!$C$25)*(100%-'Données projet'!$C$26)*(100%-'Données projet'!$C$27)</f>
        <v>0.59670000000000001</v>
      </c>
      <c r="L8" s="161">
        <f t="shared" ca="1" si="2"/>
        <v>12.196320012360367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Merisier</v>
      </c>
      <c r="B9" s="163">
        <f>'Données projet'!D12</f>
        <v>6.6000000000000003E-2</v>
      </c>
      <c r="C9" s="156">
        <f ca="1">IF(OR('Données projet'!B12="",'Données projet'!C12="",'Données projet'!C12=0%),0,Calculateur!CD3)</f>
        <v>252.45744983674379</v>
      </c>
      <c r="D9" s="156">
        <f>IF(OR('Données projet'!B12="",'Données projet'!C12="",'Données projet'!C12=0%),0,Calculateur!CE3)</f>
        <v>283.28099819802776</v>
      </c>
      <c r="E9" s="156">
        <f t="shared" ca="1" si="0"/>
        <v>252.45744983674379</v>
      </c>
      <c r="F9" s="156">
        <f t="shared" ca="1" si="1"/>
        <v>16.662191689225089</v>
      </c>
      <c r="G9" s="156">
        <f ca="1">F9*(100%-'Données projet'!$C$24)*(100%-'Données projet'!$C$25)*(100%-'Données projet'!$C$26)*(100%-'Données projet'!$C$27)</f>
        <v>12.746576642257194</v>
      </c>
      <c r="H9" s="164">
        <f>IF(OR('Données projet'!B12="",'Données projet'!C12="",'Données projet'!C12=0%),0,AVERAGE(Calculateur!$CN$3:$CN$33)*B9)</f>
        <v>1.700048541073472E-2</v>
      </c>
      <c r="I9" s="158">
        <f>H9*(100%-'Données projet'!$C$24)*(100%-'Données projet'!$C$25)*(100%-'Données projet'!$C$26)*(100%-'Données projet'!$C$27)</f>
        <v>1.3005371339212061E-2</v>
      </c>
      <c r="J9" s="159">
        <f>IF(OR('Données projet'!B12="",'Données projet'!C12="",'Données projet'!C12=0%),0,SUM(Calculateur!$CG$3:$CG$33)*VLOOKUP('Données projet'!$B$12,Paramètres!$A$1:$I$89,9,0)*B9)</f>
        <v>0.8580000000000001</v>
      </c>
      <c r="K9" s="160">
        <f>J9*(100%-'Données projet'!$C$24)*(100%-'Données projet'!$C$25)*(100%-'Données projet'!$C$26)*(100%-'Données projet'!$C$27)</f>
        <v>0.65637000000000012</v>
      </c>
      <c r="L9" s="161">
        <f t="shared" ca="1" si="2"/>
        <v>13.415952013596407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121.79333338399809</v>
      </c>
      <c r="G16" s="175">
        <f t="shared" ca="1" si="3"/>
        <v>93.171900038758537</v>
      </c>
      <c r="H16" s="176">
        <f t="shared" si="3"/>
        <v>0.74173324683840902</v>
      </c>
      <c r="I16" s="176">
        <f t="shared" si="3"/>
        <v>0.56742593383138284</v>
      </c>
      <c r="J16" s="177">
        <f t="shared" si="3"/>
        <v>9.8347582499999984</v>
      </c>
      <c r="K16" s="177">
        <f t="shared" si="3"/>
        <v>7.5235900612499993</v>
      </c>
      <c r="L16" s="178">
        <f t="shared" ca="1" si="3"/>
        <v>101.26291603383993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Merisier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R4" zoomScale="70" zoomScaleNormal="70" workbookViewId="0">
      <selection activeCell="F14" sqref="F1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343.33243407500515</v>
      </c>
      <c r="U10" s="190">
        <f>'Données projet'!D9</f>
        <v>0.41399999999999998</v>
      </c>
      <c r="V10" s="189">
        <f>U10*T10</f>
        <v>142.13962770705211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Merisier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645.17948359001707</v>
      </c>
      <c r="U11" s="190">
        <f>'Données projet'!D10</f>
        <v>0.06</v>
      </c>
      <c r="V11" s="189">
        <f>U11*T11</f>
        <v>38.71076901540102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705.79275911035484</v>
      </c>
      <c r="U12" s="190">
        <f>'Données projet'!D11</f>
        <v>0.06</v>
      </c>
      <c r="V12" s="189">
        <f t="shared" ref="V12:V19" si="0">U12*T12</f>
        <v>42.34756554662129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Merisier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705.79275911035484</v>
      </c>
      <c r="U13" s="190">
        <f>'Données projet'!D12</f>
        <v>6.6000000000000003E-2</v>
      </c>
      <c r="V13" s="189">
        <f t="shared" si="0"/>
        <v>46.582322101283424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0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0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f>8952*1.1</f>
        <v>9847.2000000000007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500*1.1</f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500*1.1</f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17.25</v>
      </c>
      <c r="C23" s="206">
        <f>8*1.1</f>
        <v>8.8000000000000007</v>
      </c>
      <c r="D23" s="194">
        <f>B23*C23</f>
        <v>151.80000000000001</v>
      </c>
      <c r="E23" s="206">
        <f>75+(D23*12%)</f>
        <v>93.216000000000008</v>
      </c>
      <c r="F23" s="261"/>
      <c r="H23" s="203">
        <v>5</v>
      </c>
      <c r="I23" s="204">
        <f>500*1.1</f>
        <v>550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-6240.2920610634283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24.412499999999998</v>
      </c>
      <c r="C24" s="206">
        <f>8*1.1</f>
        <v>8.8000000000000007</v>
      </c>
      <c r="D24" s="194">
        <f t="shared" ref="D24:D42" si="1">B24*C24</f>
        <v>214.83</v>
      </c>
      <c r="E24" s="206">
        <f>75+(D24*12%)</f>
        <v>100.7796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13085.24761925237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41.667500000000004</v>
      </c>
      <c r="C25" s="206">
        <f>16*1.1</f>
        <v>17.600000000000001</v>
      </c>
      <c r="D25" s="194">
        <f t="shared" si="1"/>
        <v>733.34800000000018</v>
      </c>
      <c r="E25" s="206">
        <f>75+(D25*12%)</f>
        <v>163.00176000000002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1007.89</v>
      </c>
      <c r="Q25" s="265"/>
      <c r="R25" s="25"/>
      <c r="S25" s="198" t="s">
        <v>266</v>
      </c>
      <c r="T25" s="336">
        <f ca="1">T23-T24</f>
        <v>-19325.5396803158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47.334000000000003</v>
      </c>
      <c r="C26" s="206">
        <f>19*1.1</f>
        <v>20.900000000000002</v>
      </c>
      <c r="D26" s="194">
        <f t="shared" si="1"/>
        <v>989.28060000000016</v>
      </c>
      <c r="E26" s="206">
        <f>75+(D26*12%)</f>
        <v>193.71367200000003</v>
      </c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53.867200000000004</v>
      </c>
      <c r="C27" s="206">
        <f>29*1.1</f>
        <v>31.900000000000002</v>
      </c>
      <c r="D27" s="194">
        <f t="shared" si="1"/>
        <v>1718.3636800000002</v>
      </c>
      <c r="E27" s="206">
        <f>75+(D27*12%)</f>
        <v>281.20364159999997</v>
      </c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1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1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1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21808.746032087285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1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1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1007.89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964.48803827751203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922.9550605526432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883.21058426090258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845.17759259416539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808.78238525757445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773.95443565318158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740.62625421357075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708.73325762064212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678.21364365611691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649.00827144126026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621.06054683374191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Merisier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594.31631275956181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568.72374426752322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544.23324810289319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520.79736660563935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498.37068574702351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476.90974712633823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456.37296375726157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436.72053948063314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417.91439184749589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28</v>
      </c>
      <c r="C54" s="204">
        <f>13*1.1</f>
        <v>14.3</v>
      </c>
      <c r="D54" s="191">
        <f>B54*C54</f>
        <v>400.40000000000003</v>
      </c>
      <c r="E54" s="206">
        <f>75+(D54*12%)</f>
        <v>123.048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399.91807832296257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24</v>
      </c>
      <c r="C55" s="204">
        <f>13*1.1</f>
        <v>14.3</v>
      </c>
      <c r="D55" s="191">
        <f t="shared" ref="D55:D73" si="3">B55*C55</f>
        <v>343.20000000000005</v>
      </c>
      <c r="E55" s="206">
        <f t="shared" ref="E55:E62" si="4">75+(D55*12%)</f>
        <v>116.184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382.69672566790689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27</v>
      </c>
      <c r="C56" s="204">
        <f>25*1.1</f>
        <v>27.500000000000004</v>
      </c>
      <c r="D56" s="191">
        <f t="shared" si="3"/>
        <v>742.50000000000011</v>
      </c>
      <c r="E56" s="206">
        <f t="shared" si="4"/>
        <v>164.10000000000002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366.21696236163336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32</v>
      </c>
      <c r="C57" s="204">
        <f>25*1.1</f>
        <v>27.500000000000004</v>
      </c>
      <c r="D57" s="191">
        <f t="shared" si="3"/>
        <v>880.00000000000011</v>
      </c>
      <c r="E57" s="206">
        <f t="shared" si="4"/>
        <v>180.60000000000002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350.44685393457746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31</v>
      </c>
      <c r="C58" s="204">
        <f>25*1.1</f>
        <v>27.500000000000004</v>
      </c>
      <c r="D58" s="191">
        <f t="shared" si="3"/>
        <v>852.50000000000011</v>
      </c>
      <c r="E58" s="206">
        <f t="shared" si="4"/>
        <v>177.3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335.35584108572004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30</v>
      </c>
      <c r="C59" s="204">
        <f>25*1.1</f>
        <v>27.500000000000004</v>
      </c>
      <c r="D59" s="191">
        <f t="shared" si="3"/>
        <v>825.00000000000011</v>
      </c>
      <c r="E59" s="206">
        <f t="shared" si="4"/>
        <v>174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320.91468046480401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30</v>
      </c>
      <c r="C60" s="204">
        <f>35*1.1</f>
        <v>38.5</v>
      </c>
      <c r="D60" s="191">
        <f t="shared" si="3"/>
        <v>1155</v>
      </c>
      <c r="E60" s="206">
        <f t="shared" si="4"/>
        <v>213.6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307.09538800459711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27</v>
      </c>
      <c r="C61" s="204">
        <f>35*1.1</f>
        <v>38.5</v>
      </c>
      <c r="D61" s="191">
        <f t="shared" si="3"/>
        <v>1039.5</v>
      </c>
      <c r="E61" s="206">
        <f t="shared" si="4"/>
        <v>199.74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293.87118469339441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3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281.21644468267402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3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269.10664562935324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3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257.51832117641453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3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246.42901547982265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3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235.81723969361025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3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225.66243032881366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3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215.94490940556329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206.64584632111325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3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197.74722135991701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189.23179077504022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3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181.08305337324424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173.28521853898974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165.82317563539689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158.68246472286788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151.84924853862955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145.31028568289909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139.05290495971207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133.06498082269098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127.33490987817319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121.85158840016578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116.60439081355577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111.58314910388114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106.77813311376187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25</v>
      </c>
      <c r="B85" s="193">
        <f>'Données projet'!D88</f>
        <v>28</v>
      </c>
      <c r="C85" s="204">
        <f>13*1.1</f>
        <v>14.3</v>
      </c>
      <c r="D85" s="191">
        <f>B85*C85</f>
        <v>400.40000000000003</v>
      </c>
      <c r="E85" s="206">
        <f>75+(D85*12%)</f>
        <v>123.048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102.18003168781041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24</v>
      </c>
      <c r="C86" s="204">
        <f>13*1.1</f>
        <v>14.3</v>
      </c>
      <c r="D86" s="191">
        <f t="shared" ref="D86:D104" si="6">B86*C86</f>
        <v>343.20000000000005</v>
      </c>
      <c r="E86" s="206">
        <f t="shared" ref="E86:E93" si="7">75+(D86*12%)</f>
        <v>116.184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97.779934629483648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35</v>
      </c>
      <c r="B87" s="193">
        <f>'Données projet'!D90</f>
        <v>27</v>
      </c>
      <c r="C87" s="204">
        <f>25*1.1</f>
        <v>27.500000000000004</v>
      </c>
      <c r="D87" s="191">
        <f t="shared" si="6"/>
        <v>742.50000000000011</v>
      </c>
      <c r="E87" s="206">
        <f t="shared" si="7"/>
        <v>164.10000000000002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93.569315434912625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32</v>
      </c>
      <c r="C88" s="204">
        <f>25*1.1</f>
        <v>27.500000000000004</v>
      </c>
      <c r="D88" s="191">
        <f t="shared" si="6"/>
        <v>880.00000000000011</v>
      </c>
      <c r="E88" s="206">
        <f t="shared" si="7"/>
        <v>180.60000000000002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89.54001477025129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45</v>
      </c>
      <c r="B89" s="193">
        <f>'Données projet'!D92</f>
        <v>31</v>
      </c>
      <c r="C89" s="204">
        <f>25*1.1</f>
        <v>27.500000000000004</v>
      </c>
      <c r="D89" s="191">
        <f t="shared" si="6"/>
        <v>852.50000000000011</v>
      </c>
      <c r="E89" s="206">
        <f t="shared" si="7"/>
        <v>177.3</v>
      </c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85.684224660527576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30</v>
      </c>
      <c r="C90" s="204">
        <f>25*1.1</f>
        <v>27.500000000000004</v>
      </c>
      <c r="D90" s="191">
        <f t="shared" si="6"/>
        <v>825.00000000000011</v>
      </c>
      <c r="E90" s="206">
        <f t="shared" si="7"/>
        <v>174</v>
      </c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81.994473359356547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55</v>
      </c>
      <c r="B91" s="193">
        <f>'Données projet'!D94</f>
        <v>30</v>
      </c>
      <c r="C91" s="204">
        <f>35*1.1</f>
        <v>38.5</v>
      </c>
      <c r="D91" s="191">
        <f t="shared" si="6"/>
        <v>1155</v>
      </c>
      <c r="E91" s="206">
        <f t="shared" si="7"/>
        <v>213.6</v>
      </c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78.46361087019767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27</v>
      </c>
      <c r="C92" s="204">
        <f>35*1.1</f>
        <v>38.5</v>
      </c>
      <c r="D92" s="191">
        <f t="shared" si="6"/>
        <v>1039.5</v>
      </c>
      <c r="E92" s="206">
        <f t="shared" si="7"/>
        <v>199.74</v>
      </c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75.084795091098243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71.851478556074895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8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8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25</v>
      </c>
      <c r="B116" s="193">
        <f>'Données projet'!D114</f>
        <v>28</v>
      </c>
      <c r="C116" s="204">
        <f>13*1.1</f>
        <v>14.3</v>
      </c>
      <c r="D116" s="191">
        <f>B116*C116</f>
        <v>400.40000000000003</v>
      </c>
      <c r="E116" s="206">
        <f>75+(D116*12%)</f>
        <v>123.048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24</v>
      </c>
      <c r="C117" s="204">
        <f>13*1.1</f>
        <v>14.3</v>
      </c>
      <c r="D117" s="191">
        <f t="shared" ref="D117:D135" si="9">B117*C117</f>
        <v>343.20000000000005</v>
      </c>
      <c r="E117" s="206">
        <f t="shared" ref="E117:E124" si="10">75+(D117*12%)</f>
        <v>116.184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35</v>
      </c>
      <c r="B118" s="193">
        <f>'Données projet'!D116</f>
        <v>27</v>
      </c>
      <c r="C118" s="204">
        <f>25*1.1</f>
        <v>27.500000000000004</v>
      </c>
      <c r="D118" s="191">
        <f t="shared" si="9"/>
        <v>742.50000000000011</v>
      </c>
      <c r="E118" s="206">
        <f t="shared" si="10"/>
        <v>164.10000000000002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40</v>
      </c>
      <c r="B119" s="193">
        <f>'Données projet'!D117</f>
        <v>32</v>
      </c>
      <c r="C119" s="204">
        <f>25*1.1</f>
        <v>27.500000000000004</v>
      </c>
      <c r="D119" s="191">
        <f t="shared" si="9"/>
        <v>880.00000000000011</v>
      </c>
      <c r="E119" s="206">
        <f t="shared" si="10"/>
        <v>180.60000000000002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45</v>
      </c>
      <c r="B120" s="193">
        <f>'Données projet'!D118</f>
        <v>31</v>
      </c>
      <c r="C120" s="204">
        <f>25*1.1</f>
        <v>27.500000000000004</v>
      </c>
      <c r="D120" s="191">
        <f t="shared" si="9"/>
        <v>852.50000000000011</v>
      </c>
      <c r="E120" s="206">
        <f t="shared" si="10"/>
        <v>177.3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50</v>
      </c>
      <c r="B121" s="193">
        <f>'Données projet'!D119</f>
        <v>30</v>
      </c>
      <c r="C121" s="204">
        <f>25*1.1</f>
        <v>27.500000000000004</v>
      </c>
      <c r="D121" s="191">
        <f t="shared" si="9"/>
        <v>825.00000000000011</v>
      </c>
      <c r="E121" s="206">
        <f t="shared" si="10"/>
        <v>174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55</v>
      </c>
      <c r="B122" s="193">
        <f>'Données projet'!D120</f>
        <v>30</v>
      </c>
      <c r="C122" s="204">
        <f>35*1.1</f>
        <v>38.5</v>
      </c>
      <c r="D122" s="191">
        <f t="shared" si="9"/>
        <v>1155</v>
      </c>
      <c r="E122" s="206">
        <f t="shared" si="10"/>
        <v>213.6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60</v>
      </c>
      <c r="B123" s="193">
        <f>'Données projet'!D121</f>
        <v>27</v>
      </c>
      <c r="C123" s="204">
        <f>35*1.1</f>
        <v>38.5</v>
      </c>
      <c r="D123" s="191">
        <f t="shared" si="9"/>
        <v>1039.5</v>
      </c>
      <c r="E123" s="206">
        <f t="shared" si="10"/>
        <v>199.74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2022-09-26T10:03:15Z</dcterms:modified>
</cp:coreProperties>
</file>