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Projet\Start-up\Forêt\Atmosylva\Projets forestiers\PE Lelièvre\Nouveaux projets\Presly\Préparation dossier\Questions\"/>
    </mc:Choice>
  </mc:AlternateContent>
  <xr:revisionPtr revIDLastSave="0" documentId="13_ncr:1_{9762709D-9A86-4AF7-BAF9-4368E96CE896}" xr6:coauthVersionLast="47" xr6:coauthVersionMax="47" xr10:uidLastSave="{00000000-0000-0000-0000-000000000000}"/>
  <bookViews>
    <workbookView xWindow="11952" yWindow="1548" windowWidth="10236" windowHeight="106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6" l="1"/>
  <c r="I23" i="6"/>
  <c r="I21" i="6"/>
  <c r="I20" i="6"/>
  <c r="E124" i="6" l="1"/>
  <c r="E123" i="6"/>
  <c r="E122" i="6"/>
  <c r="E121" i="6"/>
  <c r="E120" i="6"/>
  <c r="E119" i="6"/>
  <c r="E118" i="6"/>
  <c r="E117" i="6"/>
  <c r="E116" i="6"/>
  <c r="C124" i="6"/>
  <c r="C123" i="6"/>
  <c r="C122" i="6"/>
  <c r="C121" i="6"/>
  <c r="C120" i="6"/>
  <c r="C119" i="6"/>
  <c r="C118" i="6"/>
  <c r="C117" i="6"/>
  <c r="C116" i="6"/>
  <c r="E93" i="6"/>
  <c r="E92" i="6"/>
  <c r="E91" i="6"/>
  <c r="E90" i="6"/>
  <c r="E89" i="6"/>
  <c r="E88" i="6"/>
  <c r="E87" i="6"/>
  <c r="E86" i="6"/>
  <c r="E85" i="6"/>
  <c r="C93" i="6"/>
  <c r="C92" i="6"/>
  <c r="C91" i="6"/>
  <c r="C90" i="6"/>
  <c r="C89" i="6"/>
  <c r="C88" i="6"/>
  <c r="C87" i="6"/>
  <c r="C86" i="6"/>
  <c r="C85" i="6"/>
  <c r="C62" i="6"/>
  <c r="C61" i="6"/>
  <c r="C60" i="6"/>
  <c r="E58" i="6"/>
  <c r="E59" i="6"/>
  <c r="C58" i="6"/>
  <c r="C59" i="6"/>
  <c r="C57" i="6"/>
  <c r="C56" i="6"/>
  <c r="C55" i="6"/>
  <c r="C54" i="6"/>
  <c r="C27" i="6"/>
  <c r="C26" i="6"/>
  <c r="C25" i="6"/>
  <c r="C24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E55" i="6" s="1"/>
  <c r="D56" i="6"/>
  <c r="E56" i="6" s="1"/>
  <c r="D57" i="6"/>
  <c r="E57" i="6" s="1"/>
  <c r="D58" i="6"/>
  <c r="D59" i="6"/>
  <c r="D60" i="6"/>
  <c r="E60" i="6" s="1"/>
  <c r="D61" i="6"/>
  <c r="E61" i="6" s="1"/>
  <c r="D62" i="6"/>
  <c r="E62" i="6" s="1"/>
  <c r="D63" i="6"/>
  <c r="D64" i="6"/>
  <c r="D65" i="6"/>
  <c r="D66" i="6"/>
  <c r="D67" i="6"/>
  <c r="D68" i="6"/>
  <c r="D69" i="6"/>
  <c r="D70" i="6"/>
  <c r="D71" i="6"/>
  <c r="D72" i="6"/>
  <c r="D73" i="6"/>
  <c r="D54" i="6"/>
  <c r="E54" i="6" s="1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E24" i="6" s="1"/>
  <c r="D25" i="6"/>
  <c r="E25" i="6" s="1"/>
  <c r="D26" i="6"/>
  <c r="E26" i="6" s="1"/>
  <c r="D27" i="6"/>
  <c r="E27" i="6" s="1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E23" i="6" s="1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V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HG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FS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Q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EC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EX130" i="2"/>
  <c r="EB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X145" i="2"/>
  <c r="FR145" i="2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X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FS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X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I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W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W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HI195" i="2"/>
  <c r="AA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68" i="2" a="1"/>
  <c r="GT68" i="2" s="1"/>
  <c r="GT133" i="2" a="1"/>
  <c r="GT133" i="2" s="1"/>
  <c r="GT102" i="2" a="1"/>
  <c r="GT102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21" i="2" a="1"/>
  <c r="GT21" i="2" s="1"/>
  <c r="GT74" i="2" a="1"/>
  <c r="GT74" i="2" s="1"/>
  <c r="GT190" i="2" a="1"/>
  <c r="GT190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AH163" i="2" a="1"/>
  <c r="AH163" i="2" s="1"/>
  <c r="AH19" i="2" a="1"/>
  <c r="AH19" i="2" s="1"/>
  <c r="AH199" i="2" a="1"/>
  <c r="AH199" i="2" s="1"/>
  <c r="GT138" i="2" a="1"/>
  <c r="GT138" i="2" s="1"/>
  <c r="GT12" i="2" a="1"/>
  <c r="GT12" i="2" s="1"/>
  <c r="GT147" i="2" a="1"/>
  <c r="GT147" i="2" s="1"/>
  <c r="GT121" i="2" a="1"/>
  <c r="GT121" i="2" s="1"/>
  <c r="GT181" i="2" a="1"/>
  <c r="GT181" i="2" s="1"/>
  <c r="GT191" i="2" a="1"/>
  <c r="GT191" i="2" s="1"/>
  <c r="GT107" i="2" a="1"/>
  <c r="GT107" i="2" s="1"/>
  <c r="GT38" i="2" a="1"/>
  <c r="GT38" i="2" s="1"/>
  <c r="GT189" i="2" a="1"/>
  <c r="GT189" i="2" s="1"/>
  <c r="GT152" i="2" a="1"/>
  <c r="GT152" i="2" s="1"/>
  <c r="GT122" i="2" a="1"/>
  <c r="GT122" i="2" s="1"/>
  <c r="GT184" i="2" a="1"/>
  <c r="GT184" i="2" s="1"/>
  <c r="BP203" i="2"/>
  <c r="GT178" i="2" a="1"/>
  <c r="GT178" i="2" s="1"/>
  <c r="GT174" i="2" a="1"/>
  <c r="GT174" i="2" s="1"/>
  <c r="GT126" i="2" a="1"/>
  <c r="GT126" i="2" s="1"/>
  <c r="GT198" i="2" a="1"/>
  <c r="GT198" i="2" s="1"/>
  <c r="GT11" i="2" a="1"/>
  <c r="GT11" i="2" s="1"/>
  <c r="GT33" i="2" a="1"/>
  <c r="GT33" i="2" s="1"/>
  <c r="GT51" i="2" a="1"/>
  <c r="GT51" i="2" s="1"/>
  <c r="GT115" i="2" a="1"/>
  <c r="GT115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<sst xmlns="http://schemas.openxmlformats.org/spreadsheetml/2006/main" count="1173" uniqueCount="324">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</sst>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1.5035115935448389</c:v>
                </c:pt>
                <c:pt idx="2">
                  <c:v>1.8449282953754329</c:v>
                </c:pt>
                <c:pt idx="3">
                  <c:v>2.2641777228148707</c:v>
                </c:pt>
                <c:pt idx="4">
                  <c:v>2.7790690120471169</c:v>
                </c:pt>
                <c:pt idx="5">
                  <c:v>3.4115003698024009</c:v>
                </c:pt>
                <c:pt idx="6">
                  <c:v>4.188400967919911</c:v>
                </c:pt>
                <c:pt idx="7">
                  <c:v>5.1428904433639948</c:v>
                </c:pt>
                <c:pt idx="8">
                  <c:v>6.3157064143014097</c:v>
                </c:pt>
                <c:pt idx="9">
                  <c:v>7.7569621301343439</c:v>
                </c:pt>
                <c:pt idx="10">
                  <c:v>9.5283108057200092</c:v>
                </c:pt>
                <c:pt idx="11">
                  <c:v>11.705610982989903</c:v>
                </c:pt>
                <c:pt idx="12">
                  <c:v>14.382209200930864</c:v>
                </c:pt>
                <c:pt idx="13">
                  <c:v>17.672983304811915</c:v>
                </c:pt>
                <c:pt idx="14">
                  <c:v>21.719323081239882</c:v>
                </c:pt>
                <c:pt idx="15">
                  <c:v>26.695266039879836</c:v>
                </c:pt>
                <c:pt idx="16">
                  <c:v>32.815056892829233</c:v>
                </c:pt>
                <c:pt idx="17">
                  <c:v>40.342461851342399</c:v>
                </c:pt>
                <c:pt idx="18">
                  <c:v>49.602246034510351</c:v>
                </c:pt>
                <c:pt idx="19">
                  <c:v>60.994317481325233</c:v>
                </c:pt>
                <c:pt idx="20">
                  <c:v>75.011158692054224</c:v>
                </c:pt>
                <c:pt idx="21">
                  <c:v>92.259311500458224</c:v>
                </c:pt>
                <c:pt idx="22">
                  <c:v>113.48585981797801</c:v>
                </c:pt>
                <c:pt idx="23">
                  <c:v>139.61107532299317</c:v>
                </c:pt>
                <c:pt idx="24">
                  <c:v>171.76866328001665</c:v>
                </c:pt>
                <c:pt idx="25">
                  <c:v>211.35538144796092</c:v>
                </c:pt>
                <c:pt idx="26">
                  <c:v>200.33596006184897</c:v>
                </c:pt>
                <c:pt idx="27">
                  <c:v>209.94080084424982</c:v>
                </c:pt>
                <c:pt idx="28">
                  <c:v>219.53550582468799</c:v>
                </c:pt>
                <c:pt idx="29">
                  <c:v>229.12058085809755</c:v>
                </c:pt>
                <c:pt idx="30">
                  <c:v>238.69648597432544</c:v>
                </c:pt>
                <c:pt idx="31">
                  <c:v>248.2636412415155</c:v>
                </c:pt>
                <c:pt idx="32">
                  <c:v>257.82243167737909</c:v>
                </c:pt>
                <c:pt idx="33">
                  <c:v>267.37321139326599</c:v>
                </c:pt>
                <c:pt idx="34">
                  <c:v>238.44208346548677</c:v>
                </c:pt>
                <c:pt idx="35">
                  <c:v>248.70151316010561</c:v>
                </c:pt>
                <c:pt idx="36">
                  <c:v>258.9513424645869</c:v>
                </c:pt>
                <c:pt idx="37">
                  <c:v>269.19200522524892</c:v>
                </c:pt>
                <c:pt idx="38">
                  <c:v>279.42389955858874</c:v>
                </c:pt>
                <c:pt idx="39">
                  <c:v>289.64739202283312</c:v>
                </c:pt>
                <c:pt idx="40">
                  <c:v>299.86282116927129</c:v>
                </c:pt>
                <c:pt idx="41">
                  <c:v>310.07050058400927</c:v>
                </c:pt>
                <c:pt idx="42">
                  <c:v>261.3356557528063</c:v>
                </c:pt>
                <c:pt idx="43">
                  <c:v>273.25794354559258</c:v>
                </c:pt>
                <c:pt idx="44">
                  <c:v>285.16854135260792</c:v>
                </c:pt>
                <c:pt idx="45">
                  <c:v>297.06800643476817</c:v>
                </c:pt>
                <c:pt idx="46">
                  <c:v>308.95684774308342</c:v>
                </c:pt>
                <c:pt idx="47">
                  <c:v>320.83553184436016</c:v>
                </c:pt>
                <c:pt idx="48">
                  <c:v>332.70448792297452</c:v>
                </c:pt>
                <c:pt idx="49">
                  <c:v>344.56411203126908</c:v>
                </c:pt>
                <c:pt idx="50">
                  <c:v>356.41477072395401</c:v>
                </c:pt>
                <c:pt idx="51">
                  <c:v>368.2568041837207</c:v>
                </c:pt>
                <c:pt idx="52">
                  <c:v>380.09052892369937</c:v>
                </c:pt>
                <c:pt idx="53">
                  <c:v>319.20223017635703</c:v>
                </c:pt>
                <c:pt idx="54">
                  <c:v>332.70903360300042</c:v>
                </c:pt>
                <c:pt idx="55">
                  <c:v>346.20375243398416</c:v>
                </c:pt>
                <c:pt idx="56">
                  <c:v>359.68692411681815</c:v>
                </c:pt>
                <c:pt idx="57">
                  <c:v>373.15904251243165</c:v>
                </c:pt>
                <c:pt idx="58">
                  <c:v>386.620562909201</c:v>
                </c:pt>
                <c:pt idx="59">
                  <c:v>400.07190630207856</c:v>
                </c:pt>
                <c:pt idx="60">
                  <c:v>413.51346306611873</c:v>
                </c:pt>
                <c:pt idx="61">
                  <c:v>2.282709528541206E-12</c:v>
                </c:pt>
                <c:pt idx="62">
                  <c:v>2.282709528541206E-12</c:v>
                </c:pt>
                <c:pt idx="63">
                  <c:v>2.282709528541206E-12</c:v>
                </c:pt>
                <c:pt idx="64">
                  <c:v>2.282709528541206E-12</c:v>
                </c:pt>
                <c:pt idx="65">
                  <c:v>2.282709528541206E-12</c:v>
                </c:pt>
                <c:pt idx="66">
                  <c:v>2.282709528541206E-12</c:v>
                </c:pt>
                <c:pt idx="67">
                  <c:v>2.282709528541206E-12</c:v>
                </c:pt>
                <c:pt idx="68">
                  <c:v>2.282709528541206E-12</c:v>
                </c:pt>
                <c:pt idx="69">
                  <c:v>2.282709528541206E-12</c:v>
                </c:pt>
                <c:pt idx="70">
                  <c:v>2.282709528541206E-12</c:v>
                </c:pt>
                <c:pt idx="71">
                  <c:v>2.282709528541206E-12</c:v>
                </c:pt>
                <c:pt idx="72">
                  <c:v>2.282709528541206E-12</c:v>
                </c:pt>
                <c:pt idx="73">
                  <c:v>2.282709528541206E-12</c:v>
                </c:pt>
                <c:pt idx="74">
                  <c:v>2.282709528541206E-12</c:v>
                </c:pt>
                <c:pt idx="75">
                  <c:v>2.282709528541206E-12</c:v>
                </c:pt>
                <c:pt idx="76">
                  <c:v>2.282709528541206E-12</c:v>
                </c:pt>
                <c:pt idx="77">
                  <c:v>2.282709528541206E-12</c:v>
                </c:pt>
                <c:pt idx="78">
                  <c:v>2.282709528541206E-12</c:v>
                </c:pt>
                <c:pt idx="79">
                  <c:v>2.282709528541206E-12</c:v>
                </c:pt>
                <c:pt idx="80">
                  <c:v>2.282709528541206E-12</c:v>
                </c:pt>
                <c:pt idx="81">
                  <c:v>2.282709528541206E-12</c:v>
                </c:pt>
                <c:pt idx="82">
                  <c:v>2.282709528541206E-12</c:v>
                </c:pt>
                <c:pt idx="83">
                  <c:v>2.282709528541206E-12</c:v>
                </c:pt>
                <c:pt idx="84">
                  <c:v>2.282709528541206E-12</c:v>
                </c:pt>
                <c:pt idx="85">
                  <c:v>2.282709528541206E-12</c:v>
                </c:pt>
                <c:pt idx="86">
                  <c:v>2.282709528541206E-12</c:v>
                </c:pt>
                <c:pt idx="87">
                  <c:v>2.282709528541206E-12</c:v>
                </c:pt>
                <c:pt idx="88">
                  <c:v>2.282709528541206E-12</c:v>
                </c:pt>
                <c:pt idx="89">
                  <c:v>2.282709528541206E-12</c:v>
                </c:pt>
                <c:pt idx="90">
                  <c:v>2.282709528541206E-12</c:v>
                </c:pt>
                <c:pt idx="91">
                  <c:v>2.282709528541206E-12</c:v>
                </c:pt>
                <c:pt idx="92">
                  <c:v>2.282709528541206E-12</c:v>
                </c:pt>
                <c:pt idx="93">
                  <c:v>2.282709528541206E-12</c:v>
                </c:pt>
                <c:pt idx="94">
                  <c:v>2.282709528541206E-12</c:v>
                </c:pt>
                <c:pt idx="95">
                  <c:v>2.282709528541206E-12</c:v>
                </c:pt>
                <c:pt idx="96">
                  <c:v>2.282709528541206E-12</c:v>
                </c:pt>
                <c:pt idx="97">
                  <c:v>2.282709528541206E-12</c:v>
                </c:pt>
                <c:pt idx="98">
                  <c:v>2.282709528541206E-12</c:v>
                </c:pt>
                <c:pt idx="99">
                  <c:v>2.282709528541206E-12</c:v>
                </c:pt>
                <c:pt idx="100">
                  <c:v>2.282709528541206E-12</c:v>
                </c:pt>
                <c:pt idx="101">
                  <c:v>2.282709528541206E-12</c:v>
                </c:pt>
                <c:pt idx="102">
                  <c:v>2.282709528541206E-12</c:v>
                </c:pt>
                <c:pt idx="103">
                  <c:v>2.282709528541206E-12</c:v>
                </c:pt>
                <c:pt idx="104">
                  <c:v>2.282709528541206E-12</c:v>
                </c:pt>
                <c:pt idx="105">
                  <c:v>2.282709528541206E-12</c:v>
                </c:pt>
                <c:pt idx="106">
                  <c:v>2.282709528541206E-12</c:v>
                </c:pt>
                <c:pt idx="107">
                  <c:v>2.282709528541206E-12</c:v>
                </c:pt>
                <c:pt idx="108">
                  <c:v>2.282709528541206E-12</c:v>
                </c:pt>
                <c:pt idx="109">
                  <c:v>2.282709528541206E-12</c:v>
                </c:pt>
                <c:pt idx="110">
                  <c:v>2.282709528541206E-12</c:v>
                </c:pt>
                <c:pt idx="111">
                  <c:v>2.282709528541206E-12</c:v>
                </c:pt>
                <c:pt idx="112">
                  <c:v>2.282709528541206E-12</c:v>
                </c:pt>
                <c:pt idx="113">
                  <c:v>2.282709528541206E-12</c:v>
                </c:pt>
                <c:pt idx="114">
                  <c:v>2.282709528541206E-12</c:v>
                </c:pt>
                <c:pt idx="115">
                  <c:v>2.282709528541206E-12</c:v>
                </c:pt>
                <c:pt idx="116">
                  <c:v>2.282709528541206E-12</c:v>
                </c:pt>
                <c:pt idx="117">
                  <c:v>2.282709528541206E-12</c:v>
                </c:pt>
                <c:pt idx="118">
                  <c:v>2.282709528541206E-12</c:v>
                </c:pt>
                <c:pt idx="119">
                  <c:v>2.282709528541206E-12</c:v>
                </c:pt>
                <c:pt idx="120">
                  <c:v>2.282709528541206E-12</c:v>
                </c:pt>
                <c:pt idx="121">
                  <c:v>2.282709528541206E-12</c:v>
                </c:pt>
                <c:pt idx="122">
                  <c:v>2.282709528541206E-12</c:v>
                </c:pt>
                <c:pt idx="123">
                  <c:v>2.282709528541206E-12</c:v>
                </c:pt>
                <c:pt idx="124">
                  <c:v>2.282709528541206E-12</c:v>
                </c:pt>
                <c:pt idx="125">
                  <c:v>2.282709528541206E-12</c:v>
                </c:pt>
                <c:pt idx="126">
                  <c:v>2.282709528541206E-12</c:v>
                </c:pt>
                <c:pt idx="127">
                  <c:v>2.282709528541206E-12</c:v>
                </c:pt>
                <c:pt idx="128">
                  <c:v>2.282709528541206E-12</c:v>
                </c:pt>
                <c:pt idx="129">
                  <c:v>2.282709528541206E-12</c:v>
                </c:pt>
                <c:pt idx="130">
                  <c:v>2.282709528541206E-12</c:v>
                </c:pt>
                <c:pt idx="131">
                  <c:v>2.282709528541206E-12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173.55265168473866</c:v>
                </c:pt>
                <c:pt idx="22">
                  <c:v>190.45035477579151</c:v>
                </c:pt>
                <c:pt idx="23">
                  <c:v>207.31313753029789</c:v>
                </c:pt>
                <c:pt idx="24">
                  <c:v>224.14424082064872</c:v>
                </c:pt>
                <c:pt idx="25">
                  <c:v>240.94637860003544</c:v>
                </c:pt>
                <c:pt idx="26">
                  <c:v>232.21273151004846</c:v>
                </c:pt>
                <c:pt idx="27">
                  <c:v>250.34379664975143</c:v>
                </c:pt>
                <c:pt idx="28">
                  <c:v>268.44509403501723</c:v>
                </c:pt>
                <c:pt idx="29">
                  <c:v>286.51891307475512</c:v>
                </c:pt>
                <c:pt idx="30">
                  <c:v>304.56723069319679</c:v>
                </c:pt>
                <c:pt idx="31">
                  <c:v>285.51549805235203</c:v>
                </c:pt>
                <c:pt idx="32">
                  <c:v>304.90122958502059</c:v>
                </c:pt>
                <c:pt idx="33">
                  <c:v>324.25956140199474</c:v>
                </c:pt>
                <c:pt idx="34">
                  <c:v>343.59235877087173</c:v>
                </c:pt>
                <c:pt idx="35">
                  <c:v>362.90125995557429</c:v>
                </c:pt>
                <c:pt idx="36">
                  <c:v>333.59571809025681</c:v>
                </c:pt>
                <c:pt idx="37">
                  <c:v>352.58386588275107</c:v>
                </c:pt>
                <c:pt idx="38">
                  <c:v>371.54960739396319</c:v>
                </c:pt>
                <c:pt idx="39">
                  <c:v>390.49424676672493</c:v>
                </c:pt>
                <c:pt idx="40">
                  <c:v>409.41895132244662</c:v>
                </c:pt>
                <c:pt idx="41">
                  <c:v>374.20974903573415</c:v>
                </c:pt>
                <c:pt idx="42">
                  <c:v>392.15509020880739</c:v>
                </c:pt>
                <c:pt idx="43">
                  <c:v>410.0826272965067</c:v>
                </c:pt>
                <c:pt idx="44">
                  <c:v>427.99324784652998</c:v>
                </c:pt>
                <c:pt idx="45">
                  <c:v>445.88775909204782</c:v>
                </c:pt>
                <c:pt idx="46">
                  <c:v>404.7725663863921</c:v>
                </c:pt>
                <c:pt idx="47">
                  <c:v>423.35133170920341</c:v>
                </c:pt>
                <c:pt idx="48">
                  <c:v>441.9125544305254</c:v>
                </c:pt>
                <c:pt idx="49">
                  <c:v>460.45707467656558</c:v>
                </c:pt>
                <c:pt idx="50">
                  <c:v>478.98565941806777</c:v>
                </c:pt>
                <c:pt idx="51">
                  <c:v>437.27384609850304</c:v>
                </c:pt>
                <c:pt idx="52">
                  <c:v>453.50478673498765</c:v>
                </c:pt>
                <c:pt idx="53">
                  <c:v>469.72331365057767</c:v>
                </c:pt>
                <c:pt idx="54">
                  <c:v>485.92991564672792</c:v>
                </c:pt>
                <c:pt idx="55">
                  <c:v>502.1250462743144</c:v>
                </c:pt>
                <c:pt idx="56">
                  <c:v>460.12606445231495</c:v>
                </c:pt>
                <c:pt idx="57">
                  <c:v>476.00889611215524</c:v>
                </c:pt>
                <c:pt idx="58">
                  <c:v>491.88045730137583</c:v>
                </c:pt>
                <c:pt idx="59">
                  <c:v>507.74116274934249</c:v>
                </c:pt>
                <c:pt idx="60">
                  <c:v>523.59139917298648</c:v>
                </c:pt>
                <c:pt idx="61">
                  <c:v>462.44302949249618</c:v>
                </c:pt>
                <c:pt idx="62">
                  <c:v>462.44302949249618</c:v>
                </c:pt>
                <c:pt idx="63">
                  <c:v>462.44302949249618</c:v>
                </c:pt>
                <c:pt idx="64">
                  <c:v>462.44302949249618</c:v>
                </c:pt>
                <c:pt idx="65">
                  <c:v>462.44302949249618</c:v>
                </c:pt>
                <c:pt idx="66">
                  <c:v>462.44302949249618</c:v>
                </c:pt>
                <c:pt idx="67">
                  <c:v>462.44302949249618</c:v>
                </c:pt>
                <c:pt idx="68">
                  <c:v>462.44302949249618</c:v>
                </c:pt>
                <c:pt idx="69">
                  <c:v>462.44302949249618</c:v>
                </c:pt>
                <c:pt idx="70">
                  <c:v>462.44302949249618</c:v>
                </c:pt>
                <c:pt idx="71">
                  <c:v>462.44302949249618</c:v>
                </c:pt>
                <c:pt idx="72">
                  <c:v>462.44302949249618</c:v>
                </c:pt>
                <c:pt idx="73">
                  <c:v>462.44302949249618</c:v>
                </c:pt>
                <c:pt idx="74">
                  <c:v>462.44302949249618</c:v>
                </c:pt>
                <c:pt idx="75">
                  <c:v>462.44302949249618</c:v>
                </c:pt>
                <c:pt idx="76">
                  <c:v>462.44302949249618</c:v>
                </c:pt>
                <c:pt idx="77">
                  <c:v>462.44302949249618</c:v>
                </c:pt>
                <c:pt idx="78">
                  <c:v>462.44302949249618</c:v>
                </c:pt>
                <c:pt idx="79">
                  <c:v>462.44302949249618</c:v>
                </c:pt>
                <c:pt idx="80">
                  <c:v>462.44302949249618</c:v>
                </c:pt>
                <c:pt idx="81">
                  <c:v>462.44302949249618</c:v>
                </c:pt>
                <c:pt idx="82">
                  <c:v>462.44302949249618</c:v>
                </c:pt>
                <c:pt idx="83">
                  <c:v>462.44302949249618</c:v>
                </c:pt>
                <c:pt idx="84">
                  <c:v>462.44302949249618</c:v>
                </c:pt>
                <c:pt idx="85">
                  <c:v>462.44302949249618</c:v>
                </c:pt>
                <c:pt idx="86">
                  <c:v>462.44302949249618</c:v>
                </c:pt>
                <c:pt idx="87">
                  <c:v>462.44302949249618</c:v>
                </c:pt>
                <c:pt idx="88">
                  <c:v>462.44302949249618</c:v>
                </c:pt>
                <c:pt idx="89">
                  <c:v>462.44302949249618</c:v>
                </c:pt>
                <c:pt idx="90">
                  <c:v>462.44302949249618</c:v>
                </c:pt>
                <c:pt idx="91">
                  <c:v>462.44302949249618</c:v>
                </c:pt>
                <c:pt idx="92">
                  <c:v>462.44302949249618</c:v>
                </c:pt>
                <c:pt idx="93">
                  <c:v>462.44302949249618</c:v>
                </c:pt>
                <c:pt idx="94">
                  <c:v>462.44302949249618</c:v>
                </c:pt>
                <c:pt idx="95">
                  <c:v>462.44302949249618</c:v>
                </c:pt>
                <c:pt idx="96">
                  <c:v>462.44302949249618</c:v>
                </c:pt>
                <c:pt idx="97">
                  <c:v>462.44302949249618</c:v>
                </c:pt>
                <c:pt idx="98">
                  <c:v>462.44302949249618</c:v>
                </c:pt>
                <c:pt idx="99">
                  <c:v>462.44302949249618</c:v>
                </c:pt>
                <c:pt idx="100">
                  <c:v>462.44302949249618</c:v>
                </c:pt>
                <c:pt idx="101">
                  <c:v>462.44302949249618</c:v>
                </c:pt>
                <c:pt idx="102">
                  <c:v>462.44302949249618</c:v>
                </c:pt>
                <c:pt idx="103">
                  <c:v>462.44302949249618</c:v>
                </c:pt>
                <c:pt idx="104">
                  <c:v>462.44302949249618</c:v>
                </c:pt>
                <c:pt idx="105">
                  <c:v>462.44302949249618</c:v>
                </c:pt>
                <c:pt idx="106">
                  <c:v>462.44302949249618</c:v>
                </c:pt>
                <c:pt idx="107">
                  <c:v>462.44302949249618</c:v>
                </c:pt>
                <c:pt idx="108">
                  <c:v>462.44302949249618</c:v>
                </c:pt>
                <c:pt idx="109">
                  <c:v>462.44302949249618</c:v>
                </c:pt>
                <c:pt idx="110">
                  <c:v>462.44302949249618</c:v>
                </c:pt>
                <c:pt idx="111">
                  <c:v>462.44302949249618</c:v>
                </c:pt>
                <c:pt idx="112">
                  <c:v>462.44302949249618</c:v>
                </c:pt>
                <c:pt idx="113">
                  <c:v>462.44302949249618</c:v>
                </c:pt>
                <c:pt idx="114">
                  <c:v>462.44302949249618</c:v>
                </c:pt>
                <c:pt idx="115">
                  <c:v>462.44302949249618</c:v>
                </c:pt>
                <c:pt idx="116">
                  <c:v>462.44302949249618</c:v>
                </c:pt>
                <c:pt idx="117">
                  <c:v>462.44302949249618</c:v>
                </c:pt>
                <c:pt idx="118">
                  <c:v>462.44302949249618</c:v>
                </c:pt>
                <c:pt idx="119">
                  <c:v>462.44302949249618</c:v>
                </c:pt>
                <c:pt idx="120">
                  <c:v>462.44302949249618</c:v>
                </c:pt>
                <c:pt idx="121">
                  <c:v>462.44302949249618</c:v>
                </c:pt>
                <c:pt idx="122">
                  <c:v>462.44302949249618</c:v>
                </c:pt>
                <c:pt idx="123">
                  <c:v>462.44302949249618</c:v>
                </c:pt>
                <c:pt idx="124">
                  <c:v>462.44302949249618</c:v>
                </c:pt>
                <c:pt idx="125">
                  <c:v>462.44302949249618</c:v>
                </c:pt>
                <c:pt idx="126">
                  <c:v>462.44302949249618</c:v>
                </c:pt>
                <c:pt idx="127">
                  <c:v>462.44302949249618</c:v>
                </c:pt>
                <c:pt idx="128">
                  <c:v>462.44302949249618</c:v>
                </c:pt>
                <c:pt idx="129">
                  <c:v>462.44302949249618</c:v>
                </c:pt>
                <c:pt idx="130">
                  <c:v>462.44302949249618</c:v>
                </c:pt>
                <c:pt idx="131">
                  <c:v>462.44302949249618</c:v>
                </c:pt>
                <c:pt idx="132">
                  <c:v>462.44302949249618</c:v>
                </c:pt>
                <c:pt idx="133">
                  <c:v>462.44302949249618</c:v>
                </c:pt>
                <c:pt idx="134">
                  <c:v>462.44302949249618</c:v>
                </c:pt>
                <c:pt idx="135">
                  <c:v>462.44302949249618</c:v>
                </c:pt>
                <c:pt idx="136">
                  <c:v>462.44302949249618</c:v>
                </c:pt>
                <c:pt idx="137">
                  <c:v>462.44302949249618</c:v>
                </c:pt>
                <c:pt idx="138">
                  <c:v>462.44302949249618</c:v>
                </c:pt>
                <c:pt idx="139">
                  <c:v>462.44302949249618</c:v>
                </c:pt>
                <c:pt idx="140">
                  <c:v>462.44302949249618</c:v>
                </c:pt>
                <c:pt idx="141">
                  <c:v>462.44302949249618</c:v>
                </c:pt>
                <c:pt idx="142">
                  <c:v>462.44302949249618</c:v>
                </c:pt>
                <c:pt idx="143">
                  <c:v>462.44302949249618</c:v>
                </c:pt>
                <c:pt idx="144">
                  <c:v>462.44302949249618</c:v>
                </c:pt>
                <c:pt idx="145">
                  <c:v>462.44302949249618</c:v>
                </c:pt>
                <c:pt idx="146">
                  <c:v>462.44302949249618</c:v>
                </c:pt>
                <c:pt idx="147">
                  <c:v>462.44302949249618</c:v>
                </c:pt>
                <c:pt idx="148">
                  <c:v>462.44302949249618</c:v>
                </c:pt>
                <c:pt idx="149">
                  <c:v>462.44302949249618</c:v>
                </c:pt>
                <c:pt idx="150">
                  <c:v>462.44302949249618</c:v>
                </c:pt>
                <c:pt idx="151">
                  <c:v>462.44302949249618</c:v>
                </c:pt>
                <c:pt idx="152">
                  <c:v>462.44302949249618</c:v>
                </c:pt>
                <c:pt idx="153">
                  <c:v>462.44302949249618</c:v>
                </c:pt>
                <c:pt idx="154">
                  <c:v>462.44302949249618</c:v>
                </c:pt>
                <c:pt idx="155">
                  <c:v>462.44302949249618</c:v>
                </c:pt>
                <c:pt idx="156">
                  <c:v>462.44302949249618</c:v>
                </c:pt>
                <c:pt idx="157">
                  <c:v>462.44302949249618</c:v>
                </c:pt>
                <c:pt idx="158">
                  <c:v>462.44302949249618</c:v>
                </c:pt>
                <c:pt idx="159">
                  <c:v>462.44302949249618</c:v>
                </c:pt>
                <c:pt idx="160">
                  <c:v>462.44302949249618</c:v>
                </c:pt>
                <c:pt idx="161">
                  <c:v>462.44302949249618</c:v>
                </c:pt>
                <c:pt idx="162">
                  <c:v>462.44302949249618</c:v>
                </c:pt>
                <c:pt idx="163">
                  <c:v>462.44302949249618</c:v>
                </c:pt>
                <c:pt idx="164">
                  <c:v>462.44302949249618</c:v>
                </c:pt>
                <c:pt idx="165">
                  <c:v>462.44302949249618</c:v>
                </c:pt>
                <c:pt idx="166">
                  <c:v>462.44302949249618</c:v>
                </c:pt>
                <c:pt idx="167">
                  <c:v>462.44302949249618</c:v>
                </c:pt>
                <c:pt idx="168">
                  <c:v>462.44302949249618</c:v>
                </c:pt>
                <c:pt idx="169">
                  <c:v>462.44302949249618</c:v>
                </c:pt>
                <c:pt idx="170">
                  <c:v>462.44302949249618</c:v>
                </c:pt>
                <c:pt idx="171">
                  <c:v>462.44302949249618</c:v>
                </c:pt>
                <c:pt idx="172">
                  <c:v>462.44302949249618</c:v>
                </c:pt>
                <c:pt idx="173">
                  <c:v>462.44302949249618</c:v>
                </c:pt>
                <c:pt idx="174">
                  <c:v>462.44302949249618</c:v>
                </c:pt>
                <c:pt idx="175">
                  <c:v>462.44302949249618</c:v>
                </c:pt>
                <c:pt idx="176">
                  <c:v>462.44302949249618</c:v>
                </c:pt>
                <c:pt idx="177">
                  <c:v>462.44302949249618</c:v>
                </c:pt>
                <c:pt idx="178">
                  <c:v>462.44302949249618</c:v>
                </c:pt>
                <c:pt idx="179">
                  <c:v>462.44302949249618</c:v>
                </c:pt>
                <c:pt idx="180">
                  <c:v>462.44302949249618</c:v>
                </c:pt>
                <c:pt idx="181">
                  <c:v>462.44302949249618</c:v>
                </c:pt>
                <c:pt idx="182">
                  <c:v>462.44302949249618</c:v>
                </c:pt>
                <c:pt idx="183">
                  <c:v>462.44302949249618</c:v>
                </c:pt>
                <c:pt idx="184">
                  <c:v>462.44302949249618</c:v>
                </c:pt>
                <c:pt idx="185">
                  <c:v>462.44302949249618</c:v>
                </c:pt>
                <c:pt idx="186">
                  <c:v>462.44302949249618</c:v>
                </c:pt>
                <c:pt idx="187">
                  <c:v>462.44302949249618</c:v>
                </c:pt>
                <c:pt idx="188">
                  <c:v>462.44302949249618</c:v>
                </c:pt>
                <c:pt idx="189">
                  <c:v>462.44302949249618</c:v>
                </c:pt>
                <c:pt idx="190">
                  <c:v>462.44302949249618</c:v>
                </c:pt>
                <c:pt idx="191">
                  <c:v>462.44302949249618</c:v>
                </c:pt>
                <c:pt idx="192">
                  <c:v>462.44302949249618</c:v>
                </c:pt>
                <c:pt idx="193">
                  <c:v>462.44302949249618</c:v>
                </c:pt>
                <c:pt idx="194">
                  <c:v>462.44302949249618</c:v>
                </c:pt>
                <c:pt idx="195">
                  <c:v>462.44302949249618</c:v>
                </c:pt>
                <c:pt idx="196">
                  <c:v>462.44302949249618</c:v>
                </c:pt>
                <c:pt idx="197">
                  <c:v>462.44302949249618</c:v>
                </c:pt>
                <c:pt idx="198">
                  <c:v>462.44302949249618</c:v>
                </c:pt>
                <c:pt idx="199">
                  <c:v>462.44302949249618</c:v>
                </c:pt>
                <c:pt idx="200">
                  <c:v>462.44302949249618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173.55265168473866</c:v>
                </c:pt>
                <c:pt idx="22">
                  <c:v>190.45035477579151</c:v>
                </c:pt>
                <c:pt idx="23">
                  <c:v>207.31313753029789</c:v>
                </c:pt>
                <c:pt idx="24">
                  <c:v>224.14424082064872</c:v>
                </c:pt>
                <c:pt idx="25">
                  <c:v>240.94637860003544</c:v>
                </c:pt>
                <c:pt idx="26">
                  <c:v>232.21273151004846</c:v>
                </c:pt>
                <c:pt idx="27">
                  <c:v>250.34379664975143</c:v>
                </c:pt>
                <c:pt idx="28">
                  <c:v>268.44509403501723</c:v>
                </c:pt>
                <c:pt idx="29">
                  <c:v>286.51891307475512</c:v>
                </c:pt>
                <c:pt idx="30">
                  <c:v>304.56723069319679</c:v>
                </c:pt>
                <c:pt idx="31">
                  <c:v>285.51549805235203</c:v>
                </c:pt>
                <c:pt idx="32">
                  <c:v>304.90122958502059</c:v>
                </c:pt>
                <c:pt idx="33">
                  <c:v>324.25956140199474</c:v>
                </c:pt>
                <c:pt idx="34">
                  <c:v>343.59235877087173</c:v>
                </c:pt>
                <c:pt idx="35">
                  <c:v>362.90125995557429</c:v>
                </c:pt>
                <c:pt idx="36">
                  <c:v>333.59571809025681</c:v>
                </c:pt>
                <c:pt idx="37">
                  <c:v>352.58386588275107</c:v>
                </c:pt>
                <c:pt idx="38">
                  <c:v>371.54960739396319</c:v>
                </c:pt>
                <c:pt idx="39">
                  <c:v>390.49424676672493</c:v>
                </c:pt>
                <c:pt idx="40">
                  <c:v>409.41895132244662</c:v>
                </c:pt>
                <c:pt idx="41">
                  <c:v>374.20974903573415</c:v>
                </c:pt>
                <c:pt idx="42">
                  <c:v>392.15509020880739</c:v>
                </c:pt>
                <c:pt idx="43">
                  <c:v>410.0826272965067</c:v>
                </c:pt>
                <c:pt idx="44">
                  <c:v>427.99324784652998</c:v>
                </c:pt>
                <c:pt idx="45">
                  <c:v>445.88775909204782</c:v>
                </c:pt>
                <c:pt idx="46">
                  <c:v>404.7725663863921</c:v>
                </c:pt>
                <c:pt idx="47">
                  <c:v>423.35133170920341</c:v>
                </c:pt>
                <c:pt idx="48">
                  <c:v>441.9125544305254</c:v>
                </c:pt>
                <c:pt idx="49">
                  <c:v>460.45707467656558</c:v>
                </c:pt>
                <c:pt idx="50">
                  <c:v>478.98565941806777</c:v>
                </c:pt>
                <c:pt idx="51">
                  <c:v>437.27384609850304</c:v>
                </c:pt>
                <c:pt idx="52">
                  <c:v>453.50478673498765</c:v>
                </c:pt>
                <c:pt idx="53">
                  <c:v>469.72331365057767</c:v>
                </c:pt>
                <c:pt idx="54">
                  <c:v>485.92991564672792</c:v>
                </c:pt>
                <c:pt idx="55">
                  <c:v>502.1250462743144</c:v>
                </c:pt>
                <c:pt idx="56">
                  <c:v>460.12606445231495</c:v>
                </c:pt>
                <c:pt idx="57">
                  <c:v>476.00889611215524</c:v>
                </c:pt>
                <c:pt idx="58">
                  <c:v>491.88045730137583</c:v>
                </c:pt>
                <c:pt idx="59">
                  <c:v>507.74116274934249</c:v>
                </c:pt>
                <c:pt idx="60">
                  <c:v>523.59139917298648</c:v>
                </c:pt>
                <c:pt idx="61">
                  <c:v>462.44302949249618</c:v>
                </c:pt>
                <c:pt idx="62">
                  <c:v>462.44302949249618</c:v>
                </c:pt>
                <c:pt idx="63">
                  <c:v>462.44302949249618</c:v>
                </c:pt>
                <c:pt idx="64">
                  <c:v>462.44302949249618</c:v>
                </c:pt>
                <c:pt idx="65">
                  <c:v>462.44302949249618</c:v>
                </c:pt>
                <c:pt idx="66">
                  <c:v>462.44302949249618</c:v>
                </c:pt>
                <c:pt idx="67">
                  <c:v>462.44302949249618</c:v>
                </c:pt>
                <c:pt idx="68">
                  <c:v>462.44302949249618</c:v>
                </c:pt>
                <c:pt idx="69">
                  <c:v>462.44302949249618</c:v>
                </c:pt>
                <c:pt idx="70">
                  <c:v>462.44302949249618</c:v>
                </c:pt>
                <c:pt idx="71">
                  <c:v>462.44302949249618</c:v>
                </c:pt>
                <c:pt idx="72">
                  <c:v>462.44302949249618</c:v>
                </c:pt>
                <c:pt idx="73">
                  <c:v>462.44302949249618</c:v>
                </c:pt>
                <c:pt idx="74">
                  <c:v>462.44302949249618</c:v>
                </c:pt>
                <c:pt idx="75">
                  <c:v>462.44302949249618</c:v>
                </c:pt>
                <c:pt idx="76">
                  <c:v>462.44302949249618</c:v>
                </c:pt>
                <c:pt idx="77">
                  <c:v>462.44302949249618</c:v>
                </c:pt>
                <c:pt idx="78">
                  <c:v>462.44302949249618</c:v>
                </c:pt>
                <c:pt idx="79">
                  <c:v>462.44302949249618</c:v>
                </c:pt>
                <c:pt idx="80">
                  <c:v>462.44302949249618</c:v>
                </c:pt>
                <c:pt idx="81">
                  <c:v>462.44302949249618</c:v>
                </c:pt>
                <c:pt idx="82">
                  <c:v>462.44302949249618</c:v>
                </c:pt>
                <c:pt idx="83">
                  <c:v>462.44302949249618</c:v>
                </c:pt>
                <c:pt idx="84">
                  <c:v>462.44302949249618</c:v>
                </c:pt>
                <c:pt idx="85">
                  <c:v>462.44302949249618</c:v>
                </c:pt>
                <c:pt idx="86">
                  <c:v>462.44302949249618</c:v>
                </c:pt>
                <c:pt idx="87">
                  <c:v>462.44302949249618</c:v>
                </c:pt>
                <c:pt idx="88">
                  <c:v>462.44302949249618</c:v>
                </c:pt>
                <c:pt idx="89">
                  <c:v>462.44302949249618</c:v>
                </c:pt>
                <c:pt idx="90">
                  <c:v>462.44302949249618</c:v>
                </c:pt>
                <c:pt idx="91">
                  <c:v>462.44302949249618</c:v>
                </c:pt>
                <c:pt idx="92">
                  <c:v>462.44302949249618</c:v>
                </c:pt>
                <c:pt idx="93">
                  <c:v>462.44302949249618</c:v>
                </c:pt>
                <c:pt idx="94">
                  <c:v>462.44302949249618</c:v>
                </c:pt>
                <c:pt idx="95">
                  <c:v>462.44302949249618</c:v>
                </c:pt>
                <c:pt idx="96">
                  <c:v>462.44302949249618</c:v>
                </c:pt>
                <c:pt idx="97">
                  <c:v>462.44302949249618</c:v>
                </c:pt>
                <c:pt idx="98">
                  <c:v>462.44302949249618</c:v>
                </c:pt>
                <c:pt idx="99">
                  <c:v>462.44302949249618</c:v>
                </c:pt>
                <c:pt idx="100">
                  <c:v>462.44302949249618</c:v>
                </c:pt>
                <c:pt idx="101">
                  <c:v>462.44302949249618</c:v>
                </c:pt>
                <c:pt idx="102">
                  <c:v>462.44302949249618</c:v>
                </c:pt>
                <c:pt idx="103">
                  <c:v>462.44302949249618</c:v>
                </c:pt>
                <c:pt idx="104">
                  <c:v>462.44302949249618</c:v>
                </c:pt>
                <c:pt idx="105">
                  <c:v>462.44302949249618</c:v>
                </c:pt>
                <c:pt idx="106">
                  <c:v>462.44302949249618</c:v>
                </c:pt>
                <c:pt idx="107">
                  <c:v>462.44302949249618</c:v>
                </c:pt>
                <c:pt idx="108">
                  <c:v>462.44302949249618</c:v>
                </c:pt>
                <c:pt idx="109">
                  <c:v>462.44302949249618</c:v>
                </c:pt>
                <c:pt idx="110">
                  <c:v>462.44302949249618</c:v>
                </c:pt>
                <c:pt idx="111">
                  <c:v>462.44302949249618</c:v>
                </c:pt>
                <c:pt idx="112">
                  <c:v>462.44302949249618</c:v>
                </c:pt>
                <c:pt idx="113">
                  <c:v>462.44302949249618</c:v>
                </c:pt>
                <c:pt idx="114">
                  <c:v>462.44302949249618</c:v>
                </c:pt>
                <c:pt idx="115">
                  <c:v>462.44302949249618</c:v>
                </c:pt>
                <c:pt idx="116">
                  <c:v>462.44302949249618</c:v>
                </c:pt>
                <c:pt idx="117">
                  <c:v>462.44302949249618</c:v>
                </c:pt>
                <c:pt idx="118">
                  <c:v>462.44302949249618</c:v>
                </c:pt>
                <c:pt idx="119">
                  <c:v>462.44302949249618</c:v>
                </c:pt>
                <c:pt idx="120">
                  <c:v>462.44302949249618</c:v>
                </c:pt>
                <c:pt idx="121">
                  <c:v>462.44302949249618</c:v>
                </c:pt>
                <c:pt idx="122">
                  <c:v>462.44302949249618</c:v>
                </c:pt>
                <c:pt idx="123">
                  <c:v>462.44302949249618</c:v>
                </c:pt>
                <c:pt idx="124">
                  <c:v>462.44302949249618</c:v>
                </c:pt>
                <c:pt idx="125">
                  <c:v>462.44302949249618</c:v>
                </c:pt>
                <c:pt idx="126">
                  <c:v>462.44302949249618</c:v>
                </c:pt>
                <c:pt idx="127">
                  <c:v>462.44302949249618</c:v>
                </c:pt>
                <c:pt idx="128">
                  <c:v>462.44302949249618</c:v>
                </c:pt>
                <c:pt idx="129">
                  <c:v>462.44302949249618</c:v>
                </c:pt>
                <c:pt idx="130">
                  <c:v>462.44302949249618</c:v>
                </c:pt>
                <c:pt idx="131">
                  <c:v>462.44302949249618</c:v>
                </c:pt>
                <c:pt idx="132">
                  <c:v>462.44302949249618</c:v>
                </c:pt>
                <c:pt idx="133">
                  <c:v>462.44302949249618</c:v>
                </c:pt>
                <c:pt idx="134">
                  <c:v>462.44302949249618</c:v>
                </c:pt>
                <c:pt idx="135">
                  <c:v>462.44302949249618</c:v>
                </c:pt>
                <c:pt idx="136">
                  <c:v>462.44302949249618</c:v>
                </c:pt>
                <c:pt idx="137">
                  <c:v>462.44302949249618</c:v>
                </c:pt>
                <c:pt idx="138">
                  <c:v>462.44302949249618</c:v>
                </c:pt>
                <c:pt idx="139">
                  <c:v>462.44302949249618</c:v>
                </c:pt>
                <c:pt idx="140">
                  <c:v>462.44302949249618</c:v>
                </c:pt>
                <c:pt idx="141">
                  <c:v>462.44302949249618</c:v>
                </c:pt>
                <c:pt idx="142">
                  <c:v>462.44302949249618</c:v>
                </c:pt>
                <c:pt idx="143">
                  <c:v>462.44302949249618</c:v>
                </c:pt>
                <c:pt idx="144">
                  <c:v>462.44302949249618</c:v>
                </c:pt>
                <c:pt idx="145">
                  <c:v>462.44302949249618</c:v>
                </c:pt>
                <c:pt idx="146">
                  <c:v>462.44302949249618</c:v>
                </c:pt>
                <c:pt idx="147">
                  <c:v>462.44302949249618</c:v>
                </c:pt>
                <c:pt idx="148">
                  <c:v>462.44302949249618</c:v>
                </c:pt>
                <c:pt idx="149">
                  <c:v>462.44302949249618</c:v>
                </c:pt>
                <c:pt idx="150">
                  <c:v>462.44302949249618</c:v>
                </c:pt>
                <c:pt idx="151">
                  <c:v>462.44302949249618</c:v>
                </c:pt>
                <c:pt idx="152">
                  <c:v>462.44302949249618</c:v>
                </c:pt>
                <c:pt idx="153">
                  <c:v>462.44302949249618</c:v>
                </c:pt>
                <c:pt idx="154">
                  <c:v>462.44302949249618</c:v>
                </c:pt>
                <c:pt idx="155">
                  <c:v>462.44302949249618</c:v>
                </c:pt>
                <c:pt idx="156">
                  <c:v>462.44302949249618</c:v>
                </c:pt>
                <c:pt idx="157">
                  <c:v>462.44302949249618</c:v>
                </c:pt>
                <c:pt idx="158">
                  <c:v>462.44302949249618</c:v>
                </c:pt>
                <c:pt idx="159">
                  <c:v>462.44302949249618</c:v>
                </c:pt>
                <c:pt idx="160">
                  <c:v>462.44302949249618</c:v>
                </c:pt>
                <c:pt idx="161">
                  <c:v>462.44302949249618</c:v>
                </c:pt>
                <c:pt idx="162">
                  <c:v>462.44302949249618</c:v>
                </c:pt>
                <c:pt idx="163">
                  <c:v>462.44302949249618</c:v>
                </c:pt>
                <c:pt idx="164">
                  <c:v>462.44302949249618</c:v>
                </c:pt>
                <c:pt idx="165">
                  <c:v>462.44302949249618</c:v>
                </c:pt>
                <c:pt idx="166">
                  <c:v>462.44302949249618</c:v>
                </c:pt>
                <c:pt idx="167">
                  <c:v>462.44302949249618</c:v>
                </c:pt>
                <c:pt idx="168">
                  <c:v>462.44302949249618</c:v>
                </c:pt>
                <c:pt idx="169">
                  <c:v>462.44302949249618</c:v>
                </c:pt>
                <c:pt idx="170">
                  <c:v>462.44302949249618</c:v>
                </c:pt>
                <c:pt idx="171">
                  <c:v>462.44302949249618</c:v>
                </c:pt>
                <c:pt idx="172">
                  <c:v>462.44302949249618</c:v>
                </c:pt>
                <c:pt idx="173">
                  <c:v>462.44302949249618</c:v>
                </c:pt>
                <c:pt idx="174">
                  <c:v>462.44302949249618</c:v>
                </c:pt>
                <c:pt idx="175">
                  <c:v>462.44302949249618</c:v>
                </c:pt>
                <c:pt idx="176">
                  <c:v>462.44302949249618</c:v>
                </c:pt>
                <c:pt idx="177">
                  <c:v>462.44302949249618</c:v>
                </c:pt>
                <c:pt idx="178">
                  <c:v>462.44302949249618</c:v>
                </c:pt>
                <c:pt idx="179">
                  <c:v>462.44302949249618</c:v>
                </c:pt>
                <c:pt idx="180">
                  <c:v>462.44302949249618</c:v>
                </c:pt>
                <c:pt idx="181">
                  <c:v>462.44302949249618</c:v>
                </c:pt>
                <c:pt idx="182">
                  <c:v>462.44302949249618</c:v>
                </c:pt>
                <c:pt idx="183">
                  <c:v>462.44302949249618</c:v>
                </c:pt>
                <c:pt idx="184">
                  <c:v>462.44302949249618</c:v>
                </c:pt>
                <c:pt idx="185">
                  <c:v>462.44302949249618</c:v>
                </c:pt>
                <c:pt idx="186">
                  <c:v>462.44302949249618</c:v>
                </c:pt>
                <c:pt idx="187">
                  <c:v>462.44302949249618</c:v>
                </c:pt>
                <c:pt idx="188">
                  <c:v>462.44302949249618</c:v>
                </c:pt>
                <c:pt idx="189">
                  <c:v>462.44302949249618</c:v>
                </c:pt>
                <c:pt idx="190">
                  <c:v>462.44302949249618</c:v>
                </c:pt>
                <c:pt idx="191">
                  <c:v>462.44302949249618</c:v>
                </c:pt>
                <c:pt idx="192">
                  <c:v>462.44302949249618</c:v>
                </c:pt>
                <c:pt idx="193">
                  <c:v>462.44302949249618</c:v>
                </c:pt>
                <c:pt idx="194">
                  <c:v>462.44302949249618</c:v>
                </c:pt>
                <c:pt idx="195">
                  <c:v>462.44302949249618</c:v>
                </c:pt>
                <c:pt idx="196">
                  <c:v>462.44302949249618</c:v>
                </c:pt>
                <c:pt idx="197">
                  <c:v>462.44302949249618</c:v>
                </c:pt>
                <c:pt idx="198">
                  <c:v>462.44302949249618</c:v>
                </c:pt>
                <c:pt idx="199">
                  <c:v>462.44302949249618</c:v>
                </c:pt>
                <c:pt idx="200">
                  <c:v>462.44302949249618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173.55265168473866</c:v>
                </c:pt>
                <c:pt idx="22">
                  <c:v>190.45035477579151</c:v>
                </c:pt>
                <c:pt idx="23">
                  <c:v>207.31313753029789</c:v>
                </c:pt>
                <c:pt idx="24">
                  <c:v>224.14424082064872</c:v>
                </c:pt>
                <c:pt idx="25">
                  <c:v>240.94637860003544</c:v>
                </c:pt>
                <c:pt idx="26">
                  <c:v>232.21273151004846</c:v>
                </c:pt>
                <c:pt idx="27">
                  <c:v>250.34379664975143</c:v>
                </c:pt>
                <c:pt idx="28">
                  <c:v>268.44509403501723</c:v>
                </c:pt>
                <c:pt idx="29">
                  <c:v>286.51891307475512</c:v>
                </c:pt>
                <c:pt idx="30">
                  <c:v>304.56723069319679</c:v>
                </c:pt>
                <c:pt idx="31">
                  <c:v>285.51549805235203</c:v>
                </c:pt>
                <c:pt idx="32">
                  <c:v>304.90122958502059</c:v>
                </c:pt>
                <c:pt idx="33">
                  <c:v>324.25956140199474</c:v>
                </c:pt>
                <c:pt idx="34">
                  <c:v>343.59235877087173</c:v>
                </c:pt>
                <c:pt idx="35">
                  <c:v>362.90125995557429</c:v>
                </c:pt>
                <c:pt idx="36">
                  <c:v>333.59571809025681</c:v>
                </c:pt>
                <c:pt idx="37">
                  <c:v>352.58386588275107</c:v>
                </c:pt>
                <c:pt idx="38">
                  <c:v>371.54960739396319</c:v>
                </c:pt>
                <c:pt idx="39">
                  <c:v>390.49424676672493</c:v>
                </c:pt>
                <c:pt idx="40">
                  <c:v>409.41895132244662</c:v>
                </c:pt>
                <c:pt idx="41">
                  <c:v>374.20974903573415</c:v>
                </c:pt>
                <c:pt idx="42">
                  <c:v>392.15509020880739</c:v>
                </c:pt>
                <c:pt idx="43">
                  <c:v>410.0826272965067</c:v>
                </c:pt>
                <c:pt idx="44">
                  <c:v>427.99324784652998</c:v>
                </c:pt>
                <c:pt idx="45">
                  <c:v>445.88775909204782</c:v>
                </c:pt>
                <c:pt idx="46">
                  <c:v>404.7725663863921</c:v>
                </c:pt>
                <c:pt idx="47">
                  <c:v>423.35133170920341</c:v>
                </c:pt>
                <c:pt idx="48">
                  <c:v>441.9125544305254</c:v>
                </c:pt>
                <c:pt idx="49">
                  <c:v>460.45707467656558</c:v>
                </c:pt>
                <c:pt idx="50">
                  <c:v>478.98565941806777</c:v>
                </c:pt>
                <c:pt idx="51">
                  <c:v>437.27384609850304</c:v>
                </c:pt>
                <c:pt idx="52">
                  <c:v>453.50478673498765</c:v>
                </c:pt>
                <c:pt idx="53">
                  <c:v>469.72331365057767</c:v>
                </c:pt>
                <c:pt idx="54">
                  <c:v>485.92991564672792</c:v>
                </c:pt>
                <c:pt idx="55">
                  <c:v>502.1250462743144</c:v>
                </c:pt>
                <c:pt idx="56">
                  <c:v>460.12606445231495</c:v>
                </c:pt>
                <c:pt idx="57">
                  <c:v>476.00889611215524</c:v>
                </c:pt>
                <c:pt idx="58">
                  <c:v>491.88045730137583</c:v>
                </c:pt>
                <c:pt idx="59">
                  <c:v>507.74116274934249</c:v>
                </c:pt>
                <c:pt idx="60">
                  <c:v>523.59139917298648</c:v>
                </c:pt>
                <c:pt idx="61">
                  <c:v>462.44302949249618</c:v>
                </c:pt>
                <c:pt idx="62">
                  <c:v>462.44302949249618</c:v>
                </c:pt>
                <c:pt idx="63">
                  <c:v>462.44302949249618</c:v>
                </c:pt>
                <c:pt idx="64">
                  <c:v>462.44302949249618</c:v>
                </c:pt>
                <c:pt idx="65">
                  <c:v>462.44302949249618</c:v>
                </c:pt>
                <c:pt idx="66">
                  <c:v>462.44302949249618</c:v>
                </c:pt>
                <c:pt idx="67">
                  <c:v>462.44302949249618</c:v>
                </c:pt>
                <c:pt idx="68">
                  <c:v>462.44302949249618</c:v>
                </c:pt>
                <c:pt idx="69">
                  <c:v>462.44302949249618</c:v>
                </c:pt>
                <c:pt idx="70">
                  <c:v>462.44302949249618</c:v>
                </c:pt>
                <c:pt idx="71">
                  <c:v>462.44302949249618</c:v>
                </c:pt>
                <c:pt idx="72">
                  <c:v>462.44302949249618</c:v>
                </c:pt>
                <c:pt idx="73">
                  <c:v>462.44302949249618</c:v>
                </c:pt>
                <c:pt idx="74">
                  <c:v>462.44302949249618</c:v>
                </c:pt>
                <c:pt idx="75">
                  <c:v>462.44302949249618</c:v>
                </c:pt>
                <c:pt idx="76">
                  <c:v>462.44302949249618</c:v>
                </c:pt>
                <c:pt idx="77">
                  <c:v>462.44302949249618</c:v>
                </c:pt>
                <c:pt idx="78">
                  <c:v>462.44302949249618</c:v>
                </c:pt>
                <c:pt idx="79">
                  <c:v>462.44302949249618</c:v>
                </c:pt>
                <c:pt idx="80">
                  <c:v>462.44302949249618</c:v>
                </c:pt>
                <c:pt idx="81">
                  <c:v>462.44302949249618</c:v>
                </c:pt>
                <c:pt idx="82">
                  <c:v>462.44302949249618</c:v>
                </c:pt>
                <c:pt idx="83">
                  <c:v>462.44302949249618</c:v>
                </c:pt>
                <c:pt idx="84">
                  <c:v>462.44302949249618</c:v>
                </c:pt>
                <c:pt idx="85">
                  <c:v>462.44302949249618</c:v>
                </c:pt>
                <c:pt idx="86">
                  <c:v>462.44302949249618</c:v>
                </c:pt>
                <c:pt idx="87">
                  <c:v>462.44302949249618</c:v>
                </c:pt>
                <c:pt idx="88">
                  <c:v>462.44302949249618</c:v>
                </c:pt>
                <c:pt idx="89">
                  <c:v>462.44302949249618</c:v>
                </c:pt>
                <c:pt idx="90">
                  <c:v>462.44302949249618</c:v>
                </c:pt>
                <c:pt idx="91">
                  <c:v>462.44302949249618</c:v>
                </c:pt>
                <c:pt idx="92">
                  <c:v>462.44302949249618</c:v>
                </c:pt>
                <c:pt idx="93">
                  <c:v>462.44302949249618</c:v>
                </c:pt>
                <c:pt idx="94">
                  <c:v>462.44302949249618</c:v>
                </c:pt>
                <c:pt idx="95">
                  <c:v>462.44302949249618</c:v>
                </c:pt>
                <c:pt idx="96">
                  <c:v>462.44302949249618</c:v>
                </c:pt>
                <c:pt idx="97">
                  <c:v>462.44302949249618</c:v>
                </c:pt>
                <c:pt idx="98">
                  <c:v>462.44302949249618</c:v>
                </c:pt>
                <c:pt idx="99">
                  <c:v>462.44302949249618</c:v>
                </c:pt>
                <c:pt idx="100">
                  <c:v>462.44302949249618</c:v>
                </c:pt>
                <c:pt idx="101">
                  <c:v>462.44302949249618</c:v>
                </c:pt>
                <c:pt idx="102">
                  <c:v>462.44302949249618</c:v>
                </c:pt>
                <c:pt idx="103">
                  <c:v>462.44302949249618</c:v>
                </c:pt>
                <c:pt idx="104">
                  <c:v>462.44302949249618</c:v>
                </c:pt>
                <c:pt idx="105">
                  <c:v>462.44302949249618</c:v>
                </c:pt>
                <c:pt idx="106">
                  <c:v>462.44302949249618</c:v>
                </c:pt>
                <c:pt idx="107">
                  <c:v>462.44302949249618</c:v>
                </c:pt>
                <c:pt idx="108">
                  <c:v>462.44302949249618</c:v>
                </c:pt>
                <c:pt idx="109">
                  <c:v>462.44302949249618</c:v>
                </c:pt>
                <c:pt idx="110">
                  <c:v>462.44302949249618</c:v>
                </c:pt>
                <c:pt idx="111">
                  <c:v>462.44302949249618</c:v>
                </c:pt>
                <c:pt idx="112">
                  <c:v>462.44302949249618</c:v>
                </c:pt>
                <c:pt idx="113">
                  <c:v>462.44302949249618</c:v>
                </c:pt>
                <c:pt idx="114">
                  <c:v>462.44302949249618</c:v>
                </c:pt>
                <c:pt idx="115">
                  <c:v>462.44302949249618</c:v>
                </c:pt>
                <c:pt idx="116">
                  <c:v>462.44302949249618</c:v>
                </c:pt>
                <c:pt idx="117">
                  <c:v>462.44302949249618</c:v>
                </c:pt>
                <c:pt idx="118">
                  <c:v>462.44302949249618</c:v>
                </c:pt>
                <c:pt idx="119">
                  <c:v>462.44302949249618</c:v>
                </c:pt>
                <c:pt idx="120">
                  <c:v>462.44302949249618</c:v>
                </c:pt>
                <c:pt idx="121">
                  <c:v>462.44302949249618</c:v>
                </c:pt>
                <c:pt idx="122">
                  <c:v>462.44302949249618</c:v>
                </c:pt>
                <c:pt idx="123">
                  <c:v>462.44302949249618</c:v>
                </c:pt>
                <c:pt idx="124">
                  <c:v>462.44302949249618</c:v>
                </c:pt>
                <c:pt idx="125">
                  <c:v>462.44302949249618</c:v>
                </c:pt>
                <c:pt idx="126">
                  <c:v>462.44302949249618</c:v>
                </c:pt>
                <c:pt idx="127">
                  <c:v>462.44302949249618</c:v>
                </c:pt>
                <c:pt idx="128">
                  <c:v>462.44302949249618</c:v>
                </c:pt>
                <c:pt idx="129">
                  <c:v>462.44302949249618</c:v>
                </c:pt>
                <c:pt idx="130">
                  <c:v>462.44302949249618</c:v>
                </c:pt>
                <c:pt idx="131">
                  <c:v>462.44302949249618</c:v>
                </c:pt>
                <c:pt idx="132">
                  <c:v>462.44302949249618</c:v>
                </c:pt>
                <c:pt idx="133">
                  <c:v>462.44302949249618</c:v>
                </c:pt>
                <c:pt idx="134">
                  <c:v>462.44302949249618</c:v>
                </c:pt>
                <c:pt idx="135">
                  <c:v>462.44302949249618</c:v>
                </c:pt>
                <c:pt idx="136">
                  <c:v>462.44302949249618</c:v>
                </c:pt>
                <c:pt idx="137">
                  <c:v>462.44302949249618</c:v>
                </c:pt>
                <c:pt idx="138">
                  <c:v>462.44302949249618</c:v>
                </c:pt>
                <c:pt idx="139">
                  <c:v>462.44302949249618</c:v>
                </c:pt>
                <c:pt idx="140">
                  <c:v>462.44302949249618</c:v>
                </c:pt>
                <c:pt idx="141">
                  <c:v>462.44302949249618</c:v>
                </c:pt>
                <c:pt idx="142">
                  <c:v>462.44302949249618</c:v>
                </c:pt>
                <c:pt idx="143">
                  <c:v>462.44302949249618</c:v>
                </c:pt>
                <c:pt idx="144">
                  <c:v>462.44302949249618</c:v>
                </c:pt>
                <c:pt idx="145">
                  <c:v>462.44302949249618</c:v>
                </c:pt>
                <c:pt idx="146">
                  <c:v>462.44302949249618</c:v>
                </c:pt>
                <c:pt idx="147">
                  <c:v>462.44302949249618</c:v>
                </c:pt>
                <c:pt idx="148">
                  <c:v>462.44302949249618</c:v>
                </c:pt>
                <c:pt idx="149">
                  <c:v>462.44302949249618</c:v>
                </c:pt>
                <c:pt idx="150">
                  <c:v>462.44302949249618</c:v>
                </c:pt>
                <c:pt idx="151">
                  <c:v>462.44302949249618</c:v>
                </c:pt>
                <c:pt idx="152">
                  <c:v>462.44302949249618</c:v>
                </c:pt>
                <c:pt idx="153">
                  <c:v>462.44302949249618</c:v>
                </c:pt>
                <c:pt idx="154">
                  <c:v>462.44302949249618</c:v>
                </c:pt>
                <c:pt idx="155">
                  <c:v>462.44302949249618</c:v>
                </c:pt>
                <c:pt idx="156">
                  <c:v>462.44302949249618</c:v>
                </c:pt>
                <c:pt idx="157">
                  <c:v>462.44302949249618</c:v>
                </c:pt>
                <c:pt idx="158">
                  <c:v>462.44302949249618</c:v>
                </c:pt>
                <c:pt idx="159">
                  <c:v>462.44302949249618</c:v>
                </c:pt>
                <c:pt idx="160">
                  <c:v>462.44302949249618</c:v>
                </c:pt>
                <c:pt idx="161">
                  <c:v>462.44302949249618</c:v>
                </c:pt>
                <c:pt idx="162">
                  <c:v>462.44302949249618</c:v>
                </c:pt>
                <c:pt idx="163">
                  <c:v>462.44302949249618</c:v>
                </c:pt>
                <c:pt idx="164">
                  <c:v>462.44302949249618</c:v>
                </c:pt>
                <c:pt idx="165">
                  <c:v>462.44302949249618</c:v>
                </c:pt>
                <c:pt idx="166">
                  <c:v>462.44302949249618</c:v>
                </c:pt>
                <c:pt idx="167">
                  <c:v>462.44302949249618</c:v>
                </c:pt>
                <c:pt idx="168">
                  <c:v>462.44302949249618</c:v>
                </c:pt>
                <c:pt idx="169">
                  <c:v>462.44302949249618</c:v>
                </c:pt>
                <c:pt idx="170">
                  <c:v>462.44302949249618</c:v>
                </c:pt>
                <c:pt idx="171">
                  <c:v>462.44302949249618</c:v>
                </c:pt>
                <c:pt idx="172">
                  <c:v>462.44302949249618</c:v>
                </c:pt>
                <c:pt idx="173">
                  <c:v>462.44302949249618</c:v>
                </c:pt>
                <c:pt idx="174">
                  <c:v>462.44302949249618</c:v>
                </c:pt>
                <c:pt idx="175">
                  <c:v>462.44302949249618</c:v>
                </c:pt>
                <c:pt idx="176">
                  <c:v>462.44302949249618</c:v>
                </c:pt>
                <c:pt idx="177">
                  <c:v>462.44302949249618</c:v>
                </c:pt>
                <c:pt idx="178">
                  <c:v>462.44302949249618</c:v>
                </c:pt>
                <c:pt idx="179">
                  <c:v>462.44302949249618</c:v>
                </c:pt>
                <c:pt idx="180">
                  <c:v>462.44302949249618</c:v>
                </c:pt>
                <c:pt idx="181">
                  <c:v>462.44302949249618</c:v>
                </c:pt>
                <c:pt idx="182">
                  <c:v>462.44302949249618</c:v>
                </c:pt>
                <c:pt idx="183">
                  <c:v>462.44302949249618</c:v>
                </c:pt>
                <c:pt idx="184">
                  <c:v>462.44302949249618</c:v>
                </c:pt>
                <c:pt idx="185">
                  <c:v>462.44302949249618</c:v>
                </c:pt>
                <c:pt idx="186">
                  <c:v>462.44302949249618</c:v>
                </c:pt>
                <c:pt idx="187">
                  <c:v>462.44302949249618</c:v>
                </c:pt>
                <c:pt idx="188">
                  <c:v>462.44302949249618</c:v>
                </c:pt>
                <c:pt idx="189">
                  <c:v>462.44302949249618</c:v>
                </c:pt>
                <c:pt idx="190">
                  <c:v>462.44302949249618</c:v>
                </c:pt>
                <c:pt idx="191">
                  <c:v>462.44302949249618</c:v>
                </c:pt>
                <c:pt idx="192">
                  <c:v>462.44302949249618</c:v>
                </c:pt>
                <c:pt idx="193">
                  <c:v>462.44302949249618</c:v>
                </c:pt>
                <c:pt idx="194">
                  <c:v>462.44302949249618</c:v>
                </c:pt>
                <c:pt idx="195">
                  <c:v>462.44302949249618</c:v>
                </c:pt>
                <c:pt idx="196">
                  <c:v>462.44302949249618</c:v>
                </c:pt>
                <c:pt idx="197">
                  <c:v>462.44302949249618</c:v>
                </c:pt>
                <c:pt idx="198">
                  <c:v>462.44302949249618</c:v>
                </c:pt>
                <c:pt idx="199">
                  <c:v>462.44302949249618</c:v>
                </c:pt>
                <c:pt idx="200">
                  <c:v>462.44302949249618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="80" zoomScaleNormal="80" workbookViewId="0">
      <selection activeCell="B44" sqref="B4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0.7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0.69</v>
      </c>
      <c r="D9" s="36">
        <f t="shared" ref="D9:D18" si="0">C9*$C$5</f>
        <v>0.48299999999999993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29</v>
      </c>
      <c r="C10" s="35">
        <v>0.1</v>
      </c>
      <c r="D10" s="36">
        <f t="shared" si="0"/>
        <v>6.9999999999999993E-2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29</v>
      </c>
      <c r="C11" s="35">
        <v>0.1</v>
      </c>
      <c r="D11" s="36">
        <f t="shared" si="0"/>
        <v>6.9999999999999993E-2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29</v>
      </c>
      <c r="C12" s="35">
        <v>0.11</v>
      </c>
      <c r="D12" s="36">
        <f t="shared" si="0"/>
        <v>7.6999999999999999E-2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0.99999999999999989</v>
      </c>
      <c r="D19" s="41">
        <f>SUM(D9:D18)</f>
        <v>0.69999999999999984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25</v>
      </c>
      <c r="B36" s="63">
        <v>204</v>
      </c>
      <c r="C36" s="63">
        <v>1</v>
      </c>
      <c r="D36" s="63">
        <v>20.399999999999999</v>
      </c>
      <c r="E36" s="54"/>
      <c r="F36" s="54">
        <v>0.4</v>
      </c>
      <c r="G36" s="54">
        <v>0.6</v>
      </c>
      <c r="H36" s="54"/>
      <c r="I36" s="52">
        <f>IFERROR(B36/A36,"")</f>
        <v>8.16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33</v>
      </c>
      <c r="B37" s="63">
        <v>259.60000000000002</v>
      </c>
      <c r="C37" s="63">
        <v>2</v>
      </c>
      <c r="D37" s="63">
        <v>38.94</v>
      </c>
      <c r="E37" s="54"/>
      <c r="F37" s="54">
        <v>0.4</v>
      </c>
      <c r="G37" s="54">
        <v>0.6</v>
      </c>
      <c r="H37" s="54"/>
      <c r="I37" s="56">
        <f t="shared" ref="I37:I55" si="1">IF(A37&lt;&gt;0,(B37-(B36-D36))/(A37-A36),"")</f>
        <v>9.5000000000000036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41</v>
      </c>
      <c r="B38" s="63">
        <v>302.16000000000003</v>
      </c>
      <c r="C38" s="63">
        <v>3</v>
      </c>
      <c r="D38" s="63">
        <v>60.43</v>
      </c>
      <c r="E38" s="54">
        <v>0.5</v>
      </c>
      <c r="F38" s="54">
        <v>0.2</v>
      </c>
      <c r="G38" s="54">
        <v>0.3</v>
      </c>
      <c r="H38" s="54"/>
      <c r="I38" s="56">
        <f t="shared" si="1"/>
        <v>10.1875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52</v>
      </c>
      <c r="B39" s="63">
        <v>372.23</v>
      </c>
      <c r="C39" s="63">
        <v>4</v>
      </c>
      <c r="D39" s="63">
        <v>74.45</v>
      </c>
      <c r="E39" s="54">
        <v>0.5</v>
      </c>
      <c r="F39" s="54">
        <v>0.2</v>
      </c>
      <c r="G39" s="54">
        <v>0.3</v>
      </c>
      <c r="H39" s="54"/>
      <c r="I39" s="52">
        <f t="shared" si="1"/>
        <v>11.863636363636363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60</v>
      </c>
      <c r="B40" s="63">
        <v>405.78</v>
      </c>
      <c r="C40" s="63">
        <v>5</v>
      </c>
      <c r="D40" s="63">
        <v>405.78</v>
      </c>
      <c r="E40" s="54">
        <v>0.5</v>
      </c>
      <c r="F40" s="54">
        <v>0.2</v>
      </c>
      <c r="G40" s="54">
        <v>0.3</v>
      </c>
      <c r="H40" s="54"/>
      <c r="I40" s="52">
        <f t="shared" si="1"/>
        <v>13.499999999999993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Merisier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117</v>
      </c>
      <c r="C62" s="63">
        <v>1</v>
      </c>
      <c r="D62" s="63">
        <v>27</v>
      </c>
      <c r="E62" s="54"/>
      <c r="F62" s="54"/>
      <c r="G62" s="54"/>
      <c r="H62" s="54">
        <v>1</v>
      </c>
      <c r="I62" s="56">
        <f>IFERROR(B62/A62,"")</f>
        <v>5.85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140</v>
      </c>
      <c r="C63" s="63">
        <v>2</v>
      </c>
      <c r="D63" s="63">
        <v>16</v>
      </c>
      <c r="E63" s="54"/>
      <c r="F63" s="54"/>
      <c r="G63" s="54"/>
      <c r="H63" s="54">
        <v>1</v>
      </c>
      <c r="I63" s="52">
        <f>IF(A63&lt;&gt;0,(B63-(B62-D62))/(A63-A62),"")</f>
        <v>10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178</v>
      </c>
      <c r="C64" s="63">
        <v>3</v>
      </c>
      <c r="D64" s="63">
        <v>23</v>
      </c>
      <c r="E64" s="54">
        <v>0.5</v>
      </c>
      <c r="F64" s="54">
        <v>0.1</v>
      </c>
      <c r="G64" s="54">
        <v>0.15</v>
      </c>
      <c r="H64" s="54">
        <v>0.25</v>
      </c>
      <c r="I64" s="52">
        <f>IF(A64&lt;&gt;0,(B64-(B63-D63))/(A64-A63),"")</f>
        <v>10.8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213</v>
      </c>
      <c r="C65" s="63">
        <v>4</v>
      </c>
      <c r="D65" s="63">
        <v>29</v>
      </c>
      <c r="E65" s="54">
        <v>0.5</v>
      </c>
      <c r="F65" s="54">
        <v>0.1</v>
      </c>
      <c r="G65" s="54">
        <v>0.15</v>
      </c>
      <c r="H65" s="54">
        <v>0.25</v>
      </c>
      <c r="I65" s="52">
        <f>IF(A65&lt;&gt;0,(B65-(B64-D64))/(A65-A64),"")</f>
        <v>11.6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241</v>
      </c>
      <c r="C66" s="63">
        <v>5</v>
      </c>
      <c r="D66" s="63">
        <v>32</v>
      </c>
      <c r="E66" s="54">
        <v>0.5</v>
      </c>
      <c r="F66" s="54">
        <v>0.1</v>
      </c>
      <c r="G66" s="54">
        <v>0.15</v>
      </c>
      <c r="H66" s="54">
        <v>0.25</v>
      </c>
      <c r="I66" s="52">
        <f t="shared" ref="I66:I81" si="2">IF(A66&lt;&gt;0,(B66-(B65-D65))/(A66-A65),"")</f>
        <v>11.4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263</v>
      </c>
      <c r="C67" s="63">
        <v>6</v>
      </c>
      <c r="D67" s="63">
        <v>36</v>
      </c>
      <c r="E67" s="54">
        <v>0.5</v>
      </c>
      <c r="F67" s="54">
        <v>0.1</v>
      </c>
      <c r="G67" s="54">
        <v>0.15</v>
      </c>
      <c r="H67" s="54">
        <v>0.25</v>
      </c>
      <c r="I67" s="52">
        <f t="shared" si="2"/>
        <v>10.8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283</v>
      </c>
      <c r="C68" s="63">
        <v>7</v>
      </c>
      <c r="D68" s="63">
        <v>35</v>
      </c>
      <c r="E68" s="54">
        <v>0.5</v>
      </c>
      <c r="F68" s="54">
        <v>0.1</v>
      </c>
      <c r="G68" s="54">
        <v>0.15</v>
      </c>
      <c r="H68" s="54">
        <v>0.25</v>
      </c>
      <c r="I68" s="52">
        <f t="shared" si="2"/>
        <v>11.2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297</v>
      </c>
      <c r="C69" s="53">
        <v>8</v>
      </c>
      <c r="D69" s="53">
        <v>35</v>
      </c>
      <c r="E69" s="54">
        <v>0.5</v>
      </c>
      <c r="F69" s="54">
        <v>0.1</v>
      </c>
      <c r="G69" s="54">
        <v>0.15</v>
      </c>
      <c r="H69" s="54">
        <v>0.25</v>
      </c>
      <c r="I69" s="52">
        <f t="shared" si="2"/>
        <v>9.8000000000000007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310</v>
      </c>
      <c r="C70" s="53">
        <v>9</v>
      </c>
      <c r="D70" s="53">
        <v>37</v>
      </c>
      <c r="E70" s="54">
        <v>0.5</v>
      </c>
      <c r="F70" s="54">
        <v>0.1</v>
      </c>
      <c r="G70" s="54">
        <v>0.15</v>
      </c>
      <c r="H70" s="54">
        <v>0.25</v>
      </c>
      <c r="I70" s="52">
        <f t="shared" si="2"/>
        <v>9.6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Merisier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117</v>
      </c>
      <c r="C88" s="63">
        <v>1</v>
      </c>
      <c r="D88" s="63">
        <v>27</v>
      </c>
      <c r="E88" s="54"/>
      <c r="F88" s="54"/>
      <c r="G88" s="54"/>
      <c r="H88" s="54">
        <v>1</v>
      </c>
      <c r="I88" s="56">
        <f>IFERROR(B88/A88,"")</f>
        <v>5.85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140</v>
      </c>
      <c r="C89" s="63">
        <v>2</v>
      </c>
      <c r="D89" s="63">
        <v>16</v>
      </c>
      <c r="E89" s="54"/>
      <c r="F89" s="54"/>
      <c r="G89" s="54"/>
      <c r="H89" s="54">
        <v>1</v>
      </c>
      <c r="I89" s="56">
        <f t="shared" ref="I89:I107" si="3">IF(A89&lt;&gt;0,(B89-(B88-D88))/(A89-A88),"")</f>
        <v>10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178</v>
      </c>
      <c r="C90" s="63">
        <v>3</v>
      </c>
      <c r="D90" s="63">
        <v>23</v>
      </c>
      <c r="E90" s="54">
        <v>0.5</v>
      </c>
      <c r="F90" s="54">
        <v>0.1</v>
      </c>
      <c r="G90" s="54">
        <v>0.15</v>
      </c>
      <c r="H90" s="54">
        <v>0.25</v>
      </c>
      <c r="I90" s="56">
        <f t="shared" si="3"/>
        <v>10.8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v>213</v>
      </c>
      <c r="C91" s="63">
        <v>4</v>
      </c>
      <c r="D91" s="63">
        <v>29</v>
      </c>
      <c r="E91" s="54">
        <v>0.5</v>
      </c>
      <c r="F91" s="54">
        <v>0.1</v>
      </c>
      <c r="G91" s="54">
        <v>0.15</v>
      </c>
      <c r="H91" s="54">
        <v>0.25</v>
      </c>
      <c r="I91" s="56">
        <f t="shared" si="3"/>
        <v>11.6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v>241</v>
      </c>
      <c r="C92" s="63">
        <v>5</v>
      </c>
      <c r="D92" s="63">
        <v>32</v>
      </c>
      <c r="E92" s="54">
        <v>0.5</v>
      </c>
      <c r="F92" s="54">
        <v>0.1</v>
      </c>
      <c r="G92" s="54">
        <v>0.15</v>
      </c>
      <c r="H92" s="54">
        <v>0.25</v>
      </c>
      <c r="I92" s="56">
        <f t="shared" si="3"/>
        <v>11.4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v>263</v>
      </c>
      <c r="C93" s="63">
        <v>6</v>
      </c>
      <c r="D93" s="63">
        <v>36</v>
      </c>
      <c r="E93" s="54">
        <v>0.5</v>
      </c>
      <c r="F93" s="54">
        <v>0.1</v>
      </c>
      <c r="G93" s="54">
        <v>0.15</v>
      </c>
      <c r="H93" s="54">
        <v>0.25</v>
      </c>
      <c r="I93" s="56">
        <f t="shared" si="3"/>
        <v>10.8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v>283</v>
      </c>
      <c r="C94" s="63">
        <v>7</v>
      </c>
      <c r="D94" s="63">
        <v>35</v>
      </c>
      <c r="E94" s="54">
        <v>0.5</v>
      </c>
      <c r="F94" s="54">
        <v>0.1</v>
      </c>
      <c r="G94" s="54">
        <v>0.15</v>
      </c>
      <c r="H94" s="54">
        <v>0.25</v>
      </c>
      <c r="I94" s="56">
        <f t="shared" si="3"/>
        <v>11.2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53">
        <v>297</v>
      </c>
      <c r="C95" s="53">
        <v>8</v>
      </c>
      <c r="D95" s="53">
        <v>35</v>
      </c>
      <c r="E95" s="54">
        <v>0.5</v>
      </c>
      <c r="F95" s="54">
        <v>0.1</v>
      </c>
      <c r="G95" s="54">
        <v>0.15</v>
      </c>
      <c r="H95" s="54">
        <v>0.25</v>
      </c>
      <c r="I95" s="56">
        <f t="shared" si="3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310</v>
      </c>
      <c r="C96" s="53">
        <v>9</v>
      </c>
      <c r="D96" s="53">
        <v>37</v>
      </c>
      <c r="E96" s="54">
        <v>0.5</v>
      </c>
      <c r="F96" s="54">
        <v>0.1</v>
      </c>
      <c r="G96" s="54">
        <v>0.15</v>
      </c>
      <c r="H96" s="54">
        <v>0.25</v>
      </c>
      <c r="I96" s="56">
        <f t="shared" si="3"/>
        <v>9.6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Merisier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117</v>
      </c>
      <c r="C114" s="63">
        <v>1</v>
      </c>
      <c r="D114" s="63">
        <v>27</v>
      </c>
      <c r="E114" s="54"/>
      <c r="F114" s="54"/>
      <c r="G114" s="54"/>
      <c r="H114" s="54">
        <v>1</v>
      </c>
      <c r="I114" s="56">
        <f>IFERROR(B114/A114,"")</f>
        <v>5.85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v>140</v>
      </c>
      <c r="C115" s="63">
        <v>2</v>
      </c>
      <c r="D115" s="63">
        <v>16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10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v>178</v>
      </c>
      <c r="C116" s="63">
        <v>3</v>
      </c>
      <c r="D116" s="63">
        <v>23</v>
      </c>
      <c r="E116" s="54">
        <v>0.5</v>
      </c>
      <c r="F116" s="54">
        <v>0.1</v>
      </c>
      <c r="G116" s="54">
        <v>0.15</v>
      </c>
      <c r="H116" s="54">
        <v>0.25</v>
      </c>
      <c r="I116" s="56">
        <f t="shared" si="4"/>
        <v>10.8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v>213</v>
      </c>
      <c r="C117" s="63">
        <v>4</v>
      </c>
      <c r="D117" s="63">
        <v>29</v>
      </c>
      <c r="E117" s="54">
        <v>0.5</v>
      </c>
      <c r="F117" s="54">
        <v>0.1</v>
      </c>
      <c r="G117" s="54">
        <v>0.15</v>
      </c>
      <c r="H117" s="54">
        <v>0.25</v>
      </c>
      <c r="I117" s="56">
        <f t="shared" si="4"/>
        <v>11.6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v>241</v>
      </c>
      <c r="C118" s="63">
        <v>5</v>
      </c>
      <c r="D118" s="63">
        <v>32</v>
      </c>
      <c r="E118" s="54">
        <v>0.5</v>
      </c>
      <c r="F118" s="54">
        <v>0.1</v>
      </c>
      <c r="G118" s="54">
        <v>0.15</v>
      </c>
      <c r="H118" s="54">
        <v>0.25</v>
      </c>
      <c r="I118" s="56">
        <f t="shared" si="4"/>
        <v>11.4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v>263</v>
      </c>
      <c r="C119" s="63">
        <v>6</v>
      </c>
      <c r="D119" s="63">
        <v>36</v>
      </c>
      <c r="E119" s="54">
        <v>0.5</v>
      </c>
      <c r="F119" s="54">
        <v>0.1</v>
      </c>
      <c r="G119" s="54">
        <v>0.15</v>
      </c>
      <c r="H119" s="54">
        <v>0.25</v>
      </c>
      <c r="I119" s="56">
        <f t="shared" si="4"/>
        <v>10.8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3">
        <v>283</v>
      </c>
      <c r="C120" s="63">
        <v>7</v>
      </c>
      <c r="D120" s="63">
        <v>35</v>
      </c>
      <c r="E120" s="54">
        <v>0.5</v>
      </c>
      <c r="F120" s="54">
        <v>0.1</v>
      </c>
      <c r="G120" s="54">
        <v>0.15</v>
      </c>
      <c r="H120" s="54">
        <v>0.25</v>
      </c>
      <c r="I120" s="56">
        <f t="shared" si="4"/>
        <v>11.2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53">
        <v>297</v>
      </c>
      <c r="C121" s="53">
        <v>8</v>
      </c>
      <c r="D121" s="53">
        <v>35</v>
      </c>
      <c r="E121" s="54">
        <v>0.5</v>
      </c>
      <c r="F121" s="54">
        <v>0.1</v>
      </c>
      <c r="G121" s="54">
        <v>0.15</v>
      </c>
      <c r="H121" s="54">
        <v>0.25</v>
      </c>
      <c r="I121" s="56">
        <f t="shared" si="4"/>
        <v>9.8000000000000007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53">
        <v>310</v>
      </c>
      <c r="C122" s="53">
        <v>9</v>
      </c>
      <c r="D122" s="53">
        <v>37</v>
      </c>
      <c r="E122" s="54">
        <v>0.5</v>
      </c>
      <c r="F122" s="54">
        <v>0.1</v>
      </c>
      <c r="G122" s="54">
        <v>0.15</v>
      </c>
      <c r="H122" s="54">
        <v>0.25</v>
      </c>
      <c r="I122" s="56">
        <f t="shared" si="4"/>
        <v>9.6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90" zoomScaleNormal="90" workbookViewId="0">
      <selection activeCell="G22" sqref="G2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Merisier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Merisier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Merisier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234.81928430389272</v>
      </c>
      <c r="T3" s="62">
        <f>IF('Données projet'!E9&gt;30,$R$33-$H$33,LOOKUP('Données projet'!$E$9,$A$3:$A$203,R3:R203)-LOOKUP('Données projet'!$E$9,$A$3:$A$203,$H$3:$H$203))</f>
        <v>294.47057757403411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304.39782420428173</v>
      </c>
      <c r="AO3" s="62">
        <f>IF('Données projet'!E10&gt;30,$AM$33-$H$33,LOOKUP('Données projet'!$E$10,$A$3:$A$203,AM3:AM203)-LOOKUP('Données projet'!$E$10,$A$3:$A$203,$H$3:$H$203))</f>
        <v>360.34132229290537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304.39782420428173</v>
      </c>
      <c r="BJ3" s="62">
        <f>IF('Données projet'!E11&gt;30,$BH$33-$H$33,LOOKUP('Données projet'!$E$11,$A$3:$A$203,BH3:BH203)-LOOKUP('Données projet'!$E$11,$A$3:$A$203,$H$3:$H$203))</f>
        <v>360.34132229290537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304.39782420428173</v>
      </c>
      <c r="CE3" s="62">
        <f>IF('Données projet'!E12&gt;30,$CC$33-$H$33,LOOKUP('Données projet'!$E$12,$A$3:$A$203,CC3:CC203)-LOOKUP('Données projet'!$E$12,$A$3:$A$203,$H$3:$H$203))</f>
        <v>360.34132229290537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8.16</v>
      </c>
      <c r="N4" s="14">
        <f>IF('Données projet'!$A$36&gt;35,N3+M4-V3,IF(A4&lt;'Données projet'!$A$36,$K$205^A4,IF(A4='Données projet'!$A$36,'Données projet'!$B$36,N3+M4-V3)))</f>
        <v>1.2370441695353693</v>
      </c>
      <c r="O4" s="14">
        <f>N4*VLOOKUP('Données projet'!$B$9,Paramètres!$A$1:$I$89,3,0)*VLOOKUP('Données projet'!$B$9,Paramètres!$A$1:$I$89,5,0)</f>
        <v>0.57893667134255289</v>
      </c>
      <c r="P4" s="14">
        <f>EXP(-1.0587+0.8836*LN(O4)+0.284)</f>
        <v>0.28432357375496231</v>
      </c>
      <c r="Q4" s="22">
        <f t="shared" ref="Q4:Q34" si="2">(O4+P4)*0.475*44/12</f>
        <v>1.5035115935448389</v>
      </c>
      <c r="R4" s="62">
        <f t="shared" si="0"/>
        <v>169.31594554646867</v>
      </c>
      <c r="S4" s="62">
        <f ca="1">AVERAGE(OFFSET($R$3,0,0,'Données projet'!$E$9+1,1))-AVERAGE(OFFSET($H$3,0,0,'Données projet'!$E$9+1,1))</f>
        <v>234.81928430389272</v>
      </c>
      <c r="T4" s="62">
        <f>$T$3</f>
        <v>294.47057757403411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5.85</v>
      </c>
      <c r="AI4" s="14">
        <f>IF('Données projet'!$A$62&gt;35,AI3+AH4-AQ3,IF(A4&lt;'Données projet'!$A$62,$AF$205^A4,IF(A4='Données projet'!$A$62,'Données projet'!$B$62,AI3+AH4-AQ3)))</f>
        <v>1.2688471048731957</v>
      </c>
      <c r="AJ4" s="14">
        <f>AI4*VLOOKUP('Données projet'!$B$10,Paramètres!$A$1:$I$89,3,0)*VLOOKUP('Données projet'!$B$10,Paramètres!$A$1:$I$89,5,0)</f>
        <v>0.98970074180109269</v>
      </c>
      <c r="AK4" s="14">
        <f>EXP(-1.0587+0.8836*LN(AJ4)+0.284)</f>
        <v>0.45664563134517483</v>
      </c>
      <c r="AL4" s="22">
        <f t="shared" ref="AL4:AL67" si="4">(AJ4+AK4)*0.475*44/12</f>
        <v>2.5190532665630827</v>
      </c>
      <c r="AM4" s="62">
        <f t="shared" ref="AM4:AM67" si="5">AL4+(AD4+AE4)*44/12</f>
        <v>170.33148721948692</v>
      </c>
      <c r="AN4" s="62">
        <f ca="1">AVERAGE(OFFSET($AM$3,0,0,'Données projet'!$E$10+1,1))-AVERAGE(OFFSET($H$3,0,0,'Données projet'!$E$10+1,1))</f>
        <v>304.39782420428173</v>
      </c>
      <c r="AO4" s="62">
        <f>$AO$3</f>
        <v>360.34132229290537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5.85</v>
      </c>
      <c r="BD4" s="13">
        <f>IF('Données projet'!$A$88&gt;35,BD3+BC4-BL3,IF(A4&lt;'Données projet'!$A$88,$BA$205^A4,IF(A4='Données projet'!$A$88,'Données projet'!$B$88,BD3+BC4-BL3)))</f>
        <v>1.2688471048731957</v>
      </c>
      <c r="BE4" s="14">
        <f>BD4*VLOOKUP('Données projet'!$B$11,Paramètres!$A$1:$I$89,3,0)*VLOOKUP('Données projet'!$B$11,Paramètres!$A$1:$I$89,5,0)</f>
        <v>0.98970074180109269</v>
      </c>
      <c r="BF4" s="14">
        <f>EXP(-1.0587+0.8836*LN(BE4)+0.284)</f>
        <v>0.45664563134517483</v>
      </c>
      <c r="BG4" s="22">
        <f t="shared" ref="BG4:BG67" si="7">(BE4+BF4)*0.475*44/12</f>
        <v>2.5190532665630827</v>
      </c>
      <c r="BH4" s="62">
        <f t="shared" ref="BH4:BH67" si="8">BG4+(AY4+AZ4)*44/12</f>
        <v>170.33148721948692</v>
      </c>
      <c r="BI4" s="62">
        <f ca="1">AVERAGE(OFFSET($BH$3,0,0,'Données projet'!$E$11+1,1))-AVERAGE(OFFSET($H$3,0,0,'Données projet'!$E$11+1,1))</f>
        <v>304.39782420428173</v>
      </c>
      <c r="BJ4" s="62">
        <f>$BJ$3</f>
        <v>360.34132229290537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5.85</v>
      </c>
      <c r="BY4" s="13">
        <f>IF('Données projet'!$A$114&gt;35,BY3+BX4-CG3,IF(A4&lt;'Données projet'!$A$114,$BV$205^A4,IF(A4='Données projet'!$A$114,'Données projet'!$B$114,BY3+BX4-CG3)))</f>
        <v>1.2688471048731957</v>
      </c>
      <c r="BZ4" s="14">
        <f>BY4*VLOOKUP('Données projet'!$B$12,Paramètres!$A$1:$I$89,3,0)*VLOOKUP('Données projet'!$B$12,Paramètres!$A$1:$I$89,5,0)</f>
        <v>0.98970074180109269</v>
      </c>
      <c r="CA4" s="14">
        <f>EXP(-1.0587+0.8836*LN(BZ4)+0.284)</f>
        <v>0.45664563134517483</v>
      </c>
      <c r="CB4" s="22">
        <f t="shared" ref="CB4:CB67" si="10">(BZ4+CA4)*0.475*44/12</f>
        <v>2.5190532665630827</v>
      </c>
      <c r="CC4" s="62">
        <f t="shared" ref="CC4:CC67" si="11">CB4+(BT4+BU4)*44/12</f>
        <v>170.33148721948692</v>
      </c>
      <c r="CD4" s="62">
        <f ca="1">AVERAGE(OFFSET($CC$3,0,0,'Données projet'!$E$12+1,1))-AVERAGE(OFFSET($H$3,0,0,'Données projet'!$E$12+1,1))</f>
        <v>304.39782420428173</v>
      </c>
      <c r="CE4" s="62">
        <f>$CE$3</f>
        <v>360.34132229290537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8.16</v>
      </c>
      <c r="N5" s="14">
        <f>IF('Données projet'!$A$36&gt;35,N4+M5-V4,IF(A5&lt;'Données projet'!$A$36,$K$205^A5,IF(A5='Données projet'!$A$36,'Données projet'!$B$36,N4+M5-V4)))</f>
        <v>1.5302782773814516</v>
      </c>
      <c r="O5" s="14">
        <f>N5*VLOOKUP('Données projet'!$B$9,Paramètres!$A$1:$I$89,3,0)*VLOOKUP('Données projet'!$B$9,Paramètres!$A$1:$I$89,5,0)</f>
        <v>0.71617023381451927</v>
      </c>
      <c r="P5" s="14">
        <f t="shared" ref="P5:P68" si="33">EXP(-1.0587+0.8836*LN(O5)+0.284)</f>
        <v>0.34311873960678219</v>
      </c>
      <c r="Q5" s="22">
        <f t="shared" si="2"/>
        <v>1.8449282953754329</v>
      </c>
      <c r="R5" s="62">
        <f t="shared" si="0"/>
        <v>172.44220958287627</v>
      </c>
      <c r="S5" s="62">
        <f ca="1">AVERAGE(OFFSET($R$3,0,0,'Données projet'!$E$9+1,1))-AVERAGE(OFFSET($H$3,0,0,'Données projet'!$E$9+1,1))</f>
        <v>234.81928430389272</v>
      </c>
      <c r="T5" s="62">
        <f t="shared" ref="T5:T68" si="34">$T$3</f>
        <v>294.47057757403411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5.85</v>
      </c>
      <c r="AI5" s="14">
        <f>IF('Données projet'!$A$62&gt;35,AI4+AH5-AQ4,IF(A5&lt;'Données projet'!$A$62,$AF$205^A5,IF(A5='Données projet'!$A$62,'Données projet'!$B$62,AI4+AH5-AQ4)))</f>
        <v>1.6099729755450907</v>
      </c>
      <c r="AJ5" s="14">
        <f>AI5*VLOOKUP('Données projet'!$B$10,Paramètres!$A$1:$I$89,3,0)*VLOOKUP('Données projet'!$B$10,Paramètres!$A$1:$I$89,5,0)</f>
        <v>1.2557789209251708</v>
      </c>
      <c r="AK5" s="14">
        <f t="shared" ref="AK5:AK68" si="35">EXP(-1.0587+0.8836*LN(AJ5)+0.284)</f>
        <v>0.56357505040869538</v>
      </c>
      <c r="AL5" s="22">
        <f t="shared" si="4"/>
        <v>3.1687081667398167</v>
      </c>
      <c r="AM5" s="62">
        <f t="shared" si="5"/>
        <v>173.76598945424064</v>
      </c>
      <c r="AN5" s="62">
        <f ca="1">AVERAGE(OFFSET($AM$3,0,0,'Données projet'!$E$10+1,1))-AVERAGE(OFFSET($H$3,0,0,'Données projet'!$E$10+1,1))</f>
        <v>304.39782420428173</v>
      </c>
      <c r="AO5" s="62">
        <f t="shared" ref="AO5:AO68" si="36">$AO$3</f>
        <v>360.34132229290537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5.85</v>
      </c>
      <c r="BD5" s="13">
        <f>IF('Données projet'!$A$88&gt;35,BD4+BC5-BL4,IF(A5&lt;'Données projet'!$A$88,$BA$205^A5,IF(A5='Données projet'!$A$88,'Données projet'!$B$88,BD4+BC5-BL4)))</f>
        <v>1.6099729755450907</v>
      </c>
      <c r="BE5" s="14">
        <f>BD5*VLOOKUP('Données projet'!$B$11,Paramètres!$A$1:$I$89,3,0)*VLOOKUP('Données projet'!$B$11,Paramètres!$A$1:$I$89,5,0)</f>
        <v>1.2557789209251708</v>
      </c>
      <c r="BF5" s="14">
        <f t="shared" ref="BF5:BF68" si="37">EXP(-1.0587+0.8836*LN(BE5)+0.284)</f>
        <v>0.56357505040869538</v>
      </c>
      <c r="BG5" s="22">
        <f t="shared" si="7"/>
        <v>3.1687081667398167</v>
      </c>
      <c r="BH5" s="62">
        <f t="shared" si="8"/>
        <v>173.76598945424064</v>
      </c>
      <c r="BI5" s="62">
        <f ca="1">AVERAGE(OFFSET($BH$3,0,0,'Données projet'!$E$11+1,1))-AVERAGE(OFFSET($H$3,0,0,'Données projet'!$E$11+1,1))</f>
        <v>304.39782420428173</v>
      </c>
      <c r="BJ5" s="62">
        <f t="shared" ref="BJ5:BJ68" si="38">$BJ$3</f>
        <v>360.34132229290537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5.85</v>
      </c>
      <c r="BY5" s="13">
        <f>IF('Données projet'!$A$114&gt;35,BY4+BX5-CG4,IF(A5&lt;'Données projet'!$A$114,$BV$205^A5,IF(A5='Données projet'!$A$114,'Données projet'!$B$114,BY4+BX5-CG4)))</f>
        <v>1.6099729755450907</v>
      </c>
      <c r="BZ5" s="14">
        <f>BY5*VLOOKUP('Données projet'!$B$12,Paramètres!$A$1:$I$89,3,0)*VLOOKUP('Données projet'!$B$12,Paramètres!$A$1:$I$89,5,0)</f>
        <v>1.2557789209251708</v>
      </c>
      <c r="CA5" s="14">
        <f t="shared" ref="CA5:CA68" si="39">EXP(-1.0587+0.8836*LN(BZ5)+0.284)</f>
        <v>0.56357505040869538</v>
      </c>
      <c r="CB5" s="22">
        <f t="shared" si="10"/>
        <v>3.1687081667398167</v>
      </c>
      <c r="CC5" s="62">
        <f t="shared" si="11"/>
        <v>173.76598945424064</v>
      </c>
      <c r="CD5" s="62">
        <f ca="1">AVERAGE(OFFSET($CC$3,0,0,'Données projet'!$E$12+1,1))-AVERAGE(OFFSET($H$3,0,0,'Données projet'!$E$12+1,1))</f>
        <v>304.39782420428173</v>
      </c>
      <c r="CE5" s="62">
        <f t="shared" ref="CE5:CE68" si="40">$CE$3</f>
        <v>360.34132229290537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8.16</v>
      </c>
      <c r="N6" s="14">
        <f>IF('Données projet'!$A$36&gt;35,N5+M6-V5,IF(A6&lt;'Données projet'!$A$36,$K$205^A6,IF(A6='Données projet'!$A$36,'Données projet'!$B$36,N5+M6-V5)))</f>
        <v>1.8930218208013534</v>
      </c>
      <c r="O6" s="14">
        <f>N6*VLOOKUP('Données projet'!$B$9,Paramètres!$A$1:$I$89,3,0)*VLOOKUP('Données projet'!$B$9,Paramètres!$A$1:$I$89,5,0)</f>
        <v>0.88593421213503343</v>
      </c>
      <c r="P6" s="14">
        <f t="shared" si="33"/>
        <v>0.41407213589264363</v>
      </c>
      <c r="Q6" s="22">
        <f t="shared" si="2"/>
        <v>2.2641777228148707</v>
      </c>
      <c r="R6" s="62">
        <f t="shared" si="0"/>
        <v>175.61919829269976</v>
      </c>
      <c r="S6" s="62">
        <f ca="1">AVERAGE(OFFSET($R$3,0,0,'Données projet'!$E$9+1,1))-AVERAGE(OFFSET($H$3,0,0,'Données projet'!$E$9+1,1))</f>
        <v>234.81928430389272</v>
      </c>
      <c r="T6" s="62">
        <f t="shared" si="34"/>
        <v>294.47057757403411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5.85</v>
      </c>
      <c r="AI6" s="14">
        <f>IF('Données projet'!$A$62&gt;35,AI5+AH6-AQ5,IF(A6&lt;'Données projet'!$A$62,$AF$205^A6,IF(A6='Données projet'!$A$62,'Données projet'!$B$62,AI5+AH6-AQ5)))</f>
        <v>2.0428095489444726</v>
      </c>
      <c r="AJ6" s="14">
        <f>AI6*VLOOKUP('Données projet'!$B$10,Paramètres!$A$1:$I$89,3,0)*VLOOKUP('Données projet'!$B$10,Paramètres!$A$1:$I$89,5,0)</f>
        <v>1.5933914481766887</v>
      </c>
      <c r="AK6" s="14">
        <f t="shared" si="35"/>
        <v>0.69554336150668106</v>
      </c>
      <c r="AL6" s="22">
        <f t="shared" si="4"/>
        <v>3.9865614601985349</v>
      </c>
      <c r="AM6" s="62">
        <f t="shared" si="5"/>
        <v>177.34158203008343</v>
      </c>
      <c r="AN6" s="62">
        <f ca="1">AVERAGE(OFFSET($AM$3,0,0,'Données projet'!$E$10+1,1))-AVERAGE(OFFSET($H$3,0,0,'Données projet'!$E$10+1,1))</f>
        <v>304.39782420428173</v>
      </c>
      <c r="AO6" s="62">
        <f t="shared" si="36"/>
        <v>360.34132229290537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5.85</v>
      </c>
      <c r="BD6" s="13">
        <f>IF('Données projet'!$A$88&gt;35,BD5+BC6-BL5,IF(A6&lt;'Données projet'!$A$88,$BA$205^A6,IF(A6='Données projet'!$A$88,'Données projet'!$B$88,BD5+BC6-BL5)))</f>
        <v>2.0428095489444726</v>
      </c>
      <c r="BE6" s="14">
        <f>BD6*VLOOKUP('Données projet'!$B$11,Paramètres!$A$1:$I$89,3,0)*VLOOKUP('Données projet'!$B$11,Paramètres!$A$1:$I$89,5,0)</f>
        <v>1.5933914481766887</v>
      </c>
      <c r="BF6" s="14">
        <f t="shared" si="37"/>
        <v>0.69554336150668106</v>
      </c>
      <c r="BG6" s="22">
        <f t="shared" si="7"/>
        <v>3.9865614601985349</v>
      </c>
      <c r="BH6" s="62">
        <f t="shared" si="8"/>
        <v>177.34158203008343</v>
      </c>
      <c r="BI6" s="62">
        <f ca="1">AVERAGE(OFFSET($BH$3,0,0,'Données projet'!$E$11+1,1))-AVERAGE(OFFSET($H$3,0,0,'Données projet'!$E$11+1,1))</f>
        <v>304.39782420428173</v>
      </c>
      <c r="BJ6" s="62">
        <f t="shared" si="38"/>
        <v>360.34132229290537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5.85</v>
      </c>
      <c r="BY6" s="13">
        <f>IF('Données projet'!$A$114&gt;35,BY5+BX6-CG5,IF(A6&lt;'Données projet'!$A$114,$BV$205^A6,IF(A6='Données projet'!$A$114,'Données projet'!$B$114,BY5+BX6-CG5)))</f>
        <v>2.0428095489444726</v>
      </c>
      <c r="BZ6" s="14">
        <f>BY6*VLOOKUP('Données projet'!$B$12,Paramètres!$A$1:$I$89,3,0)*VLOOKUP('Données projet'!$B$12,Paramètres!$A$1:$I$89,5,0)</f>
        <v>1.5933914481766887</v>
      </c>
      <c r="CA6" s="14">
        <f t="shared" si="39"/>
        <v>0.69554336150668106</v>
      </c>
      <c r="CB6" s="22">
        <f t="shared" si="10"/>
        <v>3.9865614601985349</v>
      </c>
      <c r="CC6" s="62">
        <f t="shared" si="11"/>
        <v>177.34158203008343</v>
      </c>
      <c r="CD6" s="62">
        <f ca="1">AVERAGE(OFFSET($CC$3,0,0,'Données projet'!$E$12+1,1))-AVERAGE(OFFSET($H$3,0,0,'Données projet'!$E$12+1,1))</f>
        <v>304.39782420428173</v>
      </c>
      <c r="CE6" s="62">
        <f t="shared" si="40"/>
        <v>360.34132229290537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8.16</v>
      </c>
      <c r="N7" s="14">
        <f>IF('Données projet'!$A$36&gt;35,N6+M7-V6,IF(A7&lt;'Données projet'!$A$36,$K$205^A7,IF(A7='Données projet'!$A$36,'Données projet'!$B$36,N6+M7-V6)))</f>
        <v>2.341751606225543</v>
      </c>
      <c r="O7" s="14">
        <f>N7*VLOOKUP('Données projet'!$B$9,Paramètres!$A$1:$I$89,3,0)*VLOOKUP('Données projet'!$B$9,Paramètres!$A$1:$I$89,5,0)</f>
        <v>1.0959397517135541</v>
      </c>
      <c r="P7" s="14">
        <f t="shared" si="33"/>
        <v>0.49969795855273308</v>
      </c>
      <c r="Q7" s="22">
        <f t="shared" si="2"/>
        <v>2.7790690120471169</v>
      </c>
      <c r="R7" s="62">
        <f t="shared" si="0"/>
        <v>178.86519107622405</v>
      </c>
      <c r="S7" s="62">
        <f ca="1">AVERAGE(OFFSET($R$3,0,0,'Données projet'!$E$9+1,1))-AVERAGE(OFFSET($H$3,0,0,'Données projet'!$E$9+1,1))</f>
        <v>234.81928430389272</v>
      </c>
      <c r="T7" s="62">
        <f t="shared" si="34"/>
        <v>294.47057757403411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5.85</v>
      </c>
      <c r="AI7" s="14">
        <f>IF('Données projet'!$A$62&gt;35,AI6+AH7-AQ6,IF(A7&lt;'Données projet'!$A$62,$AF$205^A7,IF(A7='Données projet'!$A$62,'Données projet'!$B$62,AI6+AH7-AQ6)))</f>
        <v>2.5920129819855133</v>
      </c>
      <c r="AJ7" s="14">
        <f>AI7*VLOOKUP('Données projet'!$B$10,Paramètres!$A$1:$I$89,3,0)*VLOOKUP('Données projet'!$B$10,Paramètres!$A$1:$I$89,5,0)</f>
        <v>2.0217701259487004</v>
      </c>
      <c r="AK7" s="14">
        <f t="shared" si="35"/>
        <v>0.85841374167501538</v>
      </c>
      <c r="AL7" s="22">
        <f t="shared" si="4"/>
        <v>5.0163202361113051</v>
      </c>
      <c r="AM7" s="62">
        <f t="shared" si="5"/>
        <v>181.10244230028826</v>
      </c>
      <c r="AN7" s="62">
        <f ca="1">AVERAGE(OFFSET($AM$3,0,0,'Données projet'!$E$10+1,1))-AVERAGE(OFFSET($H$3,0,0,'Données projet'!$E$10+1,1))</f>
        <v>304.39782420428173</v>
      </c>
      <c r="AO7" s="62">
        <f t="shared" si="36"/>
        <v>360.34132229290537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5.85</v>
      </c>
      <c r="BD7" s="13">
        <f>IF('Données projet'!$A$88&gt;35,BD6+BC7-BL6,IF(A7&lt;'Données projet'!$A$88,$BA$205^A7,IF(A7='Données projet'!$A$88,'Données projet'!$B$88,BD6+BC7-BL6)))</f>
        <v>2.5920129819855133</v>
      </c>
      <c r="BE7" s="14">
        <f>BD7*VLOOKUP('Données projet'!$B$11,Paramètres!$A$1:$I$89,3,0)*VLOOKUP('Données projet'!$B$11,Paramètres!$A$1:$I$89,5,0)</f>
        <v>2.0217701259487004</v>
      </c>
      <c r="BF7" s="14">
        <f t="shared" si="37"/>
        <v>0.85841374167501538</v>
      </c>
      <c r="BG7" s="22">
        <f t="shared" si="7"/>
        <v>5.0163202361113051</v>
      </c>
      <c r="BH7" s="62">
        <f t="shared" si="8"/>
        <v>181.10244230028826</v>
      </c>
      <c r="BI7" s="62">
        <f ca="1">AVERAGE(OFFSET($BH$3,0,0,'Données projet'!$E$11+1,1))-AVERAGE(OFFSET($H$3,0,0,'Données projet'!$E$11+1,1))</f>
        <v>304.39782420428173</v>
      </c>
      <c r="BJ7" s="62">
        <f t="shared" si="38"/>
        <v>360.34132229290537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5.85</v>
      </c>
      <c r="BY7" s="13">
        <f>IF('Données projet'!$A$114&gt;35,BY6+BX7-CG6,IF(A7&lt;'Données projet'!$A$114,$BV$205^A7,IF(A7='Données projet'!$A$114,'Données projet'!$B$114,BY6+BX7-CG6)))</f>
        <v>2.5920129819855133</v>
      </c>
      <c r="BZ7" s="14">
        <f>BY7*VLOOKUP('Données projet'!$B$12,Paramètres!$A$1:$I$89,3,0)*VLOOKUP('Données projet'!$B$12,Paramètres!$A$1:$I$89,5,0)</f>
        <v>2.0217701259487004</v>
      </c>
      <c r="CA7" s="14">
        <f t="shared" si="39"/>
        <v>0.85841374167501538</v>
      </c>
      <c r="CB7" s="22">
        <f t="shared" si="10"/>
        <v>5.0163202361113051</v>
      </c>
      <c r="CC7" s="62">
        <f t="shared" si="11"/>
        <v>181.10244230028826</v>
      </c>
      <c r="CD7" s="62">
        <f ca="1">AVERAGE(OFFSET($CC$3,0,0,'Données projet'!$E$12+1,1))-AVERAGE(OFFSET($H$3,0,0,'Données projet'!$E$12+1,1))</f>
        <v>304.39782420428173</v>
      </c>
      <c r="CE7" s="62">
        <f t="shared" si="40"/>
        <v>360.34132229290537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8.16</v>
      </c>
      <c r="N8" s="14">
        <f>IF('Données projet'!$A$36&gt;35,N7+M8-V7,IF(A8&lt;'Données projet'!$A$36,$K$205^A8,IF(A8='Données projet'!$A$36,'Données projet'!$B$36,N7+M8-V7)))</f>
        <v>2.8968501709813941</v>
      </c>
      <c r="O8" s="14">
        <f>N8*VLOOKUP('Données projet'!$B$9,Paramètres!$A$1:$I$89,3,0)*VLOOKUP('Données projet'!$B$9,Paramètres!$A$1:$I$89,5,0)</f>
        <v>1.3557258800192924</v>
      </c>
      <c r="P8" s="14">
        <f t="shared" si="33"/>
        <v>0.60303031316868949</v>
      </c>
      <c r="Q8" s="22">
        <f t="shared" si="2"/>
        <v>3.4115003698024009</v>
      </c>
      <c r="R8" s="62">
        <f t="shared" si="0"/>
        <v>182.20254824624976</v>
      </c>
      <c r="S8" s="62">
        <f ca="1">AVERAGE(OFFSET($R$3,0,0,'Données projet'!$E$9+1,1))-AVERAGE(OFFSET($H$3,0,0,'Données projet'!$E$9+1,1))</f>
        <v>234.81928430389272</v>
      </c>
      <c r="T8" s="62">
        <f t="shared" si="34"/>
        <v>294.47057757403411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5.85</v>
      </c>
      <c r="AI8" s="14">
        <f>IF('Données projet'!$A$62&gt;35,AI7+AH8-AQ7,IF(A8&lt;'Données projet'!$A$62,$AF$205^A8,IF(A8='Données projet'!$A$62,'Données projet'!$B$62,AI7+AH8-AQ7)))</f>
        <v>3.2888681679860574</v>
      </c>
      <c r="AJ8" s="14">
        <f>AI8*VLOOKUP('Données projet'!$B$10,Paramètres!$A$1:$I$89,3,0)*VLOOKUP('Données projet'!$B$10,Paramètres!$A$1:$I$89,5,0)</f>
        <v>2.5653171710291249</v>
      </c>
      <c r="AK8" s="14">
        <f t="shared" si="35"/>
        <v>1.0594223058937526</v>
      </c>
      <c r="AL8" s="22">
        <f t="shared" si="4"/>
        <v>6.3130879223073455</v>
      </c>
      <c r="AM8" s="62">
        <f t="shared" si="5"/>
        <v>185.1041357987547</v>
      </c>
      <c r="AN8" s="62">
        <f ca="1">AVERAGE(OFFSET($AM$3,0,0,'Données projet'!$E$10+1,1))-AVERAGE(OFFSET($H$3,0,0,'Données projet'!$E$10+1,1))</f>
        <v>304.39782420428173</v>
      </c>
      <c r="AO8" s="62">
        <f t="shared" si="36"/>
        <v>360.34132229290537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5.85</v>
      </c>
      <c r="BD8" s="13">
        <f>IF('Données projet'!$A$88&gt;35,BD7+BC8-BL7,IF(A8&lt;'Données projet'!$A$88,$BA$205^A8,IF(A8='Données projet'!$A$88,'Données projet'!$B$88,BD7+BC8-BL7)))</f>
        <v>3.2888681679860574</v>
      </c>
      <c r="BE8" s="14">
        <f>BD8*VLOOKUP('Données projet'!$B$11,Paramètres!$A$1:$I$89,3,0)*VLOOKUP('Données projet'!$B$11,Paramètres!$A$1:$I$89,5,0)</f>
        <v>2.5653171710291249</v>
      </c>
      <c r="BF8" s="14">
        <f t="shared" si="37"/>
        <v>1.0594223058937526</v>
      </c>
      <c r="BG8" s="22">
        <f t="shared" si="7"/>
        <v>6.3130879223073455</v>
      </c>
      <c r="BH8" s="62">
        <f t="shared" si="8"/>
        <v>185.1041357987547</v>
      </c>
      <c r="BI8" s="62">
        <f ca="1">AVERAGE(OFFSET($BH$3,0,0,'Données projet'!$E$11+1,1))-AVERAGE(OFFSET($H$3,0,0,'Données projet'!$E$11+1,1))</f>
        <v>304.39782420428173</v>
      </c>
      <c r="BJ8" s="62">
        <f t="shared" si="38"/>
        <v>360.34132229290537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5.85</v>
      </c>
      <c r="BY8" s="13">
        <f>IF('Données projet'!$A$114&gt;35,BY7+BX8-CG7,IF(A8&lt;'Données projet'!$A$114,$BV$205^A8,IF(A8='Données projet'!$A$114,'Données projet'!$B$114,BY7+BX8-CG7)))</f>
        <v>3.2888681679860574</v>
      </c>
      <c r="BZ8" s="14">
        <f>BY8*VLOOKUP('Données projet'!$B$12,Paramètres!$A$1:$I$89,3,0)*VLOOKUP('Données projet'!$B$12,Paramètres!$A$1:$I$89,5,0)</f>
        <v>2.5653171710291249</v>
      </c>
      <c r="CA8" s="14">
        <f t="shared" si="39"/>
        <v>1.0594223058937526</v>
      </c>
      <c r="CB8" s="22">
        <f t="shared" si="10"/>
        <v>6.3130879223073455</v>
      </c>
      <c r="CC8" s="62">
        <f t="shared" si="11"/>
        <v>185.1041357987547</v>
      </c>
      <c r="CD8" s="62">
        <f ca="1">AVERAGE(OFFSET($CC$3,0,0,'Données projet'!$E$12+1,1))-AVERAGE(OFFSET($H$3,0,0,'Données projet'!$E$12+1,1))</f>
        <v>304.39782420428173</v>
      </c>
      <c r="CE8" s="62">
        <f t="shared" si="40"/>
        <v>360.34132229290537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8.16</v>
      </c>
      <c r="N9" s="14">
        <f>IF('Données projet'!$A$36&gt;35,N8+M9-V8,IF(A9&lt;'Données projet'!$A$36,$K$205^A9,IF(A9='Données projet'!$A$36,'Données projet'!$B$36,N8+M9-V8)))</f>
        <v>3.5835316140300715</v>
      </c>
      <c r="O9" s="14">
        <f>N9*VLOOKUP('Données projet'!$B$9,Paramètres!$A$1:$I$89,3,0)*VLOOKUP('Données projet'!$B$9,Paramètres!$A$1:$I$89,5,0)</f>
        <v>1.6770927953660735</v>
      </c>
      <c r="P9" s="14">
        <f t="shared" si="33"/>
        <v>0.72773072688459306</v>
      </c>
      <c r="Q9" s="22">
        <f t="shared" si="2"/>
        <v>4.188400967919911</v>
      </c>
      <c r="R9" s="62">
        <f t="shared" si="0"/>
        <v>185.65865306417888</v>
      </c>
      <c r="S9" s="62">
        <f ca="1">AVERAGE(OFFSET($R$3,0,0,'Données projet'!$E$9+1,1))-AVERAGE(OFFSET($H$3,0,0,'Données projet'!$E$9+1,1))</f>
        <v>234.81928430389272</v>
      </c>
      <c r="T9" s="62">
        <f t="shared" si="34"/>
        <v>294.47057757403411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5.85</v>
      </c>
      <c r="AI9" s="14">
        <f>IF('Données projet'!$A$62&gt;35,AI8+AH9-AQ8,IF(A9&lt;'Données projet'!$A$62,$AF$205^A9,IF(A9='Données projet'!$A$62,'Données projet'!$B$62,AI8+AH9-AQ8)))</f>
        <v>4.1730708532587206</v>
      </c>
      <c r="AJ9" s="14">
        <f>AI9*VLOOKUP('Données projet'!$B$10,Paramètres!$A$1:$I$89,3,0)*VLOOKUP('Données projet'!$B$10,Paramètres!$A$1:$I$89,5,0)</f>
        <v>3.2549952655418024</v>
      </c>
      <c r="AK9" s="14">
        <f t="shared" si="35"/>
        <v>1.3074995980786071</v>
      </c>
      <c r="AL9" s="22">
        <f t="shared" si="4"/>
        <v>7.9463452208055463</v>
      </c>
      <c r="AM9" s="62">
        <f t="shared" si="5"/>
        <v>189.41659731706451</v>
      </c>
      <c r="AN9" s="62">
        <f ca="1">AVERAGE(OFFSET($AM$3,0,0,'Données projet'!$E$10+1,1))-AVERAGE(OFFSET($H$3,0,0,'Données projet'!$E$10+1,1))</f>
        <v>304.39782420428173</v>
      </c>
      <c r="AO9" s="62">
        <f t="shared" si="36"/>
        <v>360.34132229290537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5.85</v>
      </c>
      <c r="BD9" s="13">
        <f>IF('Données projet'!$A$88&gt;35,BD8+BC9-BL8,IF(A9&lt;'Données projet'!$A$88,$BA$205^A9,IF(A9='Données projet'!$A$88,'Données projet'!$B$88,BD8+BC9-BL8)))</f>
        <v>4.1730708532587206</v>
      </c>
      <c r="BE9" s="14">
        <f>BD9*VLOOKUP('Données projet'!$B$11,Paramètres!$A$1:$I$89,3,0)*VLOOKUP('Données projet'!$B$11,Paramètres!$A$1:$I$89,5,0)</f>
        <v>3.2549952655418024</v>
      </c>
      <c r="BF9" s="14">
        <f t="shared" si="37"/>
        <v>1.3074995980786071</v>
      </c>
      <c r="BG9" s="22">
        <f t="shared" si="7"/>
        <v>7.9463452208055463</v>
      </c>
      <c r="BH9" s="62">
        <f t="shared" si="8"/>
        <v>189.41659731706451</v>
      </c>
      <c r="BI9" s="62">
        <f ca="1">AVERAGE(OFFSET($BH$3,0,0,'Données projet'!$E$11+1,1))-AVERAGE(OFFSET($H$3,0,0,'Données projet'!$E$11+1,1))</f>
        <v>304.39782420428173</v>
      </c>
      <c r="BJ9" s="62">
        <f t="shared" si="38"/>
        <v>360.34132229290537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5.85</v>
      </c>
      <c r="BY9" s="13">
        <f>IF('Données projet'!$A$114&gt;35,BY8+BX9-CG8,IF(A9&lt;'Données projet'!$A$114,$BV$205^A9,IF(A9='Données projet'!$A$114,'Données projet'!$B$114,BY8+BX9-CG8)))</f>
        <v>4.1730708532587206</v>
      </c>
      <c r="BZ9" s="14">
        <f>BY9*VLOOKUP('Données projet'!$B$12,Paramètres!$A$1:$I$89,3,0)*VLOOKUP('Données projet'!$B$12,Paramètres!$A$1:$I$89,5,0)</f>
        <v>3.2549952655418024</v>
      </c>
      <c r="CA9" s="14">
        <f t="shared" si="39"/>
        <v>1.3074995980786071</v>
      </c>
      <c r="CB9" s="22">
        <f t="shared" si="10"/>
        <v>7.9463452208055463</v>
      </c>
      <c r="CC9" s="62">
        <f t="shared" si="11"/>
        <v>189.41659731706451</v>
      </c>
      <c r="CD9" s="62">
        <f ca="1">AVERAGE(OFFSET($CC$3,0,0,'Données projet'!$E$12+1,1))-AVERAGE(OFFSET($H$3,0,0,'Données projet'!$E$12+1,1))</f>
        <v>304.39782420428173</v>
      </c>
      <c r="CE9" s="62">
        <f t="shared" si="40"/>
        <v>360.34132229290537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8.16</v>
      </c>
      <c r="N10" s="14">
        <f>IF('Données projet'!$A$36&gt;35,N9+M10-V9,IF(A10&lt;'Données projet'!$A$36,$K$205^A10,IF(A10='Données projet'!$A$36,'Données projet'!$B$36,N9+M10-V9)))</f>
        <v>4.4329868894815716</v>
      </c>
      <c r="O10" s="14">
        <f>N10*VLOOKUP('Données projet'!$B$9,Paramètres!$A$1:$I$89,3,0)*VLOOKUP('Données projet'!$B$9,Paramètres!$A$1:$I$89,5,0)</f>
        <v>2.0746378642773755</v>
      </c>
      <c r="P10" s="14">
        <f t="shared" si="33"/>
        <v>0.87821789267802852</v>
      </c>
      <c r="Q10" s="22">
        <f t="shared" si="2"/>
        <v>5.1428904433639948</v>
      </c>
      <c r="R10" s="62">
        <f t="shared" si="0"/>
        <v>189.26707137910023</v>
      </c>
      <c r="S10" s="62">
        <f ca="1">AVERAGE(OFFSET($R$3,0,0,'Données projet'!$E$9+1,1))-AVERAGE(OFFSET($H$3,0,0,'Données projet'!$E$9+1,1))</f>
        <v>234.81928430389272</v>
      </c>
      <c r="T10" s="62">
        <f t="shared" si="34"/>
        <v>294.47057757403411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5.85</v>
      </c>
      <c r="AI10" s="14">
        <f>IF('Données projet'!$A$62&gt;35,AI9+AH10-AQ9,IF(A10&lt;'Données projet'!$A$62,$AF$205^A10,IF(A10='Données projet'!$A$62,'Données projet'!$B$62,AI9+AH10-AQ9)))</f>
        <v>5.2949888705880443</v>
      </c>
      <c r="AJ10" s="14">
        <f>AI10*VLOOKUP('Données projet'!$B$10,Paramètres!$A$1:$I$89,3,0)*VLOOKUP('Données projet'!$B$10,Paramètres!$A$1:$I$89,5,0)</f>
        <v>4.1300913190586748</v>
      </c>
      <c r="AK10" s="14">
        <f t="shared" si="35"/>
        <v>1.6136673633027767</v>
      </c>
      <c r="AL10" s="22">
        <f t="shared" si="4"/>
        <v>10.003713038446195</v>
      </c>
      <c r="AM10" s="62">
        <f t="shared" si="5"/>
        <v>194.12789397418243</v>
      </c>
      <c r="AN10" s="62">
        <f ca="1">AVERAGE(OFFSET($AM$3,0,0,'Données projet'!$E$10+1,1))-AVERAGE(OFFSET($H$3,0,0,'Données projet'!$E$10+1,1))</f>
        <v>304.39782420428173</v>
      </c>
      <c r="AO10" s="62">
        <f t="shared" si="36"/>
        <v>360.34132229290537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5.85</v>
      </c>
      <c r="BD10" s="13">
        <f>IF('Données projet'!$A$88&gt;35,BD9+BC10-BL9,IF(A10&lt;'Données projet'!$A$88,$BA$205^A10,IF(A10='Données projet'!$A$88,'Données projet'!$B$88,BD9+BC10-BL9)))</f>
        <v>5.2949888705880443</v>
      </c>
      <c r="BE10" s="14">
        <f>BD10*VLOOKUP('Données projet'!$B$11,Paramètres!$A$1:$I$89,3,0)*VLOOKUP('Données projet'!$B$11,Paramètres!$A$1:$I$89,5,0)</f>
        <v>4.1300913190586748</v>
      </c>
      <c r="BF10" s="14">
        <f t="shared" si="37"/>
        <v>1.6136673633027767</v>
      </c>
      <c r="BG10" s="22">
        <f t="shared" si="7"/>
        <v>10.003713038446195</v>
      </c>
      <c r="BH10" s="62">
        <f t="shared" si="8"/>
        <v>194.12789397418243</v>
      </c>
      <c r="BI10" s="62">
        <f ca="1">AVERAGE(OFFSET($BH$3,0,0,'Données projet'!$E$11+1,1))-AVERAGE(OFFSET($H$3,0,0,'Données projet'!$E$11+1,1))</f>
        <v>304.39782420428173</v>
      </c>
      <c r="BJ10" s="62">
        <f t="shared" si="38"/>
        <v>360.34132229290537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5.85</v>
      </c>
      <c r="BY10" s="13">
        <f>IF('Données projet'!$A$114&gt;35,BY9+BX10-CG9,IF(A10&lt;'Données projet'!$A$114,$BV$205^A10,IF(A10='Données projet'!$A$114,'Données projet'!$B$114,BY9+BX10-CG9)))</f>
        <v>5.2949888705880443</v>
      </c>
      <c r="BZ10" s="14">
        <f>BY10*VLOOKUP('Données projet'!$B$12,Paramètres!$A$1:$I$89,3,0)*VLOOKUP('Données projet'!$B$12,Paramètres!$A$1:$I$89,5,0)</f>
        <v>4.1300913190586748</v>
      </c>
      <c r="CA10" s="14">
        <f t="shared" si="39"/>
        <v>1.6136673633027767</v>
      </c>
      <c r="CB10" s="22">
        <f t="shared" si="10"/>
        <v>10.003713038446195</v>
      </c>
      <c r="CC10" s="62">
        <f t="shared" si="11"/>
        <v>194.12789397418243</v>
      </c>
      <c r="CD10" s="62">
        <f ca="1">AVERAGE(OFFSET($CC$3,0,0,'Données projet'!$E$12+1,1))-AVERAGE(OFFSET($H$3,0,0,'Données projet'!$E$12+1,1))</f>
        <v>304.39782420428173</v>
      </c>
      <c r="CE10" s="62">
        <f t="shared" si="40"/>
        <v>360.34132229290537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8.16</v>
      </c>
      <c r="N11" s="14">
        <f>IF('Données projet'!$A$36&gt;35,N10+M11-V10,IF(A11&lt;'Données projet'!$A$36,$K$205^A11,IF(A11='Données projet'!$A$36,'Données projet'!$B$36,N10+M11-V10)))</f>
        <v>5.4838005852599103</v>
      </c>
      <c r="O11" s="14">
        <f>N11*VLOOKUP('Données projet'!$B$9,Paramètres!$A$1:$I$89,3,0)*VLOOKUP('Données projet'!$B$9,Paramètres!$A$1:$I$89,5,0)</f>
        <v>2.5664186739016381</v>
      </c>
      <c r="P11" s="14">
        <f t="shared" si="33"/>
        <v>1.0598242434006067</v>
      </c>
      <c r="Q11" s="22">
        <f t="shared" si="2"/>
        <v>6.3157064143014097</v>
      </c>
      <c r="R11" s="62">
        <f t="shared" si="0"/>
        <v>193.06897928052197</v>
      </c>
      <c r="S11" s="62">
        <f ca="1">AVERAGE(OFFSET($R$3,0,0,'Données projet'!$E$9+1,1))-AVERAGE(OFFSET($H$3,0,0,'Données projet'!$E$9+1,1))</f>
        <v>234.81928430389272</v>
      </c>
      <c r="T11" s="62">
        <f t="shared" si="34"/>
        <v>294.47057757403411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5.85</v>
      </c>
      <c r="AI11" s="14">
        <f>IF('Données projet'!$A$62&gt;35,AI10+AH11-AQ10,IF(A11&lt;'Données projet'!$A$62,$AF$205^A11,IF(A11='Données projet'!$A$62,'Données projet'!$B$62,AI10+AH11-AQ10)))</f>
        <v>6.718531298781433</v>
      </c>
      <c r="AJ11" s="14">
        <f>AI11*VLOOKUP('Données projet'!$B$10,Paramètres!$A$1:$I$89,3,0)*VLOOKUP('Données projet'!$B$10,Paramètres!$A$1:$I$89,5,0)</f>
        <v>5.2404544130495179</v>
      </c>
      <c r="AK11" s="14">
        <f t="shared" si="35"/>
        <v>1.9915282293126844</v>
      </c>
      <c r="AL11" s="22">
        <f t="shared" si="4"/>
        <v>12.59570310211417</v>
      </c>
      <c r="AM11" s="62">
        <f t="shared" si="5"/>
        <v>199.34897596833471</v>
      </c>
      <c r="AN11" s="62">
        <f ca="1">AVERAGE(OFFSET($AM$3,0,0,'Données projet'!$E$10+1,1))-AVERAGE(OFFSET($H$3,0,0,'Données projet'!$E$10+1,1))</f>
        <v>304.39782420428173</v>
      </c>
      <c r="AO11" s="62">
        <f t="shared" si="36"/>
        <v>360.34132229290537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5.85</v>
      </c>
      <c r="BD11" s="13">
        <f>IF('Données projet'!$A$88&gt;35,BD10+BC11-BL10,IF(A11&lt;'Données projet'!$A$88,$BA$205^A11,IF(A11='Données projet'!$A$88,'Données projet'!$B$88,BD10+BC11-BL10)))</f>
        <v>6.718531298781433</v>
      </c>
      <c r="BE11" s="14">
        <f>BD11*VLOOKUP('Données projet'!$B$11,Paramètres!$A$1:$I$89,3,0)*VLOOKUP('Données projet'!$B$11,Paramètres!$A$1:$I$89,5,0)</f>
        <v>5.2404544130495179</v>
      </c>
      <c r="BF11" s="14">
        <f t="shared" si="37"/>
        <v>1.9915282293126844</v>
      </c>
      <c r="BG11" s="22">
        <f t="shared" si="7"/>
        <v>12.59570310211417</v>
      </c>
      <c r="BH11" s="62">
        <f t="shared" si="8"/>
        <v>199.34897596833471</v>
      </c>
      <c r="BI11" s="62">
        <f ca="1">AVERAGE(OFFSET($BH$3,0,0,'Données projet'!$E$11+1,1))-AVERAGE(OFFSET($H$3,0,0,'Données projet'!$E$11+1,1))</f>
        <v>304.39782420428173</v>
      </c>
      <c r="BJ11" s="62">
        <f t="shared" si="38"/>
        <v>360.34132229290537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5.85</v>
      </c>
      <c r="BY11" s="13">
        <f>IF('Données projet'!$A$114&gt;35,BY10+BX11-CG10,IF(A11&lt;'Données projet'!$A$114,$BV$205^A11,IF(A11='Données projet'!$A$114,'Données projet'!$B$114,BY10+BX11-CG10)))</f>
        <v>6.718531298781433</v>
      </c>
      <c r="BZ11" s="14">
        <f>BY11*VLOOKUP('Données projet'!$B$12,Paramètres!$A$1:$I$89,3,0)*VLOOKUP('Données projet'!$B$12,Paramètres!$A$1:$I$89,5,0)</f>
        <v>5.2404544130495179</v>
      </c>
      <c r="CA11" s="14">
        <f t="shared" si="39"/>
        <v>1.9915282293126844</v>
      </c>
      <c r="CB11" s="22">
        <f t="shared" si="10"/>
        <v>12.59570310211417</v>
      </c>
      <c r="CC11" s="62">
        <f t="shared" si="11"/>
        <v>199.34897596833471</v>
      </c>
      <c r="CD11" s="62">
        <f ca="1">AVERAGE(OFFSET($CC$3,0,0,'Données projet'!$E$12+1,1))-AVERAGE(OFFSET($H$3,0,0,'Données projet'!$E$12+1,1))</f>
        <v>304.39782420428173</v>
      </c>
      <c r="CE11" s="62">
        <f t="shared" si="40"/>
        <v>360.34132229290537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8.16</v>
      </c>
      <c r="N12" s="14">
        <f>IF('Données projet'!$A$36&gt;35,N11+M12-V11,IF(A12&lt;'Données projet'!$A$36,$K$205^A12,IF(A12='Données projet'!$A$36,'Données projet'!$B$36,N11+M12-V11)))</f>
        <v>6.7837035408904178</v>
      </c>
      <c r="O12" s="14">
        <f>N12*VLOOKUP('Données projet'!$B$9,Paramètres!$A$1:$I$89,3,0)*VLOOKUP('Données projet'!$B$9,Paramètres!$A$1:$I$89,5,0)</f>
        <v>3.1747732571367155</v>
      </c>
      <c r="P12" s="14">
        <f t="shared" si="33"/>
        <v>1.27898490370597</v>
      </c>
      <c r="Q12" s="22">
        <f t="shared" si="2"/>
        <v>7.7569621301343439</v>
      </c>
      <c r="R12" s="62">
        <f t="shared" si="0"/>
        <v>197.11492088269043</v>
      </c>
      <c r="S12" s="62">
        <f ca="1">AVERAGE(OFFSET($R$3,0,0,'Données projet'!$E$9+1,1))-AVERAGE(OFFSET($H$3,0,0,'Données projet'!$E$9+1,1))</f>
        <v>234.81928430389272</v>
      </c>
      <c r="T12" s="62">
        <f t="shared" si="34"/>
        <v>294.47057757403411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5.85</v>
      </c>
      <c r="AI12" s="14">
        <f>IF('Données projet'!$A$62&gt;35,AI11+AH12-AQ11,IF(A12&lt;'Données projet'!$A$62,$AF$205^A12,IF(A12='Données projet'!$A$62,'Données projet'!$B$62,AI11+AH12-AQ11)))</f>
        <v>8.5247889874587734</v>
      </c>
      <c r="AJ12" s="14">
        <f>AI12*VLOOKUP('Données projet'!$B$10,Paramètres!$A$1:$I$89,3,0)*VLOOKUP('Données projet'!$B$10,Paramètres!$A$1:$I$89,5,0)</f>
        <v>6.6493354102178435</v>
      </c>
      <c r="AK12" s="14">
        <f t="shared" si="35"/>
        <v>2.4578700532379361</v>
      </c>
      <c r="AL12" s="22">
        <f t="shared" si="4"/>
        <v>15.86171618218548</v>
      </c>
      <c r="AM12" s="62">
        <f t="shared" si="5"/>
        <v>205.21967493474156</v>
      </c>
      <c r="AN12" s="62">
        <f ca="1">AVERAGE(OFFSET($AM$3,0,0,'Données projet'!$E$10+1,1))-AVERAGE(OFFSET($H$3,0,0,'Données projet'!$E$10+1,1))</f>
        <v>304.39782420428173</v>
      </c>
      <c r="AO12" s="62">
        <f t="shared" si="36"/>
        <v>360.34132229290537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5.85</v>
      </c>
      <c r="BD12" s="13">
        <f>IF('Données projet'!$A$88&gt;35,BD11+BC12-BL11,IF(A12&lt;'Données projet'!$A$88,$BA$205^A12,IF(A12='Données projet'!$A$88,'Données projet'!$B$88,BD11+BC12-BL11)))</f>
        <v>8.5247889874587734</v>
      </c>
      <c r="BE12" s="14">
        <f>BD12*VLOOKUP('Données projet'!$B$11,Paramètres!$A$1:$I$89,3,0)*VLOOKUP('Données projet'!$B$11,Paramètres!$A$1:$I$89,5,0)</f>
        <v>6.6493354102178435</v>
      </c>
      <c r="BF12" s="14">
        <f t="shared" si="37"/>
        <v>2.4578700532379361</v>
      </c>
      <c r="BG12" s="22">
        <f t="shared" si="7"/>
        <v>15.86171618218548</v>
      </c>
      <c r="BH12" s="62">
        <f t="shared" si="8"/>
        <v>205.21967493474156</v>
      </c>
      <c r="BI12" s="62">
        <f ca="1">AVERAGE(OFFSET($BH$3,0,0,'Données projet'!$E$11+1,1))-AVERAGE(OFFSET($H$3,0,0,'Données projet'!$E$11+1,1))</f>
        <v>304.39782420428173</v>
      </c>
      <c r="BJ12" s="62">
        <f t="shared" si="38"/>
        <v>360.34132229290537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5.85</v>
      </c>
      <c r="BY12" s="13">
        <f>IF('Données projet'!$A$114&gt;35,BY11+BX12-CG11,IF(A12&lt;'Données projet'!$A$114,$BV$205^A12,IF(A12='Données projet'!$A$114,'Données projet'!$B$114,BY11+BX12-CG11)))</f>
        <v>8.5247889874587734</v>
      </c>
      <c r="BZ12" s="14">
        <f>BY12*VLOOKUP('Données projet'!$B$12,Paramètres!$A$1:$I$89,3,0)*VLOOKUP('Données projet'!$B$12,Paramètres!$A$1:$I$89,5,0)</f>
        <v>6.6493354102178435</v>
      </c>
      <c r="CA12" s="14">
        <f t="shared" si="39"/>
        <v>2.4578700532379361</v>
      </c>
      <c r="CB12" s="22">
        <f t="shared" si="10"/>
        <v>15.86171618218548</v>
      </c>
      <c r="CC12" s="62">
        <f t="shared" si="11"/>
        <v>205.21967493474156</v>
      </c>
      <c r="CD12" s="62">
        <f ca="1">AVERAGE(OFFSET($CC$3,0,0,'Données projet'!$E$12+1,1))-AVERAGE(OFFSET($H$3,0,0,'Données projet'!$E$12+1,1))</f>
        <v>304.39782420428173</v>
      </c>
      <c r="CE12" s="62">
        <f t="shared" si="40"/>
        <v>360.34132229290537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8.16</v>
      </c>
      <c r="N13" s="14">
        <f>IF('Données projet'!$A$36&gt;35,N12+M13-V12,IF(A13&lt;'Données projet'!$A$36,$K$205^A13,IF(A13='Données projet'!$A$36,'Données projet'!$B$36,N12+M13-V12)))</f>
        <v>8.3917409131149316</v>
      </c>
      <c r="O13" s="14">
        <f>N13*VLOOKUP('Données projet'!$B$9,Paramètres!$A$1:$I$89,3,0)*VLOOKUP('Données projet'!$B$9,Paramètres!$A$1:$I$89,5,0)</f>
        <v>3.9273347473377878</v>
      </c>
      <c r="P13" s="14">
        <f t="shared" si="33"/>
        <v>1.5434657152765723</v>
      </c>
      <c r="Q13" s="22">
        <f t="shared" si="2"/>
        <v>9.5283108057200092</v>
      </c>
      <c r="R13" s="62">
        <f t="shared" si="0"/>
        <v>201.46697279076488</v>
      </c>
      <c r="S13" s="62">
        <f ca="1">AVERAGE(OFFSET($R$3,0,0,'Données projet'!$E$9+1,1))-AVERAGE(OFFSET($H$3,0,0,'Données projet'!$E$9+1,1))</f>
        <v>234.81928430389272</v>
      </c>
      <c r="T13" s="62">
        <f t="shared" si="34"/>
        <v>294.47057757403411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5.85</v>
      </c>
      <c r="AI13" s="14">
        <f>IF('Données projet'!$A$62&gt;35,AI12+AH13-AQ12,IF(A13&lt;'Données projet'!$A$62,$AF$205^A13,IF(A13='Données projet'!$A$62,'Données projet'!$B$62,AI12+AH13-AQ12)))</f>
        <v>10.816653826391967</v>
      </c>
      <c r="AJ13" s="14">
        <f>AI13*VLOOKUP('Données projet'!$B$10,Paramètres!$A$1:$I$89,3,0)*VLOOKUP('Données projet'!$B$10,Paramètres!$A$1:$I$89,5,0)</f>
        <v>8.4369899845857343</v>
      </c>
      <c r="AK13" s="14">
        <f t="shared" si="35"/>
        <v>3.0334117838182832</v>
      </c>
      <c r="AL13" s="22">
        <f t="shared" si="4"/>
        <v>19.977616413303661</v>
      </c>
      <c r="AM13" s="62">
        <f t="shared" si="5"/>
        <v>211.91627839834854</v>
      </c>
      <c r="AN13" s="62">
        <f ca="1">AVERAGE(OFFSET($AM$3,0,0,'Données projet'!$E$10+1,1))-AVERAGE(OFFSET($H$3,0,0,'Données projet'!$E$10+1,1))</f>
        <v>304.39782420428173</v>
      </c>
      <c r="AO13" s="62">
        <f t="shared" si="36"/>
        <v>360.34132229290537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5.85</v>
      </c>
      <c r="BD13" s="13">
        <f>IF('Données projet'!$A$88&gt;35,BD12+BC13-BL12,IF(A13&lt;'Données projet'!$A$88,$BA$205^A13,IF(A13='Données projet'!$A$88,'Données projet'!$B$88,BD12+BC13-BL12)))</f>
        <v>10.816653826391967</v>
      </c>
      <c r="BE13" s="14">
        <f>BD13*VLOOKUP('Données projet'!$B$11,Paramètres!$A$1:$I$89,3,0)*VLOOKUP('Données projet'!$B$11,Paramètres!$A$1:$I$89,5,0)</f>
        <v>8.4369899845857343</v>
      </c>
      <c r="BF13" s="14">
        <f t="shared" si="37"/>
        <v>3.0334117838182832</v>
      </c>
      <c r="BG13" s="22">
        <f t="shared" si="7"/>
        <v>19.977616413303661</v>
      </c>
      <c r="BH13" s="62">
        <f t="shared" si="8"/>
        <v>211.91627839834854</v>
      </c>
      <c r="BI13" s="62">
        <f ca="1">AVERAGE(OFFSET($BH$3,0,0,'Données projet'!$E$11+1,1))-AVERAGE(OFFSET($H$3,0,0,'Données projet'!$E$11+1,1))</f>
        <v>304.39782420428173</v>
      </c>
      <c r="BJ13" s="62">
        <f t="shared" si="38"/>
        <v>360.34132229290537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5.85</v>
      </c>
      <c r="BY13" s="13">
        <f>IF('Données projet'!$A$114&gt;35,BY12+BX13-CG12,IF(A13&lt;'Données projet'!$A$114,$BV$205^A13,IF(A13='Données projet'!$A$114,'Données projet'!$B$114,BY12+BX13-CG12)))</f>
        <v>10.816653826391967</v>
      </c>
      <c r="BZ13" s="14">
        <f>BY13*VLOOKUP('Données projet'!$B$12,Paramètres!$A$1:$I$89,3,0)*VLOOKUP('Données projet'!$B$12,Paramètres!$A$1:$I$89,5,0)</f>
        <v>8.4369899845857343</v>
      </c>
      <c r="CA13" s="14">
        <f t="shared" si="39"/>
        <v>3.0334117838182832</v>
      </c>
      <c r="CB13" s="22">
        <f t="shared" si="10"/>
        <v>19.977616413303661</v>
      </c>
      <c r="CC13" s="62">
        <f t="shared" si="11"/>
        <v>211.91627839834854</v>
      </c>
      <c r="CD13" s="62">
        <f ca="1">AVERAGE(OFFSET($CC$3,0,0,'Données projet'!$E$12+1,1))-AVERAGE(OFFSET($H$3,0,0,'Données projet'!$E$12+1,1))</f>
        <v>304.39782420428173</v>
      </c>
      <c r="CE13" s="62">
        <f t="shared" si="40"/>
        <v>360.34132229290537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8.16</v>
      </c>
      <c r="N14" s="14">
        <f>IF('Données projet'!$A$36&gt;35,N13+M14-V13,IF(A14&lt;'Données projet'!$A$36,$K$205^A14,IF(A14='Données projet'!$A$36,'Données projet'!$B$36,N13+M14-V13)))</f>
        <v>10.380954168820242</v>
      </c>
      <c r="O14" s="14">
        <f>N14*VLOOKUP('Données projet'!$B$9,Paramètres!$A$1:$I$89,3,0)*VLOOKUP('Données projet'!$B$9,Paramètres!$A$1:$I$89,5,0)</f>
        <v>4.8582865510078737</v>
      </c>
      <c r="P14" s="14">
        <f t="shared" si="33"/>
        <v>1.8626384153021189</v>
      </c>
      <c r="Q14" s="22">
        <f t="shared" si="2"/>
        <v>11.705610982989903</v>
      </c>
      <c r="R14" s="62">
        <f t="shared" si="0"/>
        <v>206.20140959210403</v>
      </c>
      <c r="S14" s="62">
        <f ca="1">AVERAGE(OFFSET($R$3,0,0,'Données projet'!$E$9+1,1))-AVERAGE(OFFSET($H$3,0,0,'Données projet'!$E$9+1,1))</f>
        <v>234.81928430389272</v>
      </c>
      <c r="T14" s="62">
        <f t="shared" si="34"/>
        <v>294.47057757403411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5.85</v>
      </c>
      <c r="AI14" s="14">
        <f>IF('Données projet'!$A$62&gt;35,AI13+AH14-AQ13,IF(A14&lt;'Données projet'!$A$62,$AF$205^A14,IF(A14='Données projet'!$A$62,'Données projet'!$B$62,AI13+AH14-AQ13)))</f>
        <v>13.724679892033022</v>
      </c>
      <c r="AJ14" s="14">
        <f>AI14*VLOOKUP('Données projet'!$B$10,Paramètres!$A$1:$I$89,3,0)*VLOOKUP('Données projet'!$B$10,Paramètres!$A$1:$I$89,5,0)</f>
        <v>10.705250315785758</v>
      </c>
      <c r="AK14" s="14">
        <f t="shared" si="35"/>
        <v>3.7437239768171127</v>
      </c>
      <c r="AL14" s="22">
        <f t="shared" si="4"/>
        <v>25.165296892949996</v>
      </c>
      <c r="AM14" s="62">
        <f t="shared" si="5"/>
        <v>219.66109550206414</v>
      </c>
      <c r="AN14" s="62">
        <f ca="1">AVERAGE(OFFSET($AM$3,0,0,'Données projet'!$E$10+1,1))-AVERAGE(OFFSET($H$3,0,0,'Données projet'!$E$10+1,1))</f>
        <v>304.39782420428173</v>
      </c>
      <c r="AO14" s="62">
        <f t="shared" si="36"/>
        <v>360.34132229290537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5.85</v>
      </c>
      <c r="BD14" s="13">
        <f>IF('Données projet'!$A$88&gt;35,BD13+BC14-BL13,IF(A14&lt;'Données projet'!$A$88,$BA$205^A14,IF(A14='Données projet'!$A$88,'Données projet'!$B$88,BD13+BC14-BL13)))</f>
        <v>13.724679892033022</v>
      </c>
      <c r="BE14" s="14">
        <f>BD14*VLOOKUP('Données projet'!$B$11,Paramètres!$A$1:$I$89,3,0)*VLOOKUP('Données projet'!$B$11,Paramètres!$A$1:$I$89,5,0)</f>
        <v>10.705250315785758</v>
      </c>
      <c r="BF14" s="14">
        <f t="shared" si="37"/>
        <v>3.7437239768171127</v>
      </c>
      <c r="BG14" s="22">
        <f t="shared" si="7"/>
        <v>25.165296892949996</v>
      </c>
      <c r="BH14" s="62">
        <f t="shared" si="8"/>
        <v>219.66109550206414</v>
      </c>
      <c r="BI14" s="62">
        <f ca="1">AVERAGE(OFFSET($BH$3,0,0,'Données projet'!$E$11+1,1))-AVERAGE(OFFSET($H$3,0,0,'Données projet'!$E$11+1,1))</f>
        <v>304.39782420428173</v>
      </c>
      <c r="BJ14" s="62">
        <f t="shared" si="38"/>
        <v>360.34132229290537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5.85</v>
      </c>
      <c r="BY14" s="13">
        <f>IF('Données projet'!$A$114&gt;35,BY13+BX14-CG13,IF(A14&lt;'Données projet'!$A$114,$BV$205^A14,IF(A14='Données projet'!$A$114,'Données projet'!$B$114,BY13+BX14-CG13)))</f>
        <v>13.724679892033022</v>
      </c>
      <c r="BZ14" s="14">
        <f>BY14*VLOOKUP('Données projet'!$B$12,Paramètres!$A$1:$I$89,3,0)*VLOOKUP('Données projet'!$B$12,Paramètres!$A$1:$I$89,5,0)</f>
        <v>10.705250315785758</v>
      </c>
      <c r="CA14" s="14">
        <f t="shared" si="39"/>
        <v>3.7437239768171127</v>
      </c>
      <c r="CB14" s="22">
        <f t="shared" si="10"/>
        <v>25.165296892949996</v>
      </c>
      <c r="CC14" s="62">
        <f t="shared" si="11"/>
        <v>219.66109550206414</v>
      </c>
      <c r="CD14" s="62">
        <f ca="1">AVERAGE(OFFSET($CC$3,0,0,'Données projet'!$E$12+1,1))-AVERAGE(OFFSET($H$3,0,0,'Données projet'!$E$12+1,1))</f>
        <v>304.39782420428173</v>
      </c>
      <c r="CE14" s="62">
        <f t="shared" si="40"/>
        <v>360.34132229290537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8.16</v>
      </c>
      <c r="N15" s="14">
        <f>IF('Données projet'!$A$36&gt;35,N14+M15-V14,IF(A15&lt;'Données projet'!$A$36,$K$205^A15,IF(A15='Données projet'!$A$36,'Données projet'!$B$36,N14+M15-V14)))</f>
        <v>12.841698828752968</v>
      </c>
      <c r="O15" s="14">
        <f>N15*VLOOKUP('Données projet'!$B$9,Paramètres!$A$1:$I$89,3,0)*VLOOKUP('Données projet'!$B$9,Paramètres!$A$1:$I$89,5,0)</f>
        <v>6.0099150518563889</v>
      </c>
      <c r="P15" s="14">
        <f t="shared" si="33"/>
        <v>2.2478127190130075</v>
      </c>
      <c r="Q15" s="22">
        <f t="shared" si="2"/>
        <v>14.382209200930864</v>
      </c>
      <c r="R15" s="62">
        <f t="shared" si="0"/>
        <v>211.41198665366375</v>
      </c>
      <c r="S15" s="62">
        <f ca="1">AVERAGE(OFFSET($R$3,0,0,'Données projet'!$E$9+1,1))-AVERAGE(OFFSET($H$3,0,0,'Données projet'!$E$9+1,1))</f>
        <v>234.81928430389272</v>
      </c>
      <c r="T15" s="62">
        <f t="shared" si="34"/>
        <v>294.47057757403411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5.85</v>
      </c>
      <c r="AI15" s="14">
        <f>IF('Données projet'!$A$62&gt;35,AI14+AH15-AQ14,IF(A15&lt;'Données projet'!$A$62,$AF$205^A15,IF(A15='Données projet'!$A$62,'Données projet'!$B$62,AI14+AH15-AQ14)))</f>
        <v>17.414520346317467</v>
      </c>
      <c r="AJ15" s="14">
        <f>AI15*VLOOKUP('Données projet'!$B$10,Paramètres!$A$1:$I$89,3,0)*VLOOKUP('Données projet'!$B$10,Paramètres!$A$1:$I$89,5,0)</f>
        <v>13.583325870127625</v>
      </c>
      <c r="AK15" s="14">
        <f t="shared" si="35"/>
        <v>4.6203648609004491</v>
      </c>
      <c r="AL15" s="22">
        <f t="shared" si="4"/>
        <v>31.704761356540562</v>
      </c>
      <c r="AM15" s="62">
        <f t="shared" si="5"/>
        <v>228.73453880927343</v>
      </c>
      <c r="AN15" s="62">
        <f ca="1">AVERAGE(OFFSET($AM$3,0,0,'Données projet'!$E$10+1,1))-AVERAGE(OFFSET($H$3,0,0,'Données projet'!$E$10+1,1))</f>
        <v>304.39782420428173</v>
      </c>
      <c r="AO15" s="62">
        <f t="shared" si="36"/>
        <v>360.34132229290537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5.85</v>
      </c>
      <c r="BD15" s="13">
        <f>IF('Données projet'!$A$88&gt;35,BD14+BC15-BL14,IF(A15&lt;'Données projet'!$A$88,$BA$205^A15,IF(A15='Données projet'!$A$88,'Données projet'!$B$88,BD14+BC15-BL14)))</f>
        <v>17.414520346317467</v>
      </c>
      <c r="BE15" s="14">
        <f>BD15*VLOOKUP('Données projet'!$B$11,Paramètres!$A$1:$I$89,3,0)*VLOOKUP('Données projet'!$B$11,Paramètres!$A$1:$I$89,5,0)</f>
        <v>13.583325870127625</v>
      </c>
      <c r="BF15" s="14">
        <f t="shared" si="37"/>
        <v>4.6203648609004491</v>
      </c>
      <c r="BG15" s="22">
        <f t="shared" si="7"/>
        <v>31.704761356540562</v>
      </c>
      <c r="BH15" s="62">
        <f t="shared" si="8"/>
        <v>228.73453880927343</v>
      </c>
      <c r="BI15" s="62">
        <f ca="1">AVERAGE(OFFSET($BH$3,0,0,'Données projet'!$E$11+1,1))-AVERAGE(OFFSET($H$3,0,0,'Données projet'!$E$11+1,1))</f>
        <v>304.39782420428173</v>
      </c>
      <c r="BJ15" s="62">
        <f t="shared" si="38"/>
        <v>360.34132229290537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5.85</v>
      </c>
      <c r="BY15" s="13">
        <f>IF('Données projet'!$A$114&gt;35,BY14+BX15-CG14,IF(A15&lt;'Données projet'!$A$114,$BV$205^A15,IF(A15='Données projet'!$A$114,'Données projet'!$B$114,BY14+BX15-CG14)))</f>
        <v>17.414520346317467</v>
      </c>
      <c r="BZ15" s="14">
        <f>BY15*VLOOKUP('Données projet'!$B$12,Paramètres!$A$1:$I$89,3,0)*VLOOKUP('Données projet'!$B$12,Paramètres!$A$1:$I$89,5,0)</f>
        <v>13.583325870127625</v>
      </c>
      <c r="CA15" s="14">
        <f t="shared" si="39"/>
        <v>4.6203648609004491</v>
      </c>
      <c r="CB15" s="22">
        <f t="shared" si="10"/>
        <v>31.704761356540562</v>
      </c>
      <c r="CC15" s="62">
        <f t="shared" si="11"/>
        <v>228.73453880927343</v>
      </c>
      <c r="CD15" s="62">
        <f ca="1">AVERAGE(OFFSET($CC$3,0,0,'Données projet'!$E$12+1,1))-AVERAGE(OFFSET($H$3,0,0,'Données projet'!$E$12+1,1))</f>
        <v>304.39782420428173</v>
      </c>
      <c r="CE15" s="62">
        <f t="shared" si="40"/>
        <v>360.34132229290537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8.16</v>
      </c>
      <c r="N16" s="14">
        <f>IF('Données projet'!$A$36&gt;35,N15+M16-V15,IF(A16&lt;'Données projet'!$A$36,$K$205^A16,IF(A16='Données projet'!$A$36,'Données projet'!$B$36,N15+M16-V15)))</f>
        <v>15.88574866303804</v>
      </c>
      <c r="O16" s="14">
        <f>N16*VLOOKUP('Données projet'!$B$9,Paramètres!$A$1:$I$89,3,0)*VLOOKUP('Données projet'!$B$9,Paramètres!$A$1:$I$89,5,0)</f>
        <v>7.4345303743018025</v>
      </c>
      <c r="P16" s="14">
        <f t="shared" si="33"/>
        <v>2.7126370734370968</v>
      </c>
      <c r="Q16" s="22">
        <f t="shared" si="2"/>
        <v>17.672983304811915</v>
      </c>
      <c r="R16" s="62">
        <f t="shared" si="0"/>
        <v>217.21398355643072</v>
      </c>
      <c r="S16" s="62">
        <f ca="1">AVERAGE(OFFSET($R$3,0,0,'Données projet'!$E$9+1,1))-AVERAGE(OFFSET($H$3,0,0,'Données projet'!$E$9+1,1))</f>
        <v>234.81928430389272</v>
      </c>
      <c r="T16" s="62">
        <f t="shared" si="34"/>
        <v>294.47057757403411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5.85</v>
      </c>
      <c r="AI16" s="14">
        <f>IF('Données projet'!$A$62&gt;35,AI15+AH16-AQ15,IF(A16&lt;'Données projet'!$A$62,$AF$205^A16,IF(A16='Données projet'!$A$62,'Données projet'!$B$62,AI15+AH16-AQ15)))</f>
        <v>22.096363724180279</v>
      </c>
      <c r="AJ16" s="14">
        <f>AI16*VLOOKUP('Données projet'!$B$10,Paramètres!$A$1:$I$89,3,0)*VLOOKUP('Données projet'!$B$10,Paramètres!$A$1:$I$89,5,0)</f>
        <v>17.235163704860618</v>
      </c>
      <c r="AK16" s="14">
        <f t="shared" si="35"/>
        <v>5.7022824278817001</v>
      </c>
      <c r="AL16" s="22">
        <f t="shared" si="4"/>
        <v>39.949385347859533</v>
      </c>
      <c r="AM16" s="62">
        <f t="shared" si="5"/>
        <v>239.49038559947834</v>
      </c>
      <c r="AN16" s="62">
        <f ca="1">AVERAGE(OFFSET($AM$3,0,0,'Données projet'!$E$10+1,1))-AVERAGE(OFFSET($H$3,0,0,'Données projet'!$E$10+1,1))</f>
        <v>304.39782420428173</v>
      </c>
      <c r="AO16" s="62">
        <f t="shared" si="36"/>
        <v>360.34132229290537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5.85</v>
      </c>
      <c r="BD16" s="13">
        <f>IF('Données projet'!$A$88&gt;35,BD15+BC16-BL15,IF(A16&lt;'Données projet'!$A$88,$BA$205^A16,IF(A16='Données projet'!$A$88,'Données projet'!$B$88,BD15+BC16-BL15)))</f>
        <v>22.096363724180279</v>
      </c>
      <c r="BE16" s="14">
        <f>BD16*VLOOKUP('Données projet'!$B$11,Paramètres!$A$1:$I$89,3,0)*VLOOKUP('Données projet'!$B$11,Paramètres!$A$1:$I$89,5,0)</f>
        <v>17.235163704860618</v>
      </c>
      <c r="BF16" s="14">
        <f t="shared" si="37"/>
        <v>5.7022824278817001</v>
      </c>
      <c r="BG16" s="22">
        <f t="shared" si="7"/>
        <v>39.949385347859533</v>
      </c>
      <c r="BH16" s="62">
        <f t="shared" si="8"/>
        <v>239.49038559947834</v>
      </c>
      <c r="BI16" s="62">
        <f ca="1">AVERAGE(OFFSET($BH$3,0,0,'Données projet'!$E$11+1,1))-AVERAGE(OFFSET($H$3,0,0,'Données projet'!$E$11+1,1))</f>
        <v>304.39782420428173</v>
      </c>
      <c r="BJ16" s="62">
        <f t="shared" si="38"/>
        <v>360.34132229290537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5.85</v>
      </c>
      <c r="BY16" s="13">
        <f>IF('Données projet'!$A$114&gt;35,BY15+BX16-CG15,IF(A16&lt;'Données projet'!$A$114,$BV$205^A16,IF(A16='Données projet'!$A$114,'Données projet'!$B$114,BY15+BX16-CG15)))</f>
        <v>22.096363724180279</v>
      </c>
      <c r="BZ16" s="14">
        <f>BY16*VLOOKUP('Données projet'!$B$12,Paramètres!$A$1:$I$89,3,0)*VLOOKUP('Données projet'!$B$12,Paramètres!$A$1:$I$89,5,0)</f>
        <v>17.235163704860618</v>
      </c>
      <c r="CA16" s="14">
        <f t="shared" si="39"/>
        <v>5.7022824278817001</v>
      </c>
      <c r="CB16" s="22">
        <f t="shared" si="10"/>
        <v>39.949385347859533</v>
      </c>
      <c r="CC16" s="62">
        <f t="shared" si="11"/>
        <v>239.49038559947834</v>
      </c>
      <c r="CD16" s="62">
        <f ca="1">AVERAGE(OFFSET($CC$3,0,0,'Données projet'!$E$12+1,1))-AVERAGE(OFFSET($H$3,0,0,'Données projet'!$E$12+1,1))</f>
        <v>304.39782420428173</v>
      </c>
      <c r="CE16" s="62">
        <f t="shared" si="40"/>
        <v>360.34132229290537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8.16</v>
      </c>
      <c r="N17" s="14">
        <f>IF('Données projet'!$A$36&gt;35,N16+M17-V16,IF(A17&lt;'Données projet'!$A$36,$K$205^A17,IF(A17='Données projet'!$A$36,'Données projet'!$B$36,N16+M17-V16)))</f>
        <v>19.651372762315496</v>
      </c>
      <c r="O17" s="14">
        <f>N17*VLOOKUP('Données projet'!$B$9,Paramètres!$A$1:$I$89,3,0)*VLOOKUP('Données projet'!$B$9,Paramètres!$A$1:$I$89,5,0)</f>
        <v>9.1968424527636525</v>
      </c>
      <c r="P17" s="14">
        <f t="shared" si="33"/>
        <v>3.273582282876474</v>
      </c>
      <c r="Q17" s="22">
        <f t="shared" si="2"/>
        <v>21.719323081239882</v>
      </c>
      <c r="R17" s="62">
        <f t="shared" si="0"/>
        <v>223.74918485351307</v>
      </c>
      <c r="S17" s="62">
        <f ca="1">AVERAGE(OFFSET($R$3,0,0,'Données projet'!$E$9+1,1))-AVERAGE(OFFSET($H$3,0,0,'Données projet'!$E$9+1,1))</f>
        <v>234.81928430389272</v>
      </c>
      <c r="T17" s="62">
        <f t="shared" si="34"/>
        <v>294.47057757403411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5.85</v>
      </c>
      <c r="AI17" s="14">
        <f>IF('Données projet'!$A$62&gt;35,AI16+AH17-AQ16,IF(A17&lt;'Données projet'!$A$62,$AF$205^A17,IF(A17='Données projet'!$A$62,'Données projet'!$B$62,AI16+AH17-AQ16)))</f>
        <v>28.036907139651255</v>
      </c>
      <c r="AJ17" s="14">
        <f>AI17*VLOOKUP('Données projet'!$B$10,Paramètres!$A$1:$I$89,3,0)*VLOOKUP('Données projet'!$B$10,Paramètres!$A$1:$I$89,5,0)</f>
        <v>21.868787568927981</v>
      </c>
      <c r="AK17" s="14">
        <f t="shared" si="35"/>
        <v>7.0375448403422114</v>
      </c>
      <c r="AL17" s="22">
        <f t="shared" si="4"/>
        <v>50.34519561281224</v>
      </c>
      <c r="AM17" s="62">
        <f t="shared" si="5"/>
        <v>252.37505738508543</v>
      </c>
      <c r="AN17" s="62">
        <f ca="1">AVERAGE(OFFSET($AM$3,0,0,'Données projet'!$E$10+1,1))-AVERAGE(OFFSET($H$3,0,0,'Données projet'!$E$10+1,1))</f>
        <v>304.39782420428173</v>
      </c>
      <c r="AO17" s="62">
        <f t="shared" si="36"/>
        <v>360.34132229290537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5.85</v>
      </c>
      <c r="BD17" s="13">
        <f>IF('Données projet'!$A$88&gt;35,BD16+BC17-BL16,IF(A17&lt;'Données projet'!$A$88,$BA$205^A17,IF(A17='Données projet'!$A$88,'Données projet'!$B$88,BD16+BC17-BL16)))</f>
        <v>28.036907139651255</v>
      </c>
      <c r="BE17" s="14">
        <f>BD17*VLOOKUP('Données projet'!$B$11,Paramètres!$A$1:$I$89,3,0)*VLOOKUP('Données projet'!$B$11,Paramètres!$A$1:$I$89,5,0)</f>
        <v>21.868787568927981</v>
      </c>
      <c r="BF17" s="14">
        <f t="shared" si="37"/>
        <v>7.0375448403422114</v>
      </c>
      <c r="BG17" s="22">
        <f t="shared" si="7"/>
        <v>50.34519561281224</v>
      </c>
      <c r="BH17" s="62">
        <f t="shared" si="8"/>
        <v>252.37505738508543</v>
      </c>
      <c r="BI17" s="62">
        <f ca="1">AVERAGE(OFFSET($BH$3,0,0,'Données projet'!$E$11+1,1))-AVERAGE(OFFSET($H$3,0,0,'Données projet'!$E$11+1,1))</f>
        <v>304.39782420428173</v>
      </c>
      <c r="BJ17" s="62">
        <f t="shared" si="38"/>
        <v>360.34132229290537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5.85</v>
      </c>
      <c r="BY17" s="13">
        <f>IF('Données projet'!$A$114&gt;35,BY16+BX17-CG16,IF(A17&lt;'Données projet'!$A$114,$BV$205^A17,IF(A17='Données projet'!$A$114,'Données projet'!$B$114,BY16+BX17-CG16)))</f>
        <v>28.036907139651255</v>
      </c>
      <c r="BZ17" s="14">
        <f>BY17*VLOOKUP('Données projet'!$B$12,Paramètres!$A$1:$I$89,3,0)*VLOOKUP('Données projet'!$B$12,Paramètres!$A$1:$I$89,5,0)</f>
        <v>21.868787568927981</v>
      </c>
      <c r="CA17" s="14">
        <f t="shared" si="39"/>
        <v>7.0375448403422114</v>
      </c>
      <c r="CB17" s="22">
        <f t="shared" si="10"/>
        <v>50.34519561281224</v>
      </c>
      <c r="CC17" s="62">
        <f t="shared" si="11"/>
        <v>252.37505738508543</v>
      </c>
      <c r="CD17" s="62">
        <f ca="1">AVERAGE(OFFSET($CC$3,0,0,'Données projet'!$E$12+1,1))-AVERAGE(OFFSET($H$3,0,0,'Données projet'!$E$12+1,1))</f>
        <v>304.39782420428173</v>
      </c>
      <c r="CE17" s="62">
        <f t="shared" si="40"/>
        <v>360.34132229290537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8.16</v>
      </c>
      <c r="N18" s="14">
        <f>IF('Données projet'!$A$36&gt;35,N17+M18-V17,IF(A18&lt;'Données projet'!$A$36,$K$205^A18,IF(A18='Données projet'!$A$36,'Données projet'!$B$36,N17+M18-V17)))</f>
        <v>24.309616098988553</v>
      </c>
      <c r="O18" s="14">
        <f>N18*VLOOKUP('Données projet'!$B$9,Paramètres!$A$1:$I$89,3,0)*VLOOKUP('Données projet'!$B$9,Paramètres!$A$1:$I$89,5,0)</f>
        <v>11.376900334326642</v>
      </c>
      <c r="P18" s="14">
        <f t="shared" si="33"/>
        <v>3.9505251431163275</v>
      </c>
      <c r="Q18" s="22">
        <f t="shared" si="2"/>
        <v>26.695266039879836</v>
      </c>
      <c r="R18" s="62">
        <f t="shared" si="0"/>
        <v>231.19201597276088</v>
      </c>
      <c r="S18" s="62">
        <f ca="1">AVERAGE(OFFSET($R$3,0,0,'Données projet'!$E$9+1,1))-AVERAGE(OFFSET($H$3,0,0,'Données projet'!$E$9+1,1))</f>
        <v>234.81928430389272</v>
      </c>
      <c r="T18" s="62">
        <f t="shared" si="34"/>
        <v>294.47057757403411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5.85</v>
      </c>
      <c r="AI18" s="14">
        <f>IF('Données projet'!$A$62&gt;35,AI17+AH18-AQ17,IF(A18&lt;'Données projet'!$A$62,$AF$205^A18,IF(A18='Données projet'!$A$62,'Données projet'!$B$62,AI17+AH18-AQ17)))</f>
        <v>35.574548453745123</v>
      </c>
      <c r="AJ18" s="14">
        <f>AI18*VLOOKUP('Données projet'!$B$10,Paramètres!$A$1:$I$89,3,0)*VLOOKUP('Données projet'!$B$10,Paramètres!$A$1:$I$89,5,0)</f>
        <v>27.748147793921198</v>
      </c>
      <c r="AK18" s="14">
        <f t="shared" si="35"/>
        <v>8.6854760363431716</v>
      </c>
      <c r="AL18" s="22">
        <f t="shared" si="4"/>
        <v>63.455228171043764</v>
      </c>
      <c r="AM18" s="62">
        <f t="shared" si="5"/>
        <v>267.95197810392483</v>
      </c>
      <c r="AN18" s="62">
        <f ca="1">AVERAGE(OFFSET($AM$3,0,0,'Données projet'!$E$10+1,1))-AVERAGE(OFFSET($H$3,0,0,'Données projet'!$E$10+1,1))</f>
        <v>304.39782420428173</v>
      </c>
      <c r="AO18" s="62">
        <f t="shared" si="36"/>
        <v>360.34132229290537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5.85</v>
      </c>
      <c r="BD18" s="13">
        <f>IF('Données projet'!$A$88&gt;35,BD17+BC18-BL17,IF(A18&lt;'Données projet'!$A$88,$BA$205^A18,IF(A18='Données projet'!$A$88,'Données projet'!$B$88,BD17+BC18-BL17)))</f>
        <v>35.574548453745123</v>
      </c>
      <c r="BE18" s="14">
        <f>BD18*VLOOKUP('Données projet'!$B$11,Paramètres!$A$1:$I$89,3,0)*VLOOKUP('Données projet'!$B$11,Paramètres!$A$1:$I$89,5,0)</f>
        <v>27.748147793921198</v>
      </c>
      <c r="BF18" s="14">
        <f t="shared" si="37"/>
        <v>8.6854760363431716</v>
      </c>
      <c r="BG18" s="22">
        <f t="shared" si="7"/>
        <v>63.455228171043764</v>
      </c>
      <c r="BH18" s="62">
        <f t="shared" si="8"/>
        <v>267.95197810392483</v>
      </c>
      <c r="BI18" s="62">
        <f ca="1">AVERAGE(OFFSET($BH$3,0,0,'Données projet'!$E$11+1,1))-AVERAGE(OFFSET($H$3,0,0,'Données projet'!$E$11+1,1))</f>
        <v>304.39782420428173</v>
      </c>
      <c r="BJ18" s="62">
        <f t="shared" si="38"/>
        <v>360.34132229290537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5.85</v>
      </c>
      <c r="BY18" s="13">
        <f>IF('Données projet'!$A$114&gt;35,BY17+BX18-CG17,IF(A18&lt;'Données projet'!$A$114,$BV$205^A18,IF(A18='Données projet'!$A$114,'Données projet'!$B$114,BY17+BX18-CG17)))</f>
        <v>35.574548453745123</v>
      </c>
      <c r="BZ18" s="14">
        <f>BY18*VLOOKUP('Données projet'!$B$12,Paramètres!$A$1:$I$89,3,0)*VLOOKUP('Données projet'!$B$12,Paramètres!$A$1:$I$89,5,0)</f>
        <v>27.748147793921198</v>
      </c>
      <c r="CA18" s="14">
        <f t="shared" si="39"/>
        <v>8.6854760363431716</v>
      </c>
      <c r="CB18" s="22">
        <f t="shared" si="10"/>
        <v>63.455228171043764</v>
      </c>
      <c r="CC18" s="62">
        <f t="shared" si="11"/>
        <v>267.95197810392483</v>
      </c>
      <c r="CD18" s="62">
        <f ca="1">AVERAGE(OFFSET($CC$3,0,0,'Données projet'!$E$12+1,1))-AVERAGE(OFFSET($H$3,0,0,'Données projet'!$E$12+1,1))</f>
        <v>304.39782420428173</v>
      </c>
      <c r="CE18" s="62">
        <f t="shared" si="40"/>
        <v>360.34132229290537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8.16</v>
      </c>
      <c r="N19" s="14">
        <f>IF('Données projet'!$A$36&gt;35,N18+M19-V18,IF(A19&lt;'Données projet'!$A$36,$K$205^A19,IF(A19='Données projet'!$A$36,'Données projet'!$B$36,N18+M19-V18)))</f>
        <v>30.072068858896934</v>
      </c>
      <c r="O19" s="14">
        <f>N19*VLOOKUP('Données projet'!$B$9,Paramètres!$A$1:$I$89,3,0)*VLOOKUP('Données projet'!$B$9,Paramètres!$A$1:$I$89,5,0)</f>
        <v>14.073728225963766</v>
      </c>
      <c r="P19" s="14">
        <f t="shared" si="33"/>
        <v>4.767452765134359</v>
      </c>
      <c r="Q19" s="22">
        <f t="shared" si="2"/>
        <v>32.815056892829233</v>
      </c>
      <c r="R19" s="62">
        <f t="shared" si="0"/>
        <v>239.75710281494329</v>
      </c>
      <c r="S19" s="62">
        <f ca="1">AVERAGE(OFFSET($R$3,0,0,'Données projet'!$E$9+1,1))-AVERAGE(OFFSET($H$3,0,0,'Données projet'!$E$9+1,1))</f>
        <v>234.81928430389272</v>
      </c>
      <c r="T19" s="62">
        <f t="shared" si="34"/>
        <v>294.47057757403411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5.85</v>
      </c>
      <c r="AI19" s="14">
        <f>IF('Données projet'!$A$62&gt;35,AI18+AH19-AQ18,IF(A19&lt;'Données projet'!$A$62,$AF$205^A19,IF(A19='Données projet'!$A$62,'Données projet'!$B$62,AI18+AH19-AQ18)))</f>
        <v>45.138662812705725</v>
      </c>
      <c r="AJ19" s="14">
        <f>AI19*VLOOKUP('Données projet'!$B$10,Paramètres!$A$1:$I$89,3,0)*VLOOKUP('Données projet'!$B$10,Paramètres!$A$1:$I$89,5,0)</f>
        <v>35.208156993910464</v>
      </c>
      <c r="AK19" s="14">
        <f t="shared" si="35"/>
        <v>10.71929141331386</v>
      </c>
      <c r="AL19" s="22">
        <f t="shared" si="4"/>
        <v>79.990305975915703</v>
      </c>
      <c r="AM19" s="62">
        <f t="shared" si="5"/>
        <v>286.93235189802976</v>
      </c>
      <c r="AN19" s="62">
        <f ca="1">AVERAGE(OFFSET($AM$3,0,0,'Données projet'!$E$10+1,1))-AVERAGE(OFFSET($H$3,0,0,'Données projet'!$E$10+1,1))</f>
        <v>304.39782420428173</v>
      </c>
      <c r="AO19" s="62">
        <f t="shared" si="36"/>
        <v>360.34132229290537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5.85</v>
      </c>
      <c r="BD19" s="13">
        <f>IF('Données projet'!$A$88&gt;35,BD18+BC19-BL18,IF(A19&lt;'Données projet'!$A$88,$BA$205^A19,IF(A19='Données projet'!$A$88,'Données projet'!$B$88,BD18+BC19-BL18)))</f>
        <v>45.138662812705725</v>
      </c>
      <c r="BE19" s="14">
        <f>BD19*VLOOKUP('Données projet'!$B$11,Paramètres!$A$1:$I$89,3,0)*VLOOKUP('Données projet'!$B$11,Paramètres!$A$1:$I$89,5,0)</f>
        <v>35.208156993910464</v>
      </c>
      <c r="BF19" s="14">
        <f t="shared" si="37"/>
        <v>10.71929141331386</v>
      </c>
      <c r="BG19" s="22">
        <f t="shared" si="7"/>
        <v>79.990305975915703</v>
      </c>
      <c r="BH19" s="62">
        <f t="shared" si="8"/>
        <v>286.93235189802976</v>
      </c>
      <c r="BI19" s="62">
        <f ca="1">AVERAGE(OFFSET($BH$3,0,0,'Données projet'!$E$11+1,1))-AVERAGE(OFFSET($H$3,0,0,'Données projet'!$E$11+1,1))</f>
        <v>304.39782420428173</v>
      </c>
      <c r="BJ19" s="62">
        <f t="shared" si="38"/>
        <v>360.34132229290537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5.85</v>
      </c>
      <c r="BY19" s="13">
        <f>IF('Données projet'!$A$114&gt;35,BY18+BX19-CG18,IF(A19&lt;'Données projet'!$A$114,$BV$205^A19,IF(A19='Données projet'!$A$114,'Données projet'!$B$114,BY18+BX19-CG18)))</f>
        <v>45.138662812705725</v>
      </c>
      <c r="BZ19" s="14">
        <f>BY19*VLOOKUP('Données projet'!$B$12,Paramètres!$A$1:$I$89,3,0)*VLOOKUP('Données projet'!$B$12,Paramètres!$A$1:$I$89,5,0)</f>
        <v>35.208156993910464</v>
      </c>
      <c r="CA19" s="14">
        <f t="shared" si="39"/>
        <v>10.71929141331386</v>
      </c>
      <c r="CB19" s="22">
        <f t="shared" si="10"/>
        <v>79.990305975915703</v>
      </c>
      <c r="CC19" s="62">
        <f t="shared" si="11"/>
        <v>286.93235189802976</v>
      </c>
      <c r="CD19" s="62">
        <f ca="1">AVERAGE(OFFSET($CC$3,0,0,'Données projet'!$E$12+1,1))-AVERAGE(OFFSET($H$3,0,0,'Données projet'!$E$12+1,1))</f>
        <v>304.39782420428173</v>
      </c>
      <c r="CE19" s="62">
        <f t="shared" si="40"/>
        <v>360.34132229290537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8.16</v>
      </c>
      <c r="N20" s="14">
        <f>IF('Données projet'!$A$36&gt;35,N19+M20-V19,IF(A20&lt;'Données projet'!$A$36,$K$205^A20,IF(A20='Données projet'!$A$36,'Données projet'!$B$36,N19+M20-V19)))</f>
        <v>37.200477447764598</v>
      </c>
      <c r="O20" s="14">
        <f>N20*VLOOKUP('Données projet'!$B$9,Paramètres!$A$1:$I$89,3,0)*VLOOKUP('Données projet'!$B$9,Paramètres!$A$1:$I$89,5,0)</f>
        <v>17.409823445553833</v>
      </c>
      <c r="P20" s="14">
        <f t="shared" si="33"/>
        <v>5.753312545647546</v>
      </c>
      <c r="Q20" s="22">
        <f t="shared" si="2"/>
        <v>40.342461851342399</v>
      </c>
      <c r="R20" s="62">
        <f t="shared" si="0"/>
        <v>249.70858616721512</v>
      </c>
      <c r="S20" s="62">
        <f ca="1">AVERAGE(OFFSET($R$3,0,0,'Données projet'!$E$9+1,1))-AVERAGE(OFFSET($H$3,0,0,'Données projet'!$E$9+1,1))</f>
        <v>234.81928430389272</v>
      </c>
      <c r="T20" s="62">
        <f t="shared" si="34"/>
        <v>294.47057757403411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5.85</v>
      </c>
      <c r="AI20" s="14">
        <f>IF('Données projet'!$A$62&gt;35,AI19+AH20-AQ19,IF(A20&lt;'Données projet'!$A$62,$AF$205^A20,IF(A20='Données projet'!$A$62,'Données projet'!$B$62,AI19+AH20-AQ19)))</f>
        <v>57.274061627749042</v>
      </c>
      <c r="AJ20" s="14">
        <f>AI20*VLOOKUP('Données projet'!$B$10,Paramètres!$A$1:$I$89,3,0)*VLOOKUP('Données projet'!$B$10,Paramètres!$A$1:$I$89,5,0)</f>
        <v>44.673768069644254</v>
      </c>
      <c r="AK20" s="14">
        <f t="shared" si="35"/>
        <v>13.229350691055696</v>
      </c>
      <c r="AL20" s="22">
        <f t="shared" si="4"/>
        <v>100.84793184155241</v>
      </c>
      <c r="AM20" s="62">
        <f t="shared" si="5"/>
        <v>310.21405615742515</v>
      </c>
      <c r="AN20" s="62">
        <f ca="1">AVERAGE(OFFSET($AM$3,0,0,'Données projet'!$E$10+1,1))-AVERAGE(OFFSET($H$3,0,0,'Données projet'!$E$10+1,1))</f>
        <v>304.39782420428173</v>
      </c>
      <c r="AO20" s="62">
        <f t="shared" si="36"/>
        <v>360.34132229290537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5.85</v>
      </c>
      <c r="BD20" s="13">
        <f>IF('Données projet'!$A$88&gt;35,BD19+BC20-BL19,IF(A20&lt;'Données projet'!$A$88,$BA$205^A20,IF(A20='Données projet'!$A$88,'Données projet'!$B$88,BD19+BC20-BL19)))</f>
        <v>57.274061627749042</v>
      </c>
      <c r="BE20" s="14">
        <f>BD20*VLOOKUP('Données projet'!$B$11,Paramètres!$A$1:$I$89,3,0)*VLOOKUP('Données projet'!$B$11,Paramètres!$A$1:$I$89,5,0)</f>
        <v>44.673768069644254</v>
      </c>
      <c r="BF20" s="14">
        <f t="shared" si="37"/>
        <v>13.229350691055696</v>
      </c>
      <c r="BG20" s="22">
        <f t="shared" si="7"/>
        <v>100.84793184155241</v>
      </c>
      <c r="BH20" s="62">
        <f t="shared" si="8"/>
        <v>310.21405615742515</v>
      </c>
      <c r="BI20" s="62">
        <f ca="1">AVERAGE(OFFSET($BH$3,0,0,'Données projet'!$E$11+1,1))-AVERAGE(OFFSET($H$3,0,0,'Données projet'!$E$11+1,1))</f>
        <v>304.39782420428173</v>
      </c>
      <c r="BJ20" s="62">
        <f t="shared" si="38"/>
        <v>360.34132229290537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5.85</v>
      </c>
      <c r="BY20" s="13">
        <f>IF('Données projet'!$A$114&gt;35,BY19+BX20-CG19,IF(A20&lt;'Données projet'!$A$114,$BV$205^A20,IF(A20='Données projet'!$A$114,'Données projet'!$B$114,BY19+BX20-CG19)))</f>
        <v>57.274061627749042</v>
      </c>
      <c r="BZ20" s="14">
        <f>BY20*VLOOKUP('Données projet'!$B$12,Paramètres!$A$1:$I$89,3,0)*VLOOKUP('Données projet'!$B$12,Paramètres!$A$1:$I$89,5,0)</f>
        <v>44.673768069644254</v>
      </c>
      <c r="CA20" s="14">
        <f t="shared" si="39"/>
        <v>13.229350691055696</v>
      </c>
      <c r="CB20" s="22">
        <f t="shared" si="10"/>
        <v>100.84793184155241</v>
      </c>
      <c r="CC20" s="62">
        <f t="shared" si="11"/>
        <v>310.21405615742515</v>
      </c>
      <c r="CD20" s="62">
        <f ca="1">AVERAGE(OFFSET($CC$3,0,0,'Données projet'!$E$12+1,1))-AVERAGE(OFFSET($H$3,0,0,'Données projet'!$E$12+1,1))</f>
        <v>304.39782420428173</v>
      </c>
      <c r="CE20" s="62">
        <f t="shared" si="40"/>
        <v>360.34132229290537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8.16</v>
      </c>
      <c r="N21" s="14">
        <f>IF('Données projet'!$A$36&gt;35,N20+M21-V20,IF(A21&lt;'Données projet'!$A$36,$K$205^A21,IF(A21='Données projet'!$A$36,'Données projet'!$B$36,N20+M21-V20)))</f>
        <v>46.018633730689196</v>
      </c>
      <c r="O21" s="14">
        <f>N21*VLOOKUP('Données projet'!$B$9,Paramètres!$A$1:$I$89,3,0)*VLOOKUP('Données projet'!$B$9,Paramètres!$A$1:$I$89,5,0)</f>
        <v>21.536720585962545</v>
      </c>
      <c r="P21" s="14">
        <f t="shared" si="33"/>
        <v>6.9430379027515308</v>
      </c>
      <c r="Q21" s="22">
        <f t="shared" si="2"/>
        <v>49.602246034510351</v>
      </c>
      <c r="R21" s="62">
        <f t="shared" si="0"/>
        <v>261.37159922651347</v>
      </c>
      <c r="S21" s="62">
        <f ca="1">AVERAGE(OFFSET($R$3,0,0,'Données projet'!$E$9+1,1))-AVERAGE(OFFSET($H$3,0,0,'Données projet'!$E$9+1,1))</f>
        <v>234.81928430389272</v>
      </c>
      <c r="T21" s="62">
        <f t="shared" si="34"/>
        <v>294.47057757403411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5.85</v>
      </c>
      <c r="AI21" s="14">
        <f>IF('Données projet'!$A$62&gt;35,AI20+AH21-AQ20,IF(A21&lt;'Données projet'!$A$62,$AF$205^A21,IF(A21='Données projet'!$A$62,'Données projet'!$B$62,AI20+AH21-AQ20)))</f>
        <v>72.672027280698373</v>
      </c>
      <c r="AJ21" s="14">
        <f>AI21*VLOOKUP('Données projet'!$B$10,Paramètres!$A$1:$I$89,3,0)*VLOOKUP('Données projet'!$B$10,Paramètres!$A$1:$I$89,5,0)</f>
        <v>56.684181278944735</v>
      </c>
      <c r="AK21" s="14">
        <f t="shared" si="35"/>
        <v>16.327172474251263</v>
      </c>
      <c r="AL21" s="22">
        <f t="shared" si="4"/>
        <v>127.16144112014972</v>
      </c>
      <c r="AM21" s="62">
        <f t="shared" si="5"/>
        <v>338.93079431215284</v>
      </c>
      <c r="AN21" s="62">
        <f ca="1">AVERAGE(OFFSET($AM$3,0,0,'Données projet'!$E$10+1,1))-AVERAGE(OFFSET($H$3,0,0,'Données projet'!$E$10+1,1))</f>
        <v>304.39782420428173</v>
      </c>
      <c r="AO21" s="62">
        <f t="shared" si="36"/>
        <v>360.34132229290537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5.85</v>
      </c>
      <c r="BD21" s="13">
        <f>IF('Données projet'!$A$88&gt;35,BD20+BC21-BL20,IF(A21&lt;'Données projet'!$A$88,$BA$205^A21,IF(A21='Données projet'!$A$88,'Données projet'!$B$88,BD20+BC21-BL20)))</f>
        <v>72.672027280698373</v>
      </c>
      <c r="BE21" s="14">
        <f>BD21*VLOOKUP('Données projet'!$B$11,Paramètres!$A$1:$I$89,3,0)*VLOOKUP('Données projet'!$B$11,Paramètres!$A$1:$I$89,5,0)</f>
        <v>56.684181278944735</v>
      </c>
      <c r="BF21" s="14">
        <f t="shared" si="37"/>
        <v>16.327172474251263</v>
      </c>
      <c r="BG21" s="22">
        <f t="shared" si="7"/>
        <v>127.16144112014972</v>
      </c>
      <c r="BH21" s="62">
        <f t="shared" si="8"/>
        <v>338.93079431215284</v>
      </c>
      <c r="BI21" s="62">
        <f ca="1">AVERAGE(OFFSET($BH$3,0,0,'Données projet'!$E$11+1,1))-AVERAGE(OFFSET($H$3,0,0,'Données projet'!$E$11+1,1))</f>
        <v>304.39782420428173</v>
      </c>
      <c r="BJ21" s="62">
        <f t="shared" si="38"/>
        <v>360.34132229290537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5.85</v>
      </c>
      <c r="BY21" s="13">
        <f>IF('Données projet'!$A$114&gt;35,BY20+BX21-CG20,IF(A21&lt;'Données projet'!$A$114,$BV$205^A21,IF(A21='Données projet'!$A$114,'Données projet'!$B$114,BY20+BX21-CG20)))</f>
        <v>72.672027280698373</v>
      </c>
      <c r="BZ21" s="14">
        <f>BY21*VLOOKUP('Données projet'!$B$12,Paramètres!$A$1:$I$89,3,0)*VLOOKUP('Données projet'!$B$12,Paramètres!$A$1:$I$89,5,0)</f>
        <v>56.684181278944735</v>
      </c>
      <c r="CA21" s="14">
        <f t="shared" si="39"/>
        <v>16.327172474251263</v>
      </c>
      <c r="CB21" s="22">
        <f t="shared" si="10"/>
        <v>127.16144112014972</v>
      </c>
      <c r="CC21" s="62">
        <f t="shared" si="11"/>
        <v>338.93079431215284</v>
      </c>
      <c r="CD21" s="62">
        <f ca="1">AVERAGE(OFFSET($CC$3,0,0,'Données projet'!$E$12+1,1))-AVERAGE(OFFSET($H$3,0,0,'Données projet'!$E$12+1,1))</f>
        <v>304.39782420428173</v>
      </c>
      <c r="CE21" s="62">
        <f t="shared" si="40"/>
        <v>360.34132229290537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8.16</v>
      </c>
      <c r="N22" s="14">
        <f>IF('Données projet'!$A$36&gt;35,N21+M22-V21,IF(A22&lt;'Données projet'!$A$36,$K$205^A22,IF(A22='Données projet'!$A$36,'Données projet'!$B$36,N21+M22-V21)))</f>
        <v>56.927082546532752</v>
      </c>
      <c r="O22" s="14">
        <f>N22*VLOOKUP('Données projet'!$B$9,Paramètres!$A$1:$I$89,3,0)*VLOOKUP('Données projet'!$B$9,Paramètres!$A$1:$I$89,5,0)</f>
        <v>26.641874631777327</v>
      </c>
      <c r="P22" s="14">
        <f t="shared" si="33"/>
        <v>8.3787861230505634</v>
      </c>
      <c r="Q22" s="22">
        <f t="shared" si="2"/>
        <v>60.994317481325233</v>
      </c>
      <c r="R22" s="62">
        <f t="shared" si="0"/>
        <v>275.14641172434875</v>
      </c>
      <c r="S22" s="62">
        <f ca="1">AVERAGE(OFFSET($R$3,0,0,'Données projet'!$E$9+1,1))-AVERAGE(OFFSET($H$3,0,0,'Données projet'!$E$9+1,1))</f>
        <v>234.81928430389272</v>
      </c>
      <c r="T22" s="62">
        <f t="shared" si="34"/>
        <v>294.47057757403411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5.85</v>
      </c>
      <c r="AI22" s="14">
        <f>IF('Données projet'!$A$62&gt;35,AI21+AH22-AQ21,IF(A22&lt;'Données projet'!$A$62,$AF$205^A22,IF(A22='Données projet'!$A$62,'Données projet'!$B$62,AI21+AH22-AQ21)))</f>
        <v>92.209691420380025</v>
      </c>
      <c r="AJ22" s="14">
        <f>AI22*VLOOKUP('Données projet'!$B$10,Paramètres!$A$1:$I$89,3,0)*VLOOKUP('Données projet'!$B$10,Paramètres!$A$1:$I$89,5,0)</f>
        <v>71.923559307896426</v>
      </c>
      <c r="AK22" s="14">
        <f t="shared" si="35"/>
        <v>20.150388876166009</v>
      </c>
      <c r="AL22" s="22">
        <f t="shared" si="4"/>
        <v>160.36212642057541</v>
      </c>
      <c r="AM22" s="62">
        <f t="shared" si="5"/>
        <v>374.51422066359896</v>
      </c>
      <c r="AN22" s="62">
        <f ca="1">AVERAGE(OFFSET($AM$3,0,0,'Données projet'!$E$10+1,1))-AVERAGE(OFFSET($H$3,0,0,'Données projet'!$E$10+1,1))</f>
        <v>304.39782420428173</v>
      </c>
      <c r="AO22" s="62">
        <f t="shared" si="36"/>
        <v>360.34132229290537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5.85</v>
      </c>
      <c r="BD22" s="13">
        <f>IF('Données projet'!$A$88&gt;35,BD21+BC22-BL21,IF(A22&lt;'Données projet'!$A$88,$BA$205^A22,IF(A22='Données projet'!$A$88,'Données projet'!$B$88,BD21+BC22-BL21)))</f>
        <v>92.209691420380025</v>
      </c>
      <c r="BE22" s="14">
        <f>BD22*VLOOKUP('Données projet'!$B$11,Paramètres!$A$1:$I$89,3,0)*VLOOKUP('Données projet'!$B$11,Paramètres!$A$1:$I$89,5,0)</f>
        <v>71.923559307896426</v>
      </c>
      <c r="BF22" s="14">
        <f t="shared" si="37"/>
        <v>20.150388876166009</v>
      </c>
      <c r="BG22" s="22">
        <f t="shared" si="7"/>
        <v>160.36212642057541</v>
      </c>
      <c r="BH22" s="62">
        <f t="shared" si="8"/>
        <v>374.51422066359896</v>
      </c>
      <c r="BI22" s="62">
        <f ca="1">AVERAGE(OFFSET($BH$3,0,0,'Données projet'!$E$11+1,1))-AVERAGE(OFFSET($H$3,0,0,'Données projet'!$E$11+1,1))</f>
        <v>304.39782420428173</v>
      </c>
      <c r="BJ22" s="62">
        <f t="shared" si="38"/>
        <v>360.34132229290537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5.85</v>
      </c>
      <c r="BY22" s="13">
        <f>IF('Données projet'!$A$114&gt;35,BY21+BX22-CG21,IF(A22&lt;'Données projet'!$A$114,$BV$205^A22,IF(A22='Données projet'!$A$114,'Données projet'!$B$114,BY21+BX22-CG21)))</f>
        <v>92.209691420380025</v>
      </c>
      <c r="BZ22" s="14">
        <f>BY22*VLOOKUP('Données projet'!$B$12,Paramètres!$A$1:$I$89,3,0)*VLOOKUP('Données projet'!$B$12,Paramètres!$A$1:$I$89,5,0)</f>
        <v>71.923559307896426</v>
      </c>
      <c r="CA22" s="14">
        <f t="shared" si="39"/>
        <v>20.150388876166009</v>
      </c>
      <c r="CB22" s="22">
        <f t="shared" si="10"/>
        <v>160.36212642057541</v>
      </c>
      <c r="CC22" s="62">
        <f t="shared" si="11"/>
        <v>374.51422066359896</v>
      </c>
      <c r="CD22" s="62">
        <f ca="1">AVERAGE(OFFSET($CC$3,0,0,'Données projet'!$E$12+1,1))-AVERAGE(OFFSET($H$3,0,0,'Données projet'!$E$12+1,1))</f>
        <v>304.39782420428173</v>
      </c>
      <c r="CE22" s="62">
        <f t="shared" si="40"/>
        <v>360.34132229290537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8.16</v>
      </c>
      <c r="N23" s="14">
        <f>IF('Données projet'!$A$36&gt;35,N22+M23-V22,IF(A23&lt;'Données projet'!$A$36,$K$205^A23,IF(A23='Données projet'!$A$36,'Données projet'!$B$36,N22+M23-V22)))</f>
        <v>70.421315552847034</v>
      </c>
      <c r="O23" s="14">
        <f>N23*VLOOKUP('Données projet'!$B$9,Paramètres!$A$1:$I$89,3,0)*VLOOKUP('Données projet'!$B$9,Paramètres!$A$1:$I$89,5,0)</f>
        <v>32.957175678732412</v>
      </c>
      <c r="P23" s="14">
        <f t="shared" si="33"/>
        <v>10.111432182734129</v>
      </c>
      <c r="Q23" s="22">
        <f t="shared" si="2"/>
        <v>75.011158692054224</v>
      </c>
      <c r="R23" s="62">
        <f t="shared" si="0"/>
        <v>291.52586157894996</v>
      </c>
      <c r="S23" s="62">
        <f ca="1">AVERAGE(OFFSET($R$3,0,0,'Données projet'!$E$9+1,1))-AVERAGE(OFFSET($H$3,0,0,'Données projet'!$E$9+1,1))</f>
        <v>234.81928430389272</v>
      </c>
      <c r="T23" s="62">
        <f t="shared" si="34"/>
        <v>294.47057757403411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117</v>
      </c>
      <c r="AG23" s="13">
        <f>VLOOKUP(A23,'Données projet'!$A$61:$I$81,9,0)</f>
        <v>5.85</v>
      </c>
      <c r="AH23" s="13">
        <f t="array" ref="AH23">INDEX(AG:AG,MIN(IF(ISNUMBER(AG23:AG219),ROW(AG23:AG219),"")))</f>
        <v>5.85</v>
      </c>
      <c r="AI23" s="14">
        <f>IF('Données projet'!$A$62&gt;35,AI22+AH23-AQ22,IF(A23&lt;'Données projet'!$A$62,$AF$205^A23,IF(A23='Données projet'!$A$62,'Données projet'!$B$62,AI22+AH23-AQ22)))</f>
        <v>117</v>
      </c>
      <c r="AJ23" s="14">
        <f>AI23*VLOOKUP('Données projet'!$B$10,Paramètres!$A$1:$I$89,3,0)*VLOOKUP('Données projet'!$B$10,Paramètres!$A$1:$I$89,5,0)</f>
        <v>91.26</v>
      </c>
      <c r="AK23" s="14">
        <f t="shared" si="35"/>
        <v>24.868860330902777</v>
      </c>
      <c r="AL23" s="22">
        <f t="shared" si="4"/>
        <v>202.25776507632233</v>
      </c>
      <c r="AM23" s="62">
        <f t="shared" si="5"/>
        <v>418.77246796321805</v>
      </c>
      <c r="AN23" s="62">
        <f ca="1">AVERAGE(OFFSET($AM$3,0,0,'Données projet'!$E$10+1,1))-AVERAGE(OFFSET($H$3,0,0,'Données projet'!$E$10+1,1))</f>
        <v>304.39782420428173</v>
      </c>
      <c r="AO23" s="62">
        <f t="shared" si="36"/>
        <v>360.34132229290537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27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117</v>
      </c>
      <c r="BB23" s="13">
        <f>VLOOKUP(A23,'Données projet'!$A$87:$I$107,9,0)</f>
        <v>5.85</v>
      </c>
      <c r="BC23" s="13">
        <f t="array" ref="BC23">INDEX(BB:BB,MIN(IF(ISNUMBER(BB23:BB219),ROW(BB23:BB219),"")))</f>
        <v>5.85</v>
      </c>
      <c r="BD23" s="13">
        <f>IF('Données projet'!$A$88&gt;35,BD22+BC23-BL22,IF(A23&lt;'Données projet'!$A$88,$BA$205^A23,IF(A23='Données projet'!$A$88,'Données projet'!$B$88,BD22+BC23-BL22)))</f>
        <v>117</v>
      </c>
      <c r="BE23" s="14">
        <f>BD23*VLOOKUP('Données projet'!$B$11,Paramètres!$A$1:$I$89,3,0)*VLOOKUP('Données projet'!$B$11,Paramètres!$A$1:$I$89,5,0)</f>
        <v>91.26</v>
      </c>
      <c r="BF23" s="14">
        <f t="shared" si="37"/>
        <v>24.868860330902777</v>
      </c>
      <c r="BG23" s="22">
        <f t="shared" si="7"/>
        <v>202.25776507632233</v>
      </c>
      <c r="BH23" s="62">
        <f t="shared" si="8"/>
        <v>418.77246796321805</v>
      </c>
      <c r="BI23" s="62">
        <f ca="1">AVERAGE(OFFSET($BH$3,0,0,'Données projet'!$E$11+1,1))-AVERAGE(OFFSET($H$3,0,0,'Données projet'!$E$11+1,1))</f>
        <v>304.39782420428173</v>
      </c>
      <c r="BJ23" s="62">
        <f t="shared" si="38"/>
        <v>360.34132229290537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27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117</v>
      </c>
      <c r="BW23" s="13">
        <f>VLOOKUP(A23,'Données projet'!$A$113:$I$133,9,0)</f>
        <v>5.85</v>
      </c>
      <c r="BX23" s="13">
        <f t="array" ref="BX23">INDEX(BW:BW,MIN(IF(ISNUMBER(BW23:BW219),ROW(BW23:BW219),"")))</f>
        <v>5.85</v>
      </c>
      <c r="BY23" s="13">
        <f>IF('Données projet'!$A$114&gt;35,BY22+BX23-CG22,IF(A23&lt;'Données projet'!$A$114,$BV$205^A23,IF(A23='Données projet'!$A$114,'Données projet'!$B$114,BY22+BX23-CG22)))</f>
        <v>117</v>
      </c>
      <c r="BZ23" s="14">
        <f>BY23*VLOOKUP('Données projet'!$B$12,Paramètres!$A$1:$I$89,3,0)*VLOOKUP('Données projet'!$B$12,Paramètres!$A$1:$I$89,5,0)</f>
        <v>91.26</v>
      </c>
      <c r="CA23" s="14">
        <f t="shared" si="39"/>
        <v>24.868860330902777</v>
      </c>
      <c r="CB23" s="22">
        <f t="shared" si="10"/>
        <v>202.25776507632233</v>
      </c>
      <c r="CC23" s="62">
        <f t="shared" si="11"/>
        <v>418.77246796321805</v>
      </c>
      <c r="CD23" s="62">
        <f ca="1">AVERAGE(OFFSET($CC$3,0,0,'Données projet'!$E$12+1,1))-AVERAGE(OFFSET($H$3,0,0,'Données projet'!$E$12+1,1))</f>
        <v>304.39782420428173</v>
      </c>
      <c r="CE23" s="62">
        <f t="shared" si="40"/>
        <v>360.34132229290537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27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8.16</v>
      </c>
      <c r="N24" s="14">
        <f>IF('Données projet'!$A$36&gt;35,N23+M24-V23,IF(A24&lt;'Données projet'!$A$36,$K$205^A24,IF(A24='Données projet'!$A$36,'Données projet'!$B$36,N23+M24-V23)))</f>
        <v>87.114277815659833</v>
      </c>
      <c r="O24" s="14">
        <f>N24*VLOOKUP('Données projet'!$B$9,Paramètres!$A$1:$I$89,3,0)*VLOOKUP('Données projet'!$B$9,Paramètres!$A$1:$I$89,5,0)</f>
        <v>40.769482017728798</v>
      </c>
      <c r="P24" s="14">
        <f t="shared" si="33"/>
        <v>12.202371475357262</v>
      </c>
      <c r="Q24" s="22">
        <f t="shared" si="2"/>
        <v>92.259311500458224</v>
      </c>
      <c r="R24" s="62">
        <f t="shared" si="0"/>
        <v>311.11683987633262</v>
      </c>
      <c r="S24" s="62">
        <f ca="1">AVERAGE(OFFSET($R$3,0,0,'Données projet'!$E$9+1,1))-AVERAGE(OFFSET($H$3,0,0,'Données projet'!$E$9+1,1))</f>
        <v>234.81928430389272</v>
      </c>
      <c r="T24" s="62">
        <f t="shared" si="34"/>
        <v>294.47057757403411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</v>
      </c>
      <c r="AI24" s="14">
        <f>IF('Données projet'!$A$62&gt;35,AI23+AH24-AQ23,IF(A24&lt;'Données projet'!$A$62,$AF$205^A24,IF(A24='Données projet'!$A$62,'Données projet'!$B$62,AI23+AH24-AQ23)))</f>
        <v>100</v>
      </c>
      <c r="AJ24" s="14">
        <f>AI24*VLOOKUP('Données projet'!$B$10,Paramètres!$A$1:$I$89,3,0)*VLOOKUP('Données projet'!$B$10,Paramètres!$A$1:$I$89,5,0)</f>
        <v>78</v>
      </c>
      <c r="AK24" s="14">
        <f t="shared" si="35"/>
        <v>21.647455512768612</v>
      </c>
      <c r="AL24" s="22">
        <f t="shared" si="4"/>
        <v>173.55265168473866</v>
      </c>
      <c r="AM24" s="62">
        <f t="shared" si="5"/>
        <v>392.41018006061302</v>
      </c>
      <c r="AN24" s="62">
        <f ca="1">AVERAGE(OFFSET($AM$3,0,0,'Données projet'!$E$10+1,1))-AVERAGE(OFFSET($H$3,0,0,'Données projet'!$E$10+1,1))</f>
        <v>304.39782420428173</v>
      </c>
      <c r="AO24" s="62">
        <f t="shared" si="36"/>
        <v>360.34132229290537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</v>
      </c>
      <c r="BD24" s="13">
        <f>IF('Données projet'!$A$88&gt;35,BD23+BC24-BL23,IF(A24&lt;'Données projet'!$A$88,$BA$205^A24,IF(A24='Données projet'!$A$88,'Données projet'!$B$88,BD23+BC24-BL23)))</f>
        <v>100</v>
      </c>
      <c r="BE24" s="14">
        <f>BD24*VLOOKUP('Données projet'!$B$11,Paramètres!$A$1:$I$89,3,0)*VLOOKUP('Données projet'!$B$11,Paramètres!$A$1:$I$89,5,0)</f>
        <v>78</v>
      </c>
      <c r="BF24" s="14">
        <f t="shared" si="37"/>
        <v>21.647455512768612</v>
      </c>
      <c r="BG24" s="22">
        <f t="shared" si="7"/>
        <v>173.55265168473866</v>
      </c>
      <c r="BH24" s="62">
        <f t="shared" si="8"/>
        <v>392.41018006061302</v>
      </c>
      <c r="BI24" s="62">
        <f ca="1">AVERAGE(OFFSET($BH$3,0,0,'Données projet'!$E$11+1,1))-AVERAGE(OFFSET($H$3,0,0,'Données projet'!$E$11+1,1))</f>
        <v>304.39782420428173</v>
      </c>
      <c r="BJ24" s="62">
        <f t="shared" si="38"/>
        <v>360.34132229290537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</v>
      </c>
      <c r="BY24" s="13">
        <f>IF('Données projet'!$A$114&gt;35,BY23+BX24-CG23,IF(A24&lt;'Données projet'!$A$114,$BV$205^A24,IF(A24='Données projet'!$A$114,'Données projet'!$B$114,BY23+BX24-CG23)))</f>
        <v>100</v>
      </c>
      <c r="BZ24" s="14">
        <f>BY24*VLOOKUP('Données projet'!$B$12,Paramètres!$A$1:$I$89,3,0)*VLOOKUP('Données projet'!$B$12,Paramètres!$A$1:$I$89,5,0)</f>
        <v>78</v>
      </c>
      <c r="CA24" s="14">
        <f t="shared" si="39"/>
        <v>21.647455512768612</v>
      </c>
      <c r="CB24" s="22">
        <f t="shared" si="10"/>
        <v>173.55265168473866</v>
      </c>
      <c r="CC24" s="62">
        <f t="shared" si="11"/>
        <v>392.41018006061302</v>
      </c>
      <c r="CD24" s="62">
        <f ca="1">AVERAGE(OFFSET($CC$3,0,0,'Données projet'!$E$12+1,1))-AVERAGE(OFFSET($H$3,0,0,'Données projet'!$E$12+1,1))</f>
        <v>304.39782420428173</v>
      </c>
      <c r="CE24" s="62">
        <f t="shared" si="40"/>
        <v>360.34132229290537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8.16</v>
      </c>
      <c r="N25" s="14">
        <f>IF('Données projet'!$A$36&gt;35,N24+M25-V24,IF(A25&lt;'Données projet'!$A$36,$K$205^A25,IF(A25='Données projet'!$A$36,'Données projet'!$B$36,N24+M25-V24)))</f>
        <v>107.76420945514639</v>
      </c>
      <c r="O25" s="14">
        <f>N25*VLOOKUP('Données projet'!$B$9,Paramètres!$A$1:$I$89,3,0)*VLOOKUP('Données projet'!$B$9,Paramètres!$A$1:$I$89,5,0)</f>
        <v>50.433650025008511</v>
      </c>
      <c r="P25" s="14">
        <f t="shared" si="33"/>
        <v>14.725695325026711</v>
      </c>
      <c r="Q25" s="22">
        <f t="shared" si="2"/>
        <v>113.48585981797801</v>
      </c>
      <c r="R25" s="62">
        <f t="shared" si="0"/>
        <v>334.66677372144642</v>
      </c>
      <c r="S25" s="62">
        <f ca="1">AVERAGE(OFFSET($R$3,0,0,'Données projet'!$E$9+1,1))-AVERAGE(OFFSET($H$3,0,0,'Données projet'!$E$9+1,1))</f>
        <v>234.81928430389272</v>
      </c>
      <c r="T25" s="62">
        <f t="shared" si="34"/>
        <v>294.47057757403411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</v>
      </c>
      <c r="AI25" s="14">
        <f>IF('Données projet'!$A$62&gt;35,AI24+AH25-AQ24,IF(A25&lt;'Données projet'!$A$62,$AF$205^A25,IF(A25='Données projet'!$A$62,'Données projet'!$B$62,AI24+AH25-AQ24)))</f>
        <v>110</v>
      </c>
      <c r="AJ25" s="14">
        <f>AI25*VLOOKUP('Données projet'!$B$10,Paramètres!$A$1:$I$89,3,0)*VLOOKUP('Données projet'!$B$10,Paramètres!$A$1:$I$89,5,0)</f>
        <v>85.8</v>
      </c>
      <c r="AK25" s="14">
        <f t="shared" si="35"/>
        <v>23.549485995669766</v>
      </c>
      <c r="AL25" s="22">
        <f t="shared" si="4"/>
        <v>190.45035477579151</v>
      </c>
      <c r="AM25" s="62">
        <f t="shared" si="5"/>
        <v>411.6312686792599</v>
      </c>
      <c r="AN25" s="62">
        <f ca="1">AVERAGE(OFFSET($AM$3,0,0,'Données projet'!$E$10+1,1))-AVERAGE(OFFSET($H$3,0,0,'Données projet'!$E$10+1,1))</f>
        <v>304.39782420428173</v>
      </c>
      <c r="AO25" s="62">
        <f t="shared" si="36"/>
        <v>360.34132229290537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</v>
      </c>
      <c r="BD25" s="13">
        <f>IF('Données projet'!$A$88&gt;35,BD24+BC25-BL24,IF(A25&lt;'Données projet'!$A$88,$BA$205^A25,IF(A25='Données projet'!$A$88,'Données projet'!$B$88,BD24+BC25-BL24)))</f>
        <v>110</v>
      </c>
      <c r="BE25" s="14">
        <f>BD25*VLOOKUP('Données projet'!$B$11,Paramètres!$A$1:$I$89,3,0)*VLOOKUP('Données projet'!$B$11,Paramètres!$A$1:$I$89,5,0)</f>
        <v>85.8</v>
      </c>
      <c r="BF25" s="14">
        <f t="shared" si="37"/>
        <v>23.549485995669766</v>
      </c>
      <c r="BG25" s="22">
        <f t="shared" si="7"/>
        <v>190.45035477579151</v>
      </c>
      <c r="BH25" s="62">
        <f t="shared" si="8"/>
        <v>411.6312686792599</v>
      </c>
      <c r="BI25" s="62">
        <f ca="1">AVERAGE(OFFSET($BH$3,0,0,'Données projet'!$E$11+1,1))-AVERAGE(OFFSET($H$3,0,0,'Données projet'!$E$11+1,1))</f>
        <v>304.39782420428173</v>
      </c>
      <c r="BJ25" s="62">
        <f t="shared" si="38"/>
        <v>360.34132229290537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</v>
      </c>
      <c r="BY25" s="13">
        <f>IF('Données projet'!$A$114&gt;35,BY24+BX25-CG24,IF(A25&lt;'Données projet'!$A$114,$BV$205^A25,IF(A25='Données projet'!$A$114,'Données projet'!$B$114,BY24+BX25-CG24)))</f>
        <v>110</v>
      </c>
      <c r="BZ25" s="14">
        <f>BY25*VLOOKUP('Données projet'!$B$12,Paramètres!$A$1:$I$89,3,0)*VLOOKUP('Données projet'!$B$12,Paramètres!$A$1:$I$89,5,0)</f>
        <v>85.8</v>
      </c>
      <c r="CA25" s="14">
        <f t="shared" si="39"/>
        <v>23.549485995669766</v>
      </c>
      <c r="CB25" s="22">
        <f t="shared" si="10"/>
        <v>190.45035477579151</v>
      </c>
      <c r="CC25" s="62">
        <f t="shared" si="11"/>
        <v>411.6312686792599</v>
      </c>
      <c r="CD25" s="62">
        <f ca="1">AVERAGE(OFFSET($CC$3,0,0,'Données projet'!$E$12+1,1))-AVERAGE(OFFSET($H$3,0,0,'Données projet'!$E$12+1,1))</f>
        <v>304.39782420428173</v>
      </c>
      <c r="CE25" s="62">
        <f t="shared" si="40"/>
        <v>360.34132229290537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8.16</v>
      </c>
      <c r="N26" s="14">
        <f>IF('Données projet'!$A$36&gt;35,N25+M26-V25,IF(A26&lt;'Données projet'!$A$36,$K$205^A26,IF(A26='Données projet'!$A$36,'Données projet'!$B$36,N25+M26-V25)))</f>
        <v>133.30908699107715</v>
      </c>
      <c r="O26" s="14">
        <f>N26*VLOOKUP('Données projet'!$B$9,Paramètres!$A$1:$I$89,3,0)*VLOOKUP('Données projet'!$B$9,Paramètres!$A$1:$I$89,5,0)</f>
        <v>62.388652711824108</v>
      </c>
      <c r="P26" s="14">
        <f t="shared" si="33"/>
        <v>17.770816373148048</v>
      </c>
      <c r="Q26" s="22">
        <f t="shared" si="2"/>
        <v>139.61107532299317</v>
      </c>
      <c r="R26" s="62">
        <f t="shared" si="0"/>
        <v>363.09627203253967</v>
      </c>
      <c r="S26" s="62">
        <f ca="1">AVERAGE(OFFSET($R$3,0,0,'Données projet'!$E$9+1,1))-AVERAGE(OFFSET($H$3,0,0,'Données projet'!$E$9+1,1))</f>
        <v>234.81928430389272</v>
      </c>
      <c r="T26" s="62">
        <f t="shared" si="34"/>
        <v>294.47057757403411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</v>
      </c>
      <c r="AI26" s="14">
        <f>IF('Données projet'!$A$62&gt;35,AI25+AH26-AQ25,IF(A26&lt;'Données projet'!$A$62,$AF$205^A26,IF(A26='Données projet'!$A$62,'Données projet'!$B$62,AI25+AH26-AQ25)))</f>
        <v>120</v>
      </c>
      <c r="AJ26" s="14">
        <f>AI26*VLOOKUP('Données projet'!$B$10,Paramètres!$A$1:$I$89,3,0)*VLOOKUP('Données projet'!$B$10,Paramètres!$A$1:$I$89,5,0)</f>
        <v>93.600000000000009</v>
      </c>
      <c r="AK26" s="14">
        <f t="shared" si="35"/>
        <v>25.431466524572937</v>
      </c>
      <c r="AL26" s="22">
        <f t="shared" si="4"/>
        <v>207.31313753029789</v>
      </c>
      <c r="AM26" s="62">
        <f t="shared" si="5"/>
        <v>430.79833423984439</v>
      </c>
      <c r="AN26" s="62">
        <f ca="1">AVERAGE(OFFSET($AM$3,0,0,'Données projet'!$E$10+1,1))-AVERAGE(OFFSET($H$3,0,0,'Données projet'!$E$10+1,1))</f>
        <v>304.39782420428173</v>
      </c>
      <c r="AO26" s="62">
        <f t="shared" si="36"/>
        <v>360.34132229290537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</v>
      </c>
      <c r="BD26" s="13">
        <f>IF('Données projet'!$A$88&gt;35,BD25+BC26-BL25,IF(A26&lt;'Données projet'!$A$88,$BA$205^A26,IF(A26='Données projet'!$A$88,'Données projet'!$B$88,BD25+BC26-BL25)))</f>
        <v>120</v>
      </c>
      <c r="BE26" s="14">
        <f>BD26*VLOOKUP('Données projet'!$B$11,Paramètres!$A$1:$I$89,3,0)*VLOOKUP('Données projet'!$B$11,Paramètres!$A$1:$I$89,5,0)</f>
        <v>93.600000000000009</v>
      </c>
      <c r="BF26" s="14">
        <f t="shared" si="37"/>
        <v>25.431466524572937</v>
      </c>
      <c r="BG26" s="22">
        <f t="shared" si="7"/>
        <v>207.31313753029789</v>
      </c>
      <c r="BH26" s="62">
        <f t="shared" si="8"/>
        <v>430.79833423984439</v>
      </c>
      <c r="BI26" s="62">
        <f ca="1">AVERAGE(OFFSET($BH$3,0,0,'Données projet'!$E$11+1,1))-AVERAGE(OFFSET($H$3,0,0,'Données projet'!$E$11+1,1))</f>
        <v>304.39782420428173</v>
      </c>
      <c r="BJ26" s="62">
        <f t="shared" si="38"/>
        <v>360.34132229290537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</v>
      </c>
      <c r="BY26" s="13">
        <f>IF('Données projet'!$A$114&gt;35,BY25+BX26-CG25,IF(A26&lt;'Données projet'!$A$114,$BV$205^A26,IF(A26='Données projet'!$A$114,'Données projet'!$B$114,BY25+BX26-CG25)))</f>
        <v>120</v>
      </c>
      <c r="BZ26" s="14">
        <f>BY26*VLOOKUP('Données projet'!$B$12,Paramètres!$A$1:$I$89,3,0)*VLOOKUP('Données projet'!$B$12,Paramètres!$A$1:$I$89,5,0)</f>
        <v>93.600000000000009</v>
      </c>
      <c r="CA26" s="14">
        <f t="shared" si="39"/>
        <v>25.431466524572937</v>
      </c>
      <c r="CB26" s="22">
        <f t="shared" si="10"/>
        <v>207.31313753029789</v>
      </c>
      <c r="CC26" s="62">
        <f t="shared" si="11"/>
        <v>430.79833423984439</v>
      </c>
      <c r="CD26" s="62">
        <f ca="1">AVERAGE(OFFSET($CC$3,0,0,'Données projet'!$E$12+1,1))-AVERAGE(OFFSET($H$3,0,0,'Données projet'!$E$12+1,1))</f>
        <v>304.39782420428173</v>
      </c>
      <c r="CE26" s="62">
        <f t="shared" si="40"/>
        <v>360.34132229290537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8.16</v>
      </c>
      <c r="N27" s="14">
        <f>IF('Données projet'!$A$36&gt;35,N26+M27-V26,IF(A27&lt;'Données projet'!$A$36,$K$205^A27,IF(A27='Données projet'!$A$36,'Données projet'!$B$36,N26+M27-V26)))</f>
        <v>164.90922880839534</v>
      </c>
      <c r="O27" s="14">
        <f>N27*VLOOKUP('Données projet'!$B$9,Paramètres!$A$1:$I$89,3,0)*VLOOKUP('Données projet'!$B$9,Paramètres!$A$1:$I$89,5,0)</f>
        <v>77.177519082329013</v>
      </c>
      <c r="P27" s="14">
        <f t="shared" si="33"/>
        <v>21.445636867919784</v>
      </c>
      <c r="Q27" s="22">
        <f t="shared" si="2"/>
        <v>171.76866328001665</v>
      </c>
      <c r="R27" s="62">
        <f t="shared" si="0"/>
        <v>397.53937146363648</v>
      </c>
      <c r="S27" s="62">
        <f ca="1">AVERAGE(OFFSET($R$3,0,0,'Données projet'!$E$9+1,1))-AVERAGE(OFFSET($H$3,0,0,'Données projet'!$E$9+1,1))</f>
        <v>234.81928430389272</v>
      </c>
      <c r="T27" s="62">
        <f t="shared" si="34"/>
        <v>294.47057757403411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</v>
      </c>
      <c r="AI27" s="14">
        <f>IF('Données projet'!$A$62&gt;35,AI26+AH27-AQ26,IF(A27&lt;'Données projet'!$A$62,$AF$205^A27,IF(A27='Données projet'!$A$62,'Données projet'!$B$62,AI26+AH27-AQ26)))</f>
        <v>130</v>
      </c>
      <c r="AJ27" s="14">
        <f>AI27*VLOOKUP('Données projet'!$B$10,Paramètres!$A$1:$I$89,3,0)*VLOOKUP('Données projet'!$B$10,Paramètres!$A$1:$I$89,5,0)</f>
        <v>101.4</v>
      </c>
      <c r="AK27" s="14">
        <f t="shared" si="35"/>
        <v>27.295257887453797</v>
      </c>
      <c r="AL27" s="22">
        <f t="shared" si="4"/>
        <v>224.14424082064872</v>
      </c>
      <c r="AM27" s="62">
        <f t="shared" si="5"/>
        <v>449.91494900426852</v>
      </c>
      <c r="AN27" s="62">
        <f ca="1">AVERAGE(OFFSET($AM$3,0,0,'Données projet'!$E$10+1,1))-AVERAGE(OFFSET($H$3,0,0,'Données projet'!$E$10+1,1))</f>
        <v>304.39782420428173</v>
      </c>
      <c r="AO27" s="62">
        <f t="shared" si="36"/>
        <v>360.34132229290537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</v>
      </c>
      <c r="BD27" s="13">
        <f>IF('Données projet'!$A$88&gt;35,BD26+BC27-BL26,IF(A27&lt;'Données projet'!$A$88,$BA$205^A27,IF(A27='Données projet'!$A$88,'Données projet'!$B$88,BD26+BC27-BL26)))</f>
        <v>130</v>
      </c>
      <c r="BE27" s="14">
        <f>BD27*VLOOKUP('Données projet'!$B$11,Paramètres!$A$1:$I$89,3,0)*VLOOKUP('Données projet'!$B$11,Paramètres!$A$1:$I$89,5,0)</f>
        <v>101.4</v>
      </c>
      <c r="BF27" s="14">
        <f t="shared" si="37"/>
        <v>27.295257887453797</v>
      </c>
      <c r="BG27" s="22">
        <f t="shared" si="7"/>
        <v>224.14424082064872</v>
      </c>
      <c r="BH27" s="62">
        <f t="shared" si="8"/>
        <v>449.91494900426852</v>
      </c>
      <c r="BI27" s="62">
        <f ca="1">AVERAGE(OFFSET($BH$3,0,0,'Données projet'!$E$11+1,1))-AVERAGE(OFFSET($H$3,0,0,'Données projet'!$E$11+1,1))</f>
        <v>304.39782420428173</v>
      </c>
      <c r="BJ27" s="62">
        <f t="shared" si="38"/>
        <v>360.34132229290537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</v>
      </c>
      <c r="BY27" s="13">
        <f>IF('Données projet'!$A$114&gt;35,BY26+BX27-CG26,IF(A27&lt;'Données projet'!$A$114,$BV$205^A27,IF(A27='Données projet'!$A$114,'Données projet'!$B$114,BY26+BX27-CG26)))</f>
        <v>130</v>
      </c>
      <c r="BZ27" s="14">
        <f>BY27*VLOOKUP('Données projet'!$B$12,Paramètres!$A$1:$I$89,3,0)*VLOOKUP('Données projet'!$B$12,Paramètres!$A$1:$I$89,5,0)</f>
        <v>101.4</v>
      </c>
      <c r="CA27" s="14">
        <f t="shared" si="39"/>
        <v>27.295257887453797</v>
      </c>
      <c r="CB27" s="22">
        <f t="shared" si="10"/>
        <v>224.14424082064872</v>
      </c>
      <c r="CC27" s="62">
        <f t="shared" si="11"/>
        <v>449.91494900426852</v>
      </c>
      <c r="CD27" s="62">
        <f ca="1">AVERAGE(OFFSET($CC$3,0,0,'Données projet'!$E$12+1,1))-AVERAGE(OFFSET($H$3,0,0,'Données projet'!$E$12+1,1))</f>
        <v>304.39782420428173</v>
      </c>
      <c r="CE27" s="62">
        <f t="shared" si="40"/>
        <v>360.34132229290537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204</v>
      </c>
      <c r="L28" s="13">
        <f>VLOOKUP(A28,'Données projet'!$A$35:$I$55,9,0)</f>
        <v>8.16</v>
      </c>
      <c r="M28" s="13">
        <f t="array" ref="M28">INDEX(L:L,MIN(IF(ISNUMBER(L28:L224),ROW(L28:L224),"")))</f>
        <v>8.16</v>
      </c>
      <c r="N28" s="14">
        <f>IF('Données projet'!$A$36&gt;35,N27+M28-V27,IF(A28&lt;'Données projet'!$A$36,$K$205^A28,IF(A28='Données projet'!$A$36,'Données projet'!$B$36,N27+M28-V27)))</f>
        <v>204</v>
      </c>
      <c r="O28" s="14">
        <f>N28*VLOOKUP('Données projet'!$B$9,Paramètres!$A$1:$I$89,3,0)*VLOOKUP('Données projet'!$B$9,Paramètres!$A$1:$I$89,5,0)</f>
        <v>95.471999999999994</v>
      </c>
      <c r="P28" s="14">
        <f t="shared" si="33"/>
        <v>25.880372123231169</v>
      </c>
      <c r="Q28" s="22">
        <f t="shared" si="2"/>
        <v>211.35538144796092</v>
      </c>
      <c r="R28" s="62">
        <f t="shared" si="0"/>
        <v>439.39315541429301</v>
      </c>
      <c r="S28" s="62">
        <f ca="1">AVERAGE(OFFSET($R$3,0,0,'Données projet'!$E$9+1,1))-AVERAGE(OFFSET($H$3,0,0,'Données projet'!$E$9+1,1))</f>
        <v>234.81928430389272</v>
      </c>
      <c r="T28" s="62">
        <f t="shared" si="34"/>
        <v>294.47057757403411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20.399999999999999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0.22000000000000003</v>
      </c>
      <c r="Y28" s="17">
        <f>IF(ISNA(VLOOKUP(A28,'Données projet'!$A$35:$I$55,7,0)),0%,VLOOKUP(A28,'Données projet'!$A$35:$I$55,7,0))</f>
        <v>0.6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2.775324053053394</v>
      </c>
      <c r="AB28" s="23">
        <f>EXP(-LN(2)/2)*AB27+(1-EXP(-LN(2)/2))/(LN(2)/2)*V28*Y28*VLOOKUP('Données projet'!$B$9,Paramètres!$A$1:$I$89,3,0)*0.475*44/12</f>
        <v>6.4857889145668048</v>
      </c>
      <c r="AC28" s="24">
        <f t="shared" si="3"/>
        <v>9.2611129676201998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140</v>
      </c>
      <c r="AG28" s="13">
        <f>VLOOKUP(A28,'Données projet'!$A$61:$I$81,9,0)</f>
        <v>10</v>
      </c>
      <c r="AH28" s="13">
        <f t="array" ref="AH28">INDEX(AG:AG,MIN(IF(ISNUMBER(AG28:AG224),ROW(AG28:AG224),"")))</f>
        <v>10</v>
      </c>
      <c r="AI28" s="14">
        <f>IF('Données projet'!$A$62&gt;35,AI27+AH28-AQ27,IF(A28&lt;'Données projet'!$A$62,$AF$205^A28,IF(A28='Données projet'!$A$62,'Données projet'!$B$62,AI27+AH28-AQ27)))</f>
        <v>140</v>
      </c>
      <c r="AJ28" s="14">
        <f>AI28*VLOOKUP('Données projet'!$B$10,Paramètres!$A$1:$I$89,3,0)*VLOOKUP('Données projet'!$B$10,Paramètres!$A$1:$I$89,5,0)</f>
        <v>109.2</v>
      </c>
      <c r="AK28" s="14">
        <f t="shared" si="35"/>
        <v>29.142418334948612</v>
      </c>
      <c r="AL28" s="22">
        <f t="shared" si="4"/>
        <v>240.94637860003544</v>
      </c>
      <c r="AM28" s="62">
        <f t="shared" si="5"/>
        <v>468.98415256636758</v>
      </c>
      <c r="AN28" s="62">
        <f ca="1">AVERAGE(OFFSET($AM$3,0,0,'Données projet'!$E$10+1,1))-AVERAGE(OFFSET($H$3,0,0,'Données projet'!$E$10+1,1))</f>
        <v>304.39782420428173</v>
      </c>
      <c r="AO28" s="62">
        <f t="shared" si="36"/>
        <v>360.34132229290537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16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140</v>
      </c>
      <c r="BB28" s="13">
        <f>VLOOKUP(A28,'Données projet'!$A$87:$I$107,9,0)</f>
        <v>10</v>
      </c>
      <c r="BC28" s="13">
        <f t="array" ref="BC28">INDEX(BB:BB,MIN(IF(ISNUMBER(BB28:BB224),ROW(BB28:BB224),"")))</f>
        <v>10</v>
      </c>
      <c r="BD28" s="13">
        <f>IF('Données projet'!$A$88&gt;35,BD27+BC28-BL27,IF(A28&lt;'Données projet'!$A$88,$BA$205^A28,IF(A28='Données projet'!$A$88,'Données projet'!$B$88,BD27+BC28-BL27)))</f>
        <v>140</v>
      </c>
      <c r="BE28" s="14">
        <f>BD28*VLOOKUP('Données projet'!$B$11,Paramètres!$A$1:$I$89,3,0)*VLOOKUP('Données projet'!$B$11,Paramètres!$A$1:$I$89,5,0)</f>
        <v>109.2</v>
      </c>
      <c r="BF28" s="14">
        <f t="shared" si="37"/>
        <v>29.142418334948612</v>
      </c>
      <c r="BG28" s="22">
        <f t="shared" si="7"/>
        <v>240.94637860003544</v>
      </c>
      <c r="BH28" s="62">
        <f t="shared" si="8"/>
        <v>468.98415256636758</v>
      </c>
      <c r="BI28" s="62">
        <f ca="1">AVERAGE(OFFSET($BH$3,0,0,'Données projet'!$E$11+1,1))-AVERAGE(OFFSET($H$3,0,0,'Données projet'!$E$11+1,1))</f>
        <v>304.39782420428173</v>
      </c>
      <c r="BJ28" s="62">
        <f t="shared" si="38"/>
        <v>360.34132229290537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16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140</v>
      </c>
      <c r="BW28" s="13">
        <f>VLOOKUP(A28,'Données projet'!$A$113:$I$133,9,0)</f>
        <v>10</v>
      </c>
      <c r="BX28" s="13">
        <f t="array" ref="BX28">INDEX(BW:BW,MIN(IF(ISNUMBER(BW28:BW224),ROW(BW28:BW224),"")))</f>
        <v>10</v>
      </c>
      <c r="BY28" s="13">
        <f>IF('Données projet'!$A$114&gt;35,BY27+BX28-CG27,IF(A28&lt;'Données projet'!$A$114,$BV$205^A28,IF(A28='Données projet'!$A$114,'Données projet'!$B$114,BY27+BX28-CG27)))</f>
        <v>140</v>
      </c>
      <c r="BZ28" s="14">
        <f>BY28*VLOOKUP('Données projet'!$B$12,Paramètres!$A$1:$I$89,3,0)*VLOOKUP('Données projet'!$B$12,Paramètres!$A$1:$I$89,5,0)</f>
        <v>109.2</v>
      </c>
      <c r="CA28" s="14">
        <f t="shared" si="39"/>
        <v>29.142418334948612</v>
      </c>
      <c r="CB28" s="22">
        <f t="shared" si="10"/>
        <v>240.94637860003544</v>
      </c>
      <c r="CC28" s="62">
        <f t="shared" si="11"/>
        <v>468.98415256636758</v>
      </c>
      <c r="CD28" s="62">
        <f ca="1">AVERAGE(OFFSET($CC$3,0,0,'Données projet'!$E$12+1,1))-AVERAGE(OFFSET($H$3,0,0,'Données projet'!$E$12+1,1))</f>
        <v>304.39782420428173</v>
      </c>
      <c r="CE28" s="62">
        <f t="shared" si="40"/>
        <v>360.34132229290537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16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9.5000000000000036</v>
      </c>
      <c r="N29" s="14">
        <f>IF('Données projet'!$A$36&gt;35,N28+M29-V28,IF(A29&lt;'Données projet'!$A$36,$K$205^A29,IF(A29='Données projet'!$A$36,'Données projet'!$B$36,N28+M29-V28)))</f>
        <v>193.1</v>
      </c>
      <c r="O29" s="14">
        <f>N29*VLOOKUP('Données projet'!$B$9,Paramètres!$A$1:$I$89,3,0)*VLOOKUP('Données projet'!$B$9,Paramètres!$A$1:$I$89,5,0)</f>
        <v>90.370799999999988</v>
      </c>
      <c r="P29" s="14">
        <f t="shared" si="33"/>
        <v>24.654631614458758</v>
      </c>
      <c r="Q29" s="22">
        <f t="shared" si="2"/>
        <v>200.33596006184897</v>
      </c>
      <c r="R29" s="62">
        <f t="shared" si="0"/>
        <v>430.62267411103915</v>
      </c>
      <c r="S29" s="62">
        <f ca="1">AVERAGE(OFFSET($R$3,0,0,'Données projet'!$E$9+1,1))-AVERAGE(OFFSET($H$3,0,0,'Données projet'!$E$9+1,1))</f>
        <v>234.81928430389272</v>
      </c>
      <c r="T29" s="62">
        <f t="shared" si="34"/>
        <v>294.47057757403411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2.6994326708747001</v>
      </c>
      <c r="AB29" s="23">
        <f>EXP(-LN(2)/2)*AB28+(1-EXP(-LN(2)/2))/(LN(2)/2)*V29*Y29*VLOOKUP('Données projet'!$B$9,Paramètres!$A$1:$I$89,3,0)*0.475*44/12</f>
        <v>4.5861453228347253</v>
      </c>
      <c r="AC29" s="24">
        <f t="shared" si="3"/>
        <v>7.2855779937094258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10.8</v>
      </c>
      <c r="AI29" s="14">
        <f>IF('Données projet'!$A$62&gt;35,AI28+AH29-AQ28,IF(A29&lt;'Données projet'!$A$62,$AF$205^A29,IF(A29='Données projet'!$A$62,'Données projet'!$B$62,AI28+AH29-AQ28)))</f>
        <v>134.80000000000001</v>
      </c>
      <c r="AJ29" s="14">
        <f>AI29*VLOOKUP('Données projet'!$B$10,Paramètres!$A$1:$I$89,3,0)*VLOOKUP('Données projet'!$B$10,Paramètres!$A$1:$I$89,5,0)</f>
        <v>105.14400000000001</v>
      </c>
      <c r="AK29" s="14">
        <f t="shared" si="35"/>
        <v>28.183884120602002</v>
      </c>
      <c r="AL29" s="22">
        <f t="shared" si="4"/>
        <v>232.21273151004846</v>
      </c>
      <c r="AM29" s="62">
        <f t="shared" si="5"/>
        <v>462.49944555923867</v>
      </c>
      <c r="AN29" s="62">
        <f ca="1">AVERAGE(OFFSET($AM$3,0,0,'Données projet'!$E$10+1,1))-AVERAGE(OFFSET($H$3,0,0,'Données projet'!$E$10+1,1))</f>
        <v>304.39782420428173</v>
      </c>
      <c r="AO29" s="62">
        <f t="shared" si="36"/>
        <v>360.34132229290537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10.8</v>
      </c>
      <c r="BD29" s="13">
        <f>IF('Données projet'!$A$88&gt;35,BD28+BC29-BL28,IF(A29&lt;'Données projet'!$A$88,$BA$205^A29,IF(A29='Données projet'!$A$88,'Données projet'!$B$88,BD28+BC29-BL28)))</f>
        <v>134.80000000000001</v>
      </c>
      <c r="BE29" s="14">
        <f>BD29*VLOOKUP('Données projet'!$B$11,Paramètres!$A$1:$I$89,3,0)*VLOOKUP('Données projet'!$B$11,Paramètres!$A$1:$I$89,5,0)</f>
        <v>105.14400000000001</v>
      </c>
      <c r="BF29" s="14">
        <f t="shared" si="37"/>
        <v>28.183884120602002</v>
      </c>
      <c r="BG29" s="22">
        <f t="shared" si="7"/>
        <v>232.21273151004846</v>
      </c>
      <c r="BH29" s="62">
        <f t="shared" si="8"/>
        <v>462.49944555923867</v>
      </c>
      <c r="BI29" s="62">
        <f ca="1">AVERAGE(OFFSET($BH$3,0,0,'Données projet'!$E$11+1,1))-AVERAGE(OFFSET($H$3,0,0,'Données projet'!$E$11+1,1))</f>
        <v>304.39782420428173</v>
      </c>
      <c r="BJ29" s="62">
        <f t="shared" si="38"/>
        <v>360.34132229290537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10.8</v>
      </c>
      <c r="BY29" s="13">
        <f>IF('Données projet'!$A$114&gt;35,BY28+BX29-CG28,IF(A29&lt;'Données projet'!$A$114,$BV$205^A29,IF(A29='Données projet'!$A$114,'Données projet'!$B$114,BY28+BX29-CG28)))</f>
        <v>134.80000000000001</v>
      </c>
      <c r="BZ29" s="14">
        <f>BY29*VLOOKUP('Données projet'!$B$12,Paramètres!$A$1:$I$89,3,0)*VLOOKUP('Données projet'!$B$12,Paramètres!$A$1:$I$89,5,0)</f>
        <v>105.14400000000001</v>
      </c>
      <c r="CA29" s="14">
        <f t="shared" si="39"/>
        <v>28.183884120602002</v>
      </c>
      <c r="CB29" s="22">
        <f t="shared" si="10"/>
        <v>232.21273151004846</v>
      </c>
      <c r="CC29" s="62">
        <f t="shared" si="11"/>
        <v>462.49944555923867</v>
      </c>
      <c r="CD29" s="62">
        <f ca="1">AVERAGE(OFFSET($CC$3,0,0,'Données projet'!$E$12+1,1))-AVERAGE(OFFSET($H$3,0,0,'Données projet'!$E$12+1,1))</f>
        <v>304.39782420428173</v>
      </c>
      <c r="CE29" s="62">
        <f t="shared" si="40"/>
        <v>360.34132229290537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9.5000000000000036</v>
      </c>
      <c r="N30" s="14">
        <f>IF('Données projet'!$A$36&gt;35,N29+M30-V29,IF(A30&lt;'Données projet'!$A$36,$K$205^A30,IF(A30='Données projet'!$A$36,'Données projet'!$B$36,N29+M30-V29)))</f>
        <v>202.6</v>
      </c>
      <c r="O30" s="14">
        <f>N30*VLOOKUP('Données projet'!$B$9,Paramètres!$A$1:$I$89,3,0)*VLOOKUP('Données projet'!$B$9,Paramètres!$A$1:$I$89,5,0)</f>
        <v>94.816800000000001</v>
      </c>
      <c r="P30" s="14">
        <f t="shared" si="33"/>
        <v>25.723372733540568</v>
      </c>
      <c r="Q30" s="22">
        <f t="shared" si="2"/>
        <v>209.94080084424982</v>
      </c>
      <c r="R30" s="62">
        <f t="shared" si="0"/>
        <v>442.4586437168133</v>
      </c>
      <c r="S30" s="62">
        <f ca="1">AVERAGE(OFFSET($R$3,0,0,'Données projet'!$E$9+1,1))-AVERAGE(OFFSET($H$3,0,0,'Données projet'!$E$9+1,1))</f>
        <v>234.81928430389272</v>
      </c>
      <c r="T30" s="62">
        <f t="shared" si="34"/>
        <v>294.47057757403411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2.625616542532637</v>
      </c>
      <c r="AB30" s="23">
        <f>EXP(-LN(2)/2)*AB29+(1-EXP(-LN(2)/2))/(LN(2)/2)*V30*Y30*VLOOKUP('Données projet'!$B$9,Paramètres!$A$1:$I$89,3,0)*0.475*44/12</f>
        <v>3.2428944572834029</v>
      </c>
      <c r="AC30" s="24">
        <f t="shared" si="3"/>
        <v>5.8685109998160403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10.8</v>
      </c>
      <c r="AI30" s="14">
        <f>IF('Données projet'!$A$62&gt;35,AI29+AH30-AQ29,IF(A30&lt;'Données projet'!$A$62,$AF$205^A30,IF(A30='Données projet'!$A$62,'Données projet'!$B$62,AI29+AH30-AQ29)))</f>
        <v>145.60000000000002</v>
      </c>
      <c r="AJ30" s="14">
        <f>AI30*VLOOKUP('Données projet'!$B$10,Paramètres!$A$1:$I$89,3,0)*VLOOKUP('Données projet'!$B$10,Paramètres!$A$1:$I$89,5,0)</f>
        <v>113.56800000000003</v>
      </c>
      <c r="AK30" s="14">
        <f t="shared" si="35"/>
        <v>30.17006506205821</v>
      </c>
      <c r="AL30" s="22">
        <f t="shared" si="4"/>
        <v>250.34379664975143</v>
      </c>
      <c r="AM30" s="62">
        <f t="shared" si="5"/>
        <v>482.86163952231493</v>
      </c>
      <c r="AN30" s="62">
        <f ca="1">AVERAGE(OFFSET($AM$3,0,0,'Données projet'!$E$10+1,1))-AVERAGE(OFFSET($H$3,0,0,'Données projet'!$E$10+1,1))</f>
        <v>304.39782420428173</v>
      </c>
      <c r="AO30" s="62">
        <f t="shared" si="36"/>
        <v>360.34132229290537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10.8</v>
      </c>
      <c r="BD30" s="13">
        <f>IF('Données projet'!$A$88&gt;35,BD29+BC30-BL29,IF(A30&lt;'Données projet'!$A$88,$BA$205^A30,IF(A30='Données projet'!$A$88,'Données projet'!$B$88,BD29+BC30-BL29)))</f>
        <v>145.60000000000002</v>
      </c>
      <c r="BE30" s="14">
        <f>BD30*VLOOKUP('Données projet'!$B$11,Paramètres!$A$1:$I$89,3,0)*VLOOKUP('Données projet'!$B$11,Paramètres!$A$1:$I$89,5,0)</f>
        <v>113.56800000000003</v>
      </c>
      <c r="BF30" s="14">
        <f t="shared" si="37"/>
        <v>30.17006506205821</v>
      </c>
      <c r="BG30" s="22">
        <f t="shared" si="7"/>
        <v>250.34379664975143</v>
      </c>
      <c r="BH30" s="62">
        <f t="shared" si="8"/>
        <v>482.86163952231493</v>
      </c>
      <c r="BI30" s="62">
        <f ca="1">AVERAGE(OFFSET($BH$3,0,0,'Données projet'!$E$11+1,1))-AVERAGE(OFFSET($H$3,0,0,'Données projet'!$E$11+1,1))</f>
        <v>304.39782420428173</v>
      </c>
      <c r="BJ30" s="62">
        <f t="shared" si="38"/>
        <v>360.34132229290537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10.8</v>
      </c>
      <c r="BY30" s="13">
        <f>IF('Données projet'!$A$114&gt;35,BY29+BX30-CG29,IF(A30&lt;'Données projet'!$A$114,$BV$205^A30,IF(A30='Données projet'!$A$114,'Données projet'!$B$114,BY29+BX30-CG29)))</f>
        <v>145.60000000000002</v>
      </c>
      <c r="BZ30" s="14">
        <f>BY30*VLOOKUP('Données projet'!$B$12,Paramètres!$A$1:$I$89,3,0)*VLOOKUP('Données projet'!$B$12,Paramètres!$A$1:$I$89,5,0)</f>
        <v>113.56800000000003</v>
      </c>
      <c r="CA30" s="14">
        <f t="shared" si="39"/>
        <v>30.17006506205821</v>
      </c>
      <c r="CB30" s="22">
        <f t="shared" si="10"/>
        <v>250.34379664975143</v>
      </c>
      <c r="CC30" s="62">
        <f t="shared" si="11"/>
        <v>482.86163952231493</v>
      </c>
      <c r="CD30" s="62">
        <f ca="1">AVERAGE(OFFSET($CC$3,0,0,'Données projet'!$E$12+1,1))-AVERAGE(OFFSET($H$3,0,0,'Données projet'!$E$12+1,1))</f>
        <v>304.39782420428173</v>
      </c>
      <c r="CE30" s="62">
        <f t="shared" si="40"/>
        <v>360.34132229290537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9.5000000000000036</v>
      </c>
      <c r="N31" s="14">
        <f>IF('Données projet'!$A$36&gt;35,N30+M31-V30,IF(A31&lt;'Données projet'!$A$36,$K$205^A31,IF(A31='Données projet'!$A$36,'Données projet'!$B$36,N30+M31-V30)))</f>
        <v>212.1</v>
      </c>
      <c r="O31" s="14">
        <f>N31*VLOOKUP('Données projet'!$B$9,Paramètres!$A$1:$I$89,3,0)*VLOOKUP('Données projet'!$B$9,Paramètres!$A$1:$I$89,5,0)</f>
        <v>99.262799999999999</v>
      </c>
      <c r="P31" s="14">
        <f t="shared" si="33"/>
        <v>26.786294253409366</v>
      </c>
      <c r="Q31" s="22">
        <f t="shared" si="2"/>
        <v>219.53550582468799</v>
      </c>
      <c r="R31" s="62">
        <f t="shared" si="0"/>
        <v>454.26697524667208</v>
      </c>
      <c r="S31" s="62">
        <f ca="1">AVERAGE(OFFSET($R$3,0,0,'Données projet'!$E$9+1,1))-AVERAGE(OFFSET($H$3,0,0,'Données projet'!$E$9+1,1))</f>
        <v>234.81928430389272</v>
      </c>
      <c r="T31" s="62">
        <f t="shared" si="34"/>
        <v>294.47057757403411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2.553818920101909</v>
      </c>
      <c r="AB31" s="23">
        <f>EXP(-LN(2)/2)*AB30+(1-EXP(-LN(2)/2))/(LN(2)/2)*V31*Y31*VLOOKUP('Données projet'!$B$9,Paramètres!$A$1:$I$89,3,0)*0.475*44/12</f>
        <v>2.2930726614173631</v>
      </c>
      <c r="AC31" s="24">
        <f t="shared" si="3"/>
        <v>4.8468915815192721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10.8</v>
      </c>
      <c r="AI31" s="14">
        <f>IF('Données projet'!$A$62&gt;35,AI30+AH31-AQ30,IF(A31&lt;'Données projet'!$A$62,$AF$205^A31,IF(A31='Données projet'!$A$62,'Données projet'!$B$62,AI30+AH31-AQ30)))</f>
        <v>156.40000000000003</v>
      </c>
      <c r="AJ31" s="14">
        <f>AI31*VLOOKUP('Données projet'!$B$10,Paramètres!$A$1:$I$89,3,0)*VLOOKUP('Données projet'!$B$10,Paramètres!$A$1:$I$89,5,0)</f>
        <v>121.99200000000003</v>
      </c>
      <c r="AK31" s="14">
        <f t="shared" si="35"/>
        <v>32.139154469866327</v>
      </c>
      <c r="AL31" s="22">
        <f t="shared" si="4"/>
        <v>268.44509403501723</v>
      </c>
      <c r="AM31" s="62">
        <f t="shared" si="5"/>
        <v>503.17656345700129</v>
      </c>
      <c r="AN31" s="62">
        <f ca="1">AVERAGE(OFFSET($AM$3,0,0,'Données projet'!$E$10+1,1))-AVERAGE(OFFSET($H$3,0,0,'Données projet'!$E$10+1,1))</f>
        <v>304.39782420428173</v>
      </c>
      <c r="AO31" s="62">
        <f t="shared" si="36"/>
        <v>360.34132229290537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10.8</v>
      </c>
      <c r="BD31" s="13">
        <f>IF('Données projet'!$A$88&gt;35,BD30+BC31-BL30,IF(A31&lt;'Données projet'!$A$88,$BA$205^A31,IF(A31='Données projet'!$A$88,'Données projet'!$B$88,BD30+BC31-BL30)))</f>
        <v>156.40000000000003</v>
      </c>
      <c r="BE31" s="14">
        <f>BD31*VLOOKUP('Données projet'!$B$11,Paramètres!$A$1:$I$89,3,0)*VLOOKUP('Données projet'!$B$11,Paramètres!$A$1:$I$89,5,0)</f>
        <v>121.99200000000003</v>
      </c>
      <c r="BF31" s="14">
        <f t="shared" si="37"/>
        <v>32.139154469866327</v>
      </c>
      <c r="BG31" s="22">
        <f t="shared" si="7"/>
        <v>268.44509403501723</v>
      </c>
      <c r="BH31" s="62">
        <f t="shared" si="8"/>
        <v>503.17656345700129</v>
      </c>
      <c r="BI31" s="62">
        <f ca="1">AVERAGE(OFFSET($BH$3,0,0,'Données projet'!$E$11+1,1))-AVERAGE(OFFSET($H$3,0,0,'Données projet'!$E$11+1,1))</f>
        <v>304.39782420428173</v>
      </c>
      <c r="BJ31" s="62">
        <f t="shared" si="38"/>
        <v>360.34132229290537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10.8</v>
      </c>
      <c r="BY31" s="13">
        <f>IF('Données projet'!$A$114&gt;35,BY30+BX31-CG30,IF(A31&lt;'Données projet'!$A$114,$BV$205^A31,IF(A31='Données projet'!$A$114,'Données projet'!$B$114,BY30+BX31-CG30)))</f>
        <v>156.40000000000003</v>
      </c>
      <c r="BZ31" s="14">
        <f>BY31*VLOOKUP('Données projet'!$B$12,Paramètres!$A$1:$I$89,3,0)*VLOOKUP('Données projet'!$B$12,Paramètres!$A$1:$I$89,5,0)</f>
        <v>121.99200000000003</v>
      </c>
      <c r="CA31" s="14">
        <f t="shared" si="39"/>
        <v>32.139154469866327</v>
      </c>
      <c r="CB31" s="22">
        <f t="shared" si="10"/>
        <v>268.44509403501723</v>
      </c>
      <c r="CC31" s="62">
        <f t="shared" si="11"/>
        <v>503.17656345700129</v>
      </c>
      <c r="CD31" s="62">
        <f ca="1">AVERAGE(OFFSET($CC$3,0,0,'Données projet'!$E$12+1,1))-AVERAGE(OFFSET($H$3,0,0,'Données projet'!$E$12+1,1))</f>
        <v>304.39782420428173</v>
      </c>
      <c r="CE31" s="62">
        <f t="shared" si="40"/>
        <v>360.34132229290537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9.5000000000000036</v>
      </c>
      <c r="N32" s="14">
        <f>IF('Données projet'!$A$36&gt;35,N31+M32-V31,IF(A32&lt;'Données projet'!$A$36,$K$205^A32,IF(A32='Données projet'!$A$36,'Données projet'!$B$36,N31+M32-V31)))</f>
        <v>221.6</v>
      </c>
      <c r="O32" s="14">
        <f>N32*VLOOKUP('Données projet'!$B$9,Paramètres!$A$1:$I$89,3,0)*VLOOKUP('Données projet'!$B$9,Paramètres!$A$1:$I$89,5,0)</f>
        <v>103.7088</v>
      </c>
      <c r="P32" s="14">
        <f t="shared" si="33"/>
        <v>27.84368661708951</v>
      </c>
      <c r="Q32" s="22">
        <f t="shared" si="2"/>
        <v>229.12058085809755</v>
      </c>
      <c r="R32" s="62">
        <f t="shared" si="0"/>
        <v>466.04847818087342</v>
      </c>
      <c r="S32" s="62">
        <f ca="1">AVERAGE(OFFSET($R$3,0,0,'Données projet'!$E$9+1,1))-AVERAGE(OFFSET($H$3,0,0,'Données projet'!$E$9+1,1))</f>
        <v>234.81928430389272</v>
      </c>
      <c r="T32" s="62">
        <f t="shared" si="34"/>
        <v>294.47057757403411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2.4839846074322223</v>
      </c>
      <c r="AB32" s="23">
        <f>EXP(-LN(2)/2)*AB31+(1-EXP(-LN(2)/2))/(LN(2)/2)*V32*Y32*VLOOKUP('Données projet'!$B$9,Paramètres!$A$1:$I$89,3,0)*0.475*44/12</f>
        <v>1.6214472286417017</v>
      </c>
      <c r="AC32" s="24">
        <f t="shared" si="3"/>
        <v>4.1054318360739241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10.8</v>
      </c>
      <c r="AI32" s="14">
        <f>IF('Données projet'!$A$62&gt;35,AI31+AH32-AQ31,IF(A32&lt;'Données projet'!$A$62,$AF$205^A32,IF(A32='Données projet'!$A$62,'Données projet'!$B$62,AI31+AH32-AQ31)))</f>
        <v>167.20000000000005</v>
      </c>
      <c r="AJ32" s="14">
        <f>AI32*VLOOKUP('Données projet'!$B$10,Paramètres!$A$1:$I$89,3,0)*VLOOKUP('Données projet'!$B$10,Paramètres!$A$1:$I$89,5,0)</f>
        <v>130.41600000000005</v>
      </c>
      <c r="AK32" s="14">
        <f t="shared" si="35"/>
        <v>34.092466837179941</v>
      </c>
      <c r="AL32" s="22">
        <f t="shared" si="4"/>
        <v>286.51891307475512</v>
      </c>
      <c r="AM32" s="62">
        <f t="shared" si="5"/>
        <v>523.44681039753095</v>
      </c>
      <c r="AN32" s="62">
        <f ca="1">AVERAGE(OFFSET($AM$3,0,0,'Données projet'!$E$10+1,1))-AVERAGE(OFFSET($H$3,0,0,'Données projet'!$E$10+1,1))</f>
        <v>304.39782420428173</v>
      </c>
      <c r="AO32" s="62">
        <f t="shared" si="36"/>
        <v>360.34132229290537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10.8</v>
      </c>
      <c r="BD32" s="13">
        <f>IF('Données projet'!$A$88&gt;35,BD31+BC32-BL31,IF(A32&lt;'Données projet'!$A$88,$BA$205^A32,IF(A32='Données projet'!$A$88,'Données projet'!$B$88,BD31+BC32-BL31)))</f>
        <v>167.20000000000005</v>
      </c>
      <c r="BE32" s="14">
        <f>BD32*VLOOKUP('Données projet'!$B$11,Paramètres!$A$1:$I$89,3,0)*VLOOKUP('Données projet'!$B$11,Paramètres!$A$1:$I$89,5,0)</f>
        <v>130.41600000000005</v>
      </c>
      <c r="BF32" s="14">
        <f t="shared" si="37"/>
        <v>34.092466837179941</v>
      </c>
      <c r="BG32" s="22">
        <f t="shared" si="7"/>
        <v>286.51891307475512</v>
      </c>
      <c r="BH32" s="62">
        <f t="shared" si="8"/>
        <v>523.44681039753095</v>
      </c>
      <c r="BI32" s="62">
        <f ca="1">AVERAGE(OFFSET($BH$3,0,0,'Données projet'!$E$11+1,1))-AVERAGE(OFFSET($H$3,0,0,'Données projet'!$E$11+1,1))</f>
        <v>304.39782420428173</v>
      </c>
      <c r="BJ32" s="62">
        <f t="shared" si="38"/>
        <v>360.34132229290537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10.8</v>
      </c>
      <c r="BY32" s="13">
        <f>IF('Données projet'!$A$114&gt;35,BY31+BX32-CG31,IF(A32&lt;'Données projet'!$A$114,$BV$205^A32,IF(A32='Données projet'!$A$114,'Données projet'!$B$114,BY31+BX32-CG31)))</f>
        <v>167.20000000000005</v>
      </c>
      <c r="BZ32" s="14">
        <f>BY32*VLOOKUP('Données projet'!$B$12,Paramètres!$A$1:$I$89,3,0)*VLOOKUP('Données projet'!$B$12,Paramètres!$A$1:$I$89,5,0)</f>
        <v>130.41600000000005</v>
      </c>
      <c r="CA32" s="14">
        <f t="shared" si="39"/>
        <v>34.092466837179941</v>
      </c>
      <c r="CB32" s="22">
        <f t="shared" si="10"/>
        <v>286.51891307475512</v>
      </c>
      <c r="CC32" s="62">
        <f t="shared" si="11"/>
        <v>523.44681039753095</v>
      </c>
      <c r="CD32" s="62">
        <f ca="1">AVERAGE(OFFSET($CC$3,0,0,'Données projet'!$E$12+1,1))-AVERAGE(OFFSET($H$3,0,0,'Données projet'!$E$12+1,1))</f>
        <v>304.39782420428173</v>
      </c>
      <c r="CE32" s="62">
        <f t="shared" si="40"/>
        <v>360.34132229290537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9.5000000000000036</v>
      </c>
      <c r="N33" s="14">
        <f>IF('Données projet'!$A$36&gt;35,N32+M33-V32,IF(A33&lt;'Données projet'!$A$36,$K$205^A33,IF(A33='Données projet'!$A$36,'Données projet'!$B$36,N32+M33-V32)))</f>
        <v>231.1</v>
      </c>
      <c r="O33" s="14">
        <f>N33*VLOOKUP('Données projet'!$B$9,Paramètres!$A$1:$I$89,3,0)*VLOOKUP('Données projet'!$B$9,Paramètres!$A$1:$I$89,5,0)</f>
        <v>108.15479999999999</v>
      </c>
      <c r="P33" s="14">
        <f t="shared" si="33"/>
        <v>28.895813956550473</v>
      </c>
      <c r="Q33" s="22">
        <f t="shared" si="2"/>
        <v>238.69648597432544</v>
      </c>
      <c r="R33" s="62">
        <f t="shared" si="0"/>
        <v>477.80391090736742</v>
      </c>
      <c r="S33" s="62">
        <f ca="1">AVERAGE(OFFSET($R$3,0,0,'Données projet'!$E$9+1,1))-AVERAGE(OFFSET($H$3,0,0,'Données projet'!$E$9+1,1))</f>
        <v>234.81928430389272</v>
      </c>
      <c r="T33" s="62">
        <f t="shared" si="34"/>
        <v>294.47057757403411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2.4160599177149149</v>
      </c>
      <c r="AB33" s="23">
        <f>EXP(-LN(2)/2)*AB32+(1-EXP(-LN(2)/2))/(LN(2)/2)*V33*Y33*VLOOKUP('Données projet'!$B$9,Paramètres!$A$1:$I$89,3,0)*0.475*44/12</f>
        <v>1.1465363307086818</v>
      </c>
      <c r="AC33" s="24">
        <f t="shared" si="3"/>
        <v>3.5625962484235965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178</v>
      </c>
      <c r="AG33" s="13">
        <f>VLOOKUP(A33,'Données projet'!$A$61:$I$81,9,0)</f>
        <v>10.8</v>
      </c>
      <c r="AH33" s="13">
        <f t="array" ref="AH33">INDEX(AG:AG,MIN(IF(ISNUMBER(AG33:AG229),ROW(AG33:AG229),"")))</f>
        <v>10.8</v>
      </c>
      <c r="AI33" s="14">
        <f>IF('Données projet'!$A$62&gt;35,AI32+AH33-AQ32,IF(A33&lt;'Données projet'!$A$62,$AF$205^A33,IF(A33='Données projet'!$A$62,'Données projet'!$B$62,AI32+AH33-AQ32)))</f>
        <v>178.00000000000006</v>
      </c>
      <c r="AJ33" s="14">
        <f>AI33*VLOOKUP('Données projet'!$B$10,Paramètres!$A$1:$I$89,3,0)*VLOOKUP('Données projet'!$B$10,Paramètres!$A$1:$I$89,5,0)</f>
        <v>138.84000000000006</v>
      </c>
      <c r="AK33" s="14">
        <f t="shared" si="35"/>
        <v>36.031137240112955</v>
      </c>
      <c r="AL33" s="22">
        <f t="shared" si="4"/>
        <v>304.56723069319679</v>
      </c>
      <c r="AM33" s="62">
        <f t="shared" si="5"/>
        <v>543.67465562623875</v>
      </c>
      <c r="AN33" s="62">
        <f ca="1">AVERAGE(OFFSET($AM$3,0,0,'Données projet'!$E$10+1,1))-AVERAGE(OFFSET($H$3,0,0,'Données projet'!$E$10+1,1))</f>
        <v>304.39782420428173</v>
      </c>
      <c r="AO33" s="62">
        <f t="shared" si="36"/>
        <v>360.34132229290537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23</v>
      </c>
      <c r="AR33" s="17">
        <f>IF(ISNA(VLOOKUP(A33,'Données projet'!$A$61:$I$81,5,0)),0%,VLOOKUP(A33,'Données projet'!$A$61:$I$81,5,0)*VLOOKUP('Données projet'!$B$10,Paramètres!$A$1:$I$89,7,0))</f>
        <v>0.215</v>
      </c>
      <c r="AS33" s="17">
        <f>IF(ISNA(VLOOKUP(A33,'Données projet'!$A$61:$I$81,6,0)),0%,VLOOKUP(A33,'Données projet'!$A$61:$I$81,6,0)*VLOOKUP('Données projet'!$B$10,Paramètres!$A$1:$I$89,7,0))</f>
        <v>4.3000000000000003E-2</v>
      </c>
      <c r="AT33" s="17">
        <f>IF(ISNA(VLOOKUP(A33,'Données projet'!$A$61:$I$81,7,0)),0%,VLOOKUP(A33,'Données projet'!$A$61:$I$81,7,0))</f>
        <v>0.15</v>
      </c>
      <c r="AU33" s="23">
        <f>EXP(-LN(2)/35)*AU32+(1-EXP(-LN(2)/35))/(LN(2)/35)*AQ33*AR33*VLOOKUP('Données projet'!$B$10,Paramètres!$A$1:$I$89,3,0)*0.475*44/12</f>
        <v>4.2639098008965428</v>
      </c>
      <c r="AV33" s="23">
        <f>EXP(-LN(2)/25)*AV32+(1-EXP(-LN(2)/25))/(LN(2)/25)*Calculateur!AQ33*Calculateur!AS33*VLOOKUP('Données projet'!$B$10,Paramètres!$A$1:$I$89,3,0)*0.475*44/12</f>
        <v>0.84942423266668132</v>
      </c>
      <c r="AW33" s="23">
        <f>EXP(-LN(2)/2)*AW32+(1-EXP(-LN(2)/2))/(LN(2)/2)*AQ33*AT33*VLOOKUP('Données projet'!$B$10,Paramètres!$A$1:$I$89,3,0)*0.475*44/12</f>
        <v>2.5390309272031</v>
      </c>
      <c r="AX33" s="23">
        <f t="shared" si="6"/>
        <v>7.6523649607663238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178</v>
      </c>
      <c r="BB33" s="13">
        <f>VLOOKUP(A33,'Données projet'!$A$87:$I$107,9,0)</f>
        <v>10.8</v>
      </c>
      <c r="BC33" s="13">
        <f t="array" ref="BC33">INDEX(BB:BB,MIN(IF(ISNUMBER(BB33:BB229),ROW(BB33:BB229),"")))</f>
        <v>10.8</v>
      </c>
      <c r="BD33" s="13">
        <f>IF('Données projet'!$A$88&gt;35,BD32+BC33-BL32,IF(A33&lt;'Données projet'!$A$88,$BA$205^A33,IF(A33='Données projet'!$A$88,'Données projet'!$B$88,BD32+BC33-BL32)))</f>
        <v>178.00000000000006</v>
      </c>
      <c r="BE33" s="14">
        <f>BD33*VLOOKUP('Données projet'!$B$11,Paramètres!$A$1:$I$89,3,0)*VLOOKUP('Données projet'!$B$11,Paramètres!$A$1:$I$89,5,0)</f>
        <v>138.84000000000006</v>
      </c>
      <c r="BF33" s="14">
        <f t="shared" si="37"/>
        <v>36.031137240112955</v>
      </c>
      <c r="BG33" s="22">
        <f t="shared" si="7"/>
        <v>304.56723069319679</v>
      </c>
      <c r="BH33" s="62">
        <f t="shared" si="8"/>
        <v>543.67465562623875</v>
      </c>
      <c r="BI33" s="62">
        <f ca="1">AVERAGE(OFFSET($BH$3,0,0,'Données projet'!$E$11+1,1))-AVERAGE(OFFSET($H$3,0,0,'Données projet'!$E$11+1,1))</f>
        <v>304.39782420428173</v>
      </c>
      <c r="BJ33" s="62">
        <f t="shared" si="38"/>
        <v>360.34132229290537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23</v>
      </c>
      <c r="BM33" s="17">
        <f>IF(ISNA(VLOOKUP(A33,'Données projet'!$A$87:$I$107,5,0)),0%,VLOOKUP(A33,'Données projet'!$A$87:$I$107,5,0)*VLOOKUP('Données projet'!$B$11,Paramètres!$A$1:$I$89,7,0))</f>
        <v>0.215</v>
      </c>
      <c r="BN33" s="17">
        <f>IF(ISNA(VLOOKUP(A33,'Données projet'!$A$87:$I$107,6,0)),0%,VLOOKUP(A33,'Données projet'!$A$87:$I$107,6,0)*VLOOKUP('Données projet'!$B$11,Paramètres!$A$1:$I$89,7,0))</f>
        <v>4.3000000000000003E-2</v>
      </c>
      <c r="BO33" s="17">
        <f>IF(ISNA(VLOOKUP(A33,'Données projet'!$A$87:$I$107,7,0)),0%,VLOOKUP(A33,'Données projet'!$A$87:$I$107,7,0))</f>
        <v>0.15</v>
      </c>
      <c r="BP33" s="23">
        <f>EXP(-LN(2)/35)*BP32+(1-EXP(-LN(2)/35))/(LN(2)/35)*BL33*BM33*VLOOKUP('Données projet'!$B$11,Paramètres!$A$1:$I$89,3,0)*0.475*44/12</f>
        <v>4.2639098008965428</v>
      </c>
      <c r="BQ33" s="23">
        <f>EXP(-LN(2)/25)*BQ32+(1-EXP(-LN(2)/25))/(LN(2)/25)*Calculateur!BL33*Calculateur!BN33*VLOOKUP('Données projet'!$B$11,Paramètres!$A$1:$I$89,3,0)*0.475*44/12</f>
        <v>0.84942423266668132</v>
      </c>
      <c r="BR33" s="23">
        <f>EXP(-LN(2)/2)*BR32+(1-EXP(-LN(2)/2))/(LN(2)/2)*BL33*BO33*VLOOKUP('Données projet'!$B$11,Paramètres!$A$1:$I$89,3,0)*0.475*44/12</f>
        <v>2.5390309272031</v>
      </c>
      <c r="BS33" s="24">
        <f t="shared" si="9"/>
        <v>7.6523649607663238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178</v>
      </c>
      <c r="BW33" s="13">
        <f>VLOOKUP(A33,'Données projet'!$A$113:$I$133,9,0)</f>
        <v>10.8</v>
      </c>
      <c r="BX33" s="13">
        <f t="array" ref="BX33">INDEX(BW:BW,MIN(IF(ISNUMBER(BW33:BW229),ROW(BW33:BW229),"")))</f>
        <v>10.8</v>
      </c>
      <c r="BY33" s="13">
        <f>IF('Données projet'!$A$114&gt;35,BY32+BX33-CG32,IF(A33&lt;'Données projet'!$A$114,$BV$205^A33,IF(A33='Données projet'!$A$114,'Données projet'!$B$114,BY32+BX33-CG32)))</f>
        <v>178.00000000000006</v>
      </c>
      <c r="BZ33" s="14">
        <f>BY33*VLOOKUP('Données projet'!$B$12,Paramètres!$A$1:$I$89,3,0)*VLOOKUP('Données projet'!$B$12,Paramètres!$A$1:$I$89,5,0)</f>
        <v>138.84000000000006</v>
      </c>
      <c r="CA33" s="14">
        <f t="shared" si="39"/>
        <v>36.031137240112955</v>
      </c>
      <c r="CB33" s="22">
        <f t="shared" si="10"/>
        <v>304.56723069319679</v>
      </c>
      <c r="CC33" s="62">
        <f t="shared" si="11"/>
        <v>543.67465562623875</v>
      </c>
      <c r="CD33" s="62">
        <f ca="1">AVERAGE(OFFSET($CC$3,0,0,'Données projet'!$E$12+1,1))-AVERAGE(OFFSET($H$3,0,0,'Données projet'!$E$12+1,1))</f>
        <v>304.39782420428173</v>
      </c>
      <c r="CE33" s="62">
        <f t="shared" si="40"/>
        <v>360.34132229290537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23</v>
      </c>
      <c r="CH33" s="17">
        <f>IF(ISNA(VLOOKUP(A33,'Données projet'!$A$113:$I$133,5,0)),0%,VLOOKUP(A33,'Données projet'!$A$113:$I$133,5,0)*VLOOKUP('Données projet'!$B$12,Paramètres!$A$1:$I$89,7,0))</f>
        <v>0.215</v>
      </c>
      <c r="CI33" s="17">
        <f>IF(ISNA(VLOOKUP(A33,'Données projet'!$A$113:$I$133,6,0)),0%,VLOOKUP(A33,'Données projet'!$A$113:$I$133,6,0)*VLOOKUP('Données projet'!$B$12,Paramètres!$A$1:$I$89,7,0))</f>
        <v>4.3000000000000003E-2</v>
      </c>
      <c r="CJ33" s="17">
        <f>IF(ISNA(VLOOKUP(A33,'Données projet'!$A$113:$I$133,7,0)),0%,VLOOKUP(A33,'Données projet'!$A$113:$I$133,7,0))</f>
        <v>0.15</v>
      </c>
      <c r="CK33" s="23">
        <f>EXP(-LN(2)/35)*CK32+(1-EXP(-LN(2)/35))/(LN(2)/35)*CG33*CH33*VLOOKUP('Données projet'!$B$12,Paramètres!$A$1:$I$89,3,0)*0.475*44/12</f>
        <v>4.2639098008965428</v>
      </c>
      <c r="CL33" s="23">
        <f>EXP(-LN(2)/25)*CL32+(1-EXP(-LN(2)/25))/(LN(2)/25)*Calculateur!CG33*Calculateur!CI33*VLOOKUP('Données projet'!$B$12,Paramètres!$A$1:$I$89,3,0)*0.475*44/12</f>
        <v>0.84942423266668132</v>
      </c>
      <c r="CM33" s="23">
        <f>EXP(-LN(2)/2)*CM32+(1-EXP(-LN(2)/2))/(LN(2)/2)*CG33*CJ33*VLOOKUP('Données projet'!$B$12,Paramètres!$A$1:$I$89,3,0)*0.475*44/12</f>
        <v>2.5390309272031</v>
      </c>
      <c r="CN33" s="24">
        <f t="shared" si="12"/>
        <v>7.6523649607663238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9.5000000000000036</v>
      </c>
      <c r="N34" s="14">
        <f>IF('Données projet'!$A$36&gt;35,N33+M34-V33,IF(A34&lt;'Données projet'!$A$36,$K$205^A34,IF(A34='Données projet'!$A$36,'Données projet'!$B$36,N33+M34-V33)))</f>
        <v>240.6</v>
      </c>
      <c r="O34" s="14">
        <f>N34*VLOOKUP('Données projet'!$B$9,Paramètres!$A$1:$I$89,3,0)*VLOOKUP('Données projet'!$B$9,Paramètres!$A$1:$I$89,5,0)</f>
        <v>112.60080000000001</v>
      </c>
      <c r="P34" s="14">
        <f t="shared" si="33"/>
        <v>29.94291745924334</v>
      </c>
      <c r="Q34" s="22">
        <f t="shared" si="2"/>
        <v>248.2636412415155</v>
      </c>
      <c r="R34" s="62">
        <f t="shared" si="0"/>
        <v>488.31176445433306</v>
      </c>
      <c r="S34" s="62">
        <f ca="1">AVERAGE(OFFSET($R$3,0,0,'Données projet'!$E$9+1,1))-AVERAGE(OFFSET($H$3,0,0,'Données projet'!$E$9+1,1))</f>
        <v>234.81928430389272</v>
      </c>
      <c r="T34" s="62">
        <f t="shared" si="34"/>
        <v>294.47057757403411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2.3499926322099314</v>
      </c>
      <c r="AB34" s="23">
        <f>EXP(-LN(2)/2)*AB33+(1-EXP(-LN(2)/2))/(LN(2)/2)*V34*Y34*VLOOKUP('Données projet'!$B$9,Paramètres!$A$1:$I$89,3,0)*0.475*44/12</f>
        <v>0.81072361432085094</v>
      </c>
      <c r="AC34" s="24">
        <f t="shared" si="3"/>
        <v>3.1607162465307823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11.6</v>
      </c>
      <c r="AI34" s="14">
        <f>IF('Données projet'!$A$62&gt;35,AI33+AH34-AQ33,IF(A34&lt;'Données projet'!$A$62,$AF$205^A34,IF(A34='Données projet'!$A$62,'Données projet'!$B$62,AI33+AH34-AQ33)))</f>
        <v>166.60000000000005</v>
      </c>
      <c r="AJ34" s="14">
        <f>AI34*VLOOKUP('Données projet'!$B$10,Paramètres!$A$1:$I$89,3,0)*VLOOKUP('Données projet'!$B$10,Paramètres!$A$1:$I$89,5,0)</f>
        <v>129.94800000000004</v>
      </c>
      <c r="AK34" s="14">
        <f t="shared" si="35"/>
        <v>33.984343379340828</v>
      </c>
      <c r="AL34" s="22">
        <f t="shared" si="4"/>
        <v>285.51549805235203</v>
      </c>
      <c r="AM34" s="62">
        <f t="shared" si="5"/>
        <v>525.56362126516956</v>
      </c>
      <c r="AN34" s="62">
        <f ca="1">AVERAGE(OFFSET($AM$3,0,0,'Données projet'!$E$10+1,1))-AVERAGE(OFFSET($H$3,0,0,'Données projet'!$E$10+1,1))</f>
        <v>304.39782420428173</v>
      </c>
      <c r="AO34" s="62">
        <f t="shared" si="36"/>
        <v>360.34132229290537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4.1802971304291399</v>
      </c>
      <c r="AV34" s="23">
        <f>EXP(-LN(2)/25)*AV33+(1-EXP(-LN(2)/25))/(LN(2)/25)*Calculateur!AQ34*Calculateur!AS34*VLOOKUP('Données projet'!$B$10,Paramètres!$A$1:$I$89,3,0)*0.475*44/12</f>
        <v>0.82619668235513188</v>
      </c>
      <c r="AW34" s="23">
        <f>EXP(-LN(2)/2)*AW33+(1-EXP(-LN(2)/2))/(LN(2)/2)*AQ34*AT34*VLOOKUP('Données projet'!$B$10,Paramètres!$A$1:$I$89,3,0)*0.475*44/12</f>
        <v>1.7953659862676794</v>
      </c>
      <c r="AX34" s="23">
        <f t="shared" si="6"/>
        <v>6.8018597990519511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11.6</v>
      </c>
      <c r="BD34" s="13">
        <f>IF('Données projet'!$A$88&gt;35,BD33+BC34-BL33,IF(A34&lt;'Données projet'!$A$88,$BA$205^A34,IF(A34='Données projet'!$A$88,'Données projet'!$B$88,BD33+BC34-BL33)))</f>
        <v>166.60000000000005</v>
      </c>
      <c r="BE34" s="14">
        <f>BD34*VLOOKUP('Données projet'!$B$11,Paramètres!$A$1:$I$89,3,0)*VLOOKUP('Données projet'!$B$11,Paramètres!$A$1:$I$89,5,0)</f>
        <v>129.94800000000004</v>
      </c>
      <c r="BF34" s="14">
        <f t="shared" si="37"/>
        <v>33.984343379340828</v>
      </c>
      <c r="BG34" s="22">
        <f t="shared" si="7"/>
        <v>285.51549805235203</v>
      </c>
      <c r="BH34" s="62">
        <f t="shared" si="8"/>
        <v>525.56362126516956</v>
      </c>
      <c r="BI34" s="62">
        <f ca="1">AVERAGE(OFFSET($BH$3,0,0,'Données projet'!$E$11+1,1))-AVERAGE(OFFSET($H$3,0,0,'Données projet'!$E$11+1,1))</f>
        <v>304.39782420428173</v>
      </c>
      <c r="BJ34" s="62">
        <f t="shared" si="38"/>
        <v>360.34132229290537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4.1802971304291399</v>
      </c>
      <c r="BQ34" s="23">
        <f>EXP(-LN(2)/25)*BQ33+(1-EXP(-LN(2)/25))/(LN(2)/25)*Calculateur!BL34*Calculateur!BN34*VLOOKUP('Données projet'!$B$11,Paramètres!$A$1:$I$89,3,0)*0.475*44/12</f>
        <v>0.82619668235513188</v>
      </c>
      <c r="BR34" s="23">
        <f>EXP(-LN(2)/2)*BR33+(1-EXP(-LN(2)/2))/(LN(2)/2)*BL34*BO34*VLOOKUP('Données projet'!$B$11,Paramètres!$A$1:$I$89,3,0)*0.475*44/12</f>
        <v>1.7953659862676794</v>
      </c>
      <c r="BS34" s="24">
        <f t="shared" si="9"/>
        <v>6.8018597990519511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11.6</v>
      </c>
      <c r="BY34" s="13">
        <f>IF('Données projet'!$A$114&gt;35,BY33+BX34-CG33,IF(A34&lt;'Données projet'!$A$114,$BV$205^A34,IF(A34='Données projet'!$A$114,'Données projet'!$B$114,BY33+BX34-CG33)))</f>
        <v>166.60000000000005</v>
      </c>
      <c r="BZ34" s="14">
        <f>BY34*VLOOKUP('Données projet'!$B$12,Paramètres!$A$1:$I$89,3,0)*VLOOKUP('Données projet'!$B$12,Paramètres!$A$1:$I$89,5,0)</f>
        <v>129.94800000000004</v>
      </c>
      <c r="CA34" s="14">
        <f t="shared" si="39"/>
        <v>33.984343379340828</v>
      </c>
      <c r="CB34" s="22">
        <f t="shared" si="10"/>
        <v>285.51549805235203</v>
      </c>
      <c r="CC34" s="62">
        <f t="shared" si="11"/>
        <v>525.56362126516956</v>
      </c>
      <c r="CD34" s="62">
        <f ca="1">AVERAGE(OFFSET($CC$3,0,0,'Données projet'!$E$12+1,1))-AVERAGE(OFFSET($H$3,0,0,'Données projet'!$E$12+1,1))</f>
        <v>304.39782420428173</v>
      </c>
      <c r="CE34" s="62">
        <f t="shared" si="40"/>
        <v>360.34132229290537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4.1802971304291399</v>
      </c>
      <c r="CL34" s="23">
        <f>EXP(-LN(2)/25)*CL33+(1-EXP(-LN(2)/25))/(LN(2)/25)*Calculateur!CG34*Calculateur!CI34*VLOOKUP('Données projet'!$B$12,Paramètres!$A$1:$I$89,3,0)*0.475*44/12</f>
        <v>0.82619668235513188</v>
      </c>
      <c r="CM34" s="23">
        <f>EXP(-LN(2)/2)*CM33+(1-EXP(-LN(2)/2))/(LN(2)/2)*CG34*CJ34*VLOOKUP('Données projet'!$B$12,Paramètres!$A$1:$I$89,3,0)*0.475*44/12</f>
        <v>1.7953659862676794</v>
      </c>
      <c r="CN34" s="24">
        <f t="shared" si="12"/>
        <v>6.8018597990519511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9.5000000000000036</v>
      </c>
      <c r="N35" s="14">
        <f>IF('Données projet'!$A$36&gt;35,N34+M35-V34,IF(A35&lt;'Données projet'!$A$36,$K$205^A35,IF(A35='Données projet'!$A$36,'Données projet'!$B$36,N34+M35-V34)))</f>
        <v>250.1</v>
      </c>
      <c r="O35" s="14">
        <f>N35*VLOOKUP('Données projet'!$B$9,Paramètres!$A$1:$I$89,3,0)*VLOOKUP('Données projet'!$B$9,Paramètres!$A$1:$I$89,5,0)</f>
        <v>117.0468</v>
      </c>
      <c r="P35" s="14">
        <f t="shared" si="33"/>
        <v>30.985218187968854</v>
      </c>
      <c r="Q35" s="22">
        <f t="shared" ref="Q35:Q66" si="53">(O35+P35)*0.475*44/12</f>
        <v>257.82243167737909</v>
      </c>
      <c r="R35" s="62">
        <f t="shared" si="0"/>
        <v>498.79493415790444</v>
      </c>
      <c r="S35" s="62">
        <f ca="1">AVERAGE(OFFSET($R$3,0,0,'Données projet'!$E$9+1,1))-AVERAGE(OFFSET($H$3,0,0,'Données projet'!$E$9+1,1))</f>
        <v>234.81928430389272</v>
      </c>
      <c r="T35" s="62">
        <f t="shared" si="34"/>
        <v>294.47057757403411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2.2857319601014092</v>
      </c>
      <c r="AB35" s="23">
        <f>EXP(-LN(2)/2)*AB34+(1-EXP(-LN(2)/2))/(LN(2)/2)*V35*Y35*VLOOKUP('Données projet'!$B$9,Paramètres!$A$1:$I$89,3,0)*0.475*44/12</f>
        <v>0.57326816535434089</v>
      </c>
      <c r="AC35" s="24">
        <f t="shared" si="3"/>
        <v>2.8590001254557502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11.6</v>
      </c>
      <c r="AI35" s="14">
        <f>IF('Données projet'!$A$62&gt;35,AI34+AH35-AQ34,IF(A35&lt;'Données projet'!$A$62,$AF$205^A35,IF(A35='Données projet'!$A$62,'Données projet'!$B$62,AI34+AH35-AQ34)))</f>
        <v>178.20000000000005</v>
      </c>
      <c r="AJ35" s="14">
        <f>AI35*VLOOKUP('Données projet'!$B$10,Paramètres!$A$1:$I$89,3,0)*VLOOKUP('Données projet'!$B$10,Paramètres!$A$1:$I$89,5,0)</f>
        <v>138.99600000000004</v>
      </c>
      <c r="AK35" s="14">
        <f t="shared" si="35"/>
        <v>36.066906938767758</v>
      </c>
      <c r="AL35" s="22">
        <f t="shared" si="4"/>
        <v>304.90122958502059</v>
      </c>
      <c r="AM35" s="62">
        <f t="shared" si="5"/>
        <v>545.87373206554594</v>
      </c>
      <c r="AN35" s="62">
        <f ca="1">AVERAGE(OFFSET($AM$3,0,0,'Données projet'!$E$10+1,1))-AVERAGE(OFFSET($H$3,0,0,'Données projet'!$E$10+1,1))</f>
        <v>304.39782420428173</v>
      </c>
      <c r="AO35" s="62">
        <f t="shared" si="36"/>
        <v>360.34132229290537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4.0983240534309093</v>
      </c>
      <c r="AV35" s="23">
        <f>EXP(-LN(2)/25)*AV34+(1-EXP(-LN(2)/25))/(LN(2)/25)*Calculateur!AQ35*Calculateur!AS35*VLOOKUP('Données projet'!$B$10,Paramètres!$A$1:$I$89,3,0)*0.475*44/12</f>
        <v>0.8036042906283356</v>
      </c>
      <c r="AW35" s="23">
        <f>EXP(-LN(2)/2)*AW34+(1-EXP(-LN(2)/2))/(LN(2)/2)*AQ35*AT35*VLOOKUP('Données projet'!$B$10,Paramètres!$A$1:$I$89,3,0)*0.475*44/12</f>
        <v>1.2695154636015502</v>
      </c>
      <c r="AX35" s="23">
        <f t="shared" si="6"/>
        <v>6.1714438076607951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11.6</v>
      </c>
      <c r="BD35" s="13">
        <f>IF('Données projet'!$A$88&gt;35,BD34+BC35-BL34,IF(A35&lt;'Données projet'!$A$88,$BA$205^A35,IF(A35='Données projet'!$A$88,'Données projet'!$B$88,BD34+BC35-BL34)))</f>
        <v>178.20000000000005</v>
      </c>
      <c r="BE35" s="14">
        <f>BD35*VLOOKUP('Données projet'!$B$11,Paramètres!$A$1:$I$89,3,0)*VLOOKUP('Données projet'!$B$11,Paramètres!$A$1:$I$89,5,0)</f>
        <v>138.99600000000004</v>
      </c>
      <c r="BF35" s="14">
        <f t="shared" si="37"/>
        <v>36.066906938767758</v>
      </c>
      <c r="BG35" s="22">
        <f t="shared" si="7"/>
        <v>304.90122958502059</v>
      </c>
      <c r="BH35" s="62">
        <f t="shared" si="8"/>
        <v>545.87373206554594</v>
      </c>
      <c r="BI35" s="62">
        <f ca="1">AVERAGE(OFFSET($BH$3,0,0,'Données projet'!$E$11+1,1))-AVERAGE(OFFSET($H$3,0,0,'Données projet'!$E$11+1,1))</f>
        <v>304.39782420428173</v>
      </c>
      <c r="BJ35" s="62">
        <f t="shared" si="38"/>
        <v>360.34132229290537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4.0983240534309093</v>
      </c>
      <c r="BQ35" s="23">
        <f>EXP(-LN(2)/25)*BQ34+(1-EXP(-LN(2)/25))/(LN(2)/25)*Calculateur!BL35*Calculateur!BN35*VLOOKUP('Données projet'!$B$11,Paramètres!$A$1:$I$89,3,0)*0.475*44/12</f>
        <v>0.8036042906283356</v>
      </c>
      <c r="BR35" s="23">
        <f>EXP(-LN(2)/2)*BR34+(1-EXP(-LN(2)/2))/(LN(2)/2)*BL35*BO35*VLOOKUP('Données projet'!$B$11,Paramètres!$A$1:$I$89,3,0)*0.475*44/12</f>
        <v>1.2695154636015502</v>
      </c>
      <c r="BS35" s="24">
        <f t="shared" si="9"/>
        <v>6.1714438076607951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11.6</v>
      </c>
      <c r="BY35" s="13">
        <f>IF('Données projet'!$A$114&gt;35,BY34+BX35-CG34,IF(A35&lt;'Données projet'!$A$114,$BV$205^A35,IF(A35='Données projet'!$A$114,'Données projet'!$B$114,BY34+BX35-CG34)))</f>
        <v>178.20000000000005</v>
      </c>
      <c r="BZ35" s="14">
        <f>BY35*VLOOKUP('Données projet'!$B$12,Paramètres!$A$1:$I$89,3,0)*VLOOKUP('Données projet'!$B$12,Paramètres!$A$1:$I$89,5,0)</f>
        <v>138.99600000000004</v>
      </c>
      <c r="CA35" s="14">
        <f t="shared" si="39"/>
        <v>36.066906938767758</v>
      </c>
      <c r="CB35" s="22">
        <f t="shared" si="10"/>
        <v>304.90122958502059</v>
      </c>
      <c r="CC35" s="62">
        <f t="shared" si="11"/>
        <v>545.87373206554594</v>
      </c>
      <c r="CD35" s="62">
        <f ca="1">AVERAGE(OFFSET($CC$3,0,0,'Données projet'!$E$12+1,1))-AVERAGE(OFFSET($H$3,0,0,'Données projet'!$E$12+1,1))</f>
        <v>304.39782420428173</v>
      </c>
      <c r="CE35" s="62">
        <f t="shared" si="40"/>
        <v>360.34132229290537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4.0983240534309093</v>
      </c>
      <c r="CL35" s="23">
        <f>EXP(-LN(2)/25)*CL34+(1-EXP(-LN(2)/25))/(LN(2)/25)*Calculateur!CG35*Calculateur!CI35*VLOOKUP('Données projet'!$B$12,Paramètres!$A$1:$I$89,3,0)*0.475*44/12</f>
        <v>0.8036042906283356</v>
      </c>
      <c r="CM35" s="23">
        <f>EXP(-LN(2)/2)*CM34+(1-EXP(-LN(2)/2))/(LN(2)/2)*CG35*CJ35*VLOOKUP('Données projet'!$B$12,Paramètres!$A$1:$I$89,3,0)*0.475*44/12</f>
        <v>1.2695154636015502</v>
      </c>
      <c r="CN35" s="24">
        <f t="shared" si="12"/>
        <v>6.1714438076607951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>
        <f>VLOOKUP(A36,'Données projet'!$A$35:$I$55,2,0)</f>
        <v>259.60000000000002</v>
      </c>
      <c r="L36" s="13">
        <f>VLOOKUP(A36,'Données projet'!$A$35:$I$55,9,0)</f>
        <v>9.5000000000000036</v>
      </c>
      <c r="M36" s="13">
        <f t="array" ref="M36">INDEX(L:L,MIN(IF(ISNUMBER(L36:L232),ROW(L36:L232),"")))</f>
        <v>9.5000000000000036</v>
      </c>
      <c r="N36" s="14">
        <f>IF('Données projet'!$A$36&gt;35,N35+M36-V35,IF(A36&lt;'Données projet'!$A$36,$K$205^A36,IF(A36='Données projet'!$A$36,'Données projet'!$B$36,N35+M36-V35)))</f>
        <v>259.60000000000002</v>
      </c>
      <c r="O36" s="14">
        <f>N36*VLOOKUP('Données projet'!$B$9,Paramètres!$A$1:$I$89,3,0)*VLOOKUP('Données projet'!$B$9,Paramètres!$A$1:$I$89,5,0)</f>
        <v>121.4928</v>
      </c>
      <c r="P36" s="14">
        <f t="shared" si="33"/>
        <v>32.02291946024841</v>
      </c>
      <c r="Q36" s="22">
        <f t="shared" si="53"/>
        <v>267.37321139326599</v>
      </c>
      <c r="R36" s="62">
        <f t="shared" si="0"/>
        <v>509.2540572278067</v>
      </c>
      <c r="S36" s="62">
        <f ca="1">AVERAGE(OFFSET($R$3,0,0,'Données projet'!$E$9+1,1))-AVERAGE(OFFSET($H$3,0,0,'Données projet'!$E$9+1,1))</f>
        <v>234.81928430389272</v>
      </c>
      <c r="T36" s="62">
        <f t="shared" si="34"/>
        <v>294.47057757403411</v>
      </c>
      <c r="U36" s="16">
        <f>IF(ISNA(VLOOKUP(A36,'Données projet'!$A$35:$I$55,3,0)),0,VLOOKUP(A36,'Données projet'!$A$35:$I$55,3,0))</f>
        <v>2</v>
      </c>
      <c r="V36" s="16">
        <f>IF(ISNA(VLOOKUP(A36,'Données projet'!$A$35:$I$55,4,0)),0,VLOOKUP(A36,'Données projet'!$A$35:$I$55,4,0))</f>
        <v>38.94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0.22000000000000003</v>
      </c>
      <c r="Y36" s="17">
        <f>IF(ISNA(VLOOKUP(A36,'Données projet'!$A$35:$I$55,7,0)),0%,VLOOKUP(A36,'Données projet'!$A$35:$I$55,7,0))</f>
        <v>0.6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7.5208323536617598</v>
      </c>
      <c r="AB36" s="23">
        <f>EXP(-LN(2)/2)*AB35+(1-EXP(-LN(2)/2))/(LN(2)/2)*V36*Y36*VLOOKUP('Données projet'!$B$9,Paramètres!$A$1:$I$89,3,0)*0.475*44/12</f>
        <v>12.785588294083531</v>
      </c>
      <c r="AC36" s="24">
        <f t="shared" si="3"/>
        <v>20.306420647745291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11.6</v>
      </c>
      <c r="AI36" s="14">
        <f>IF('Données projet'!$A$62&gt;35,AI35+AH36-AQ35,IF(A36&lt;'Données projet'!$A$62,$AF$205^A36,IF(A36='Données projet'!$A$62,'Données projet'!$B$62,AI35+AH36-AQ35)))</f>
        <v>189.80000000000004</v>
      </c>
      <c r="AJ36" s="14">
        <f>AI36*VLOOKUP('Données projet'!$B$10,Paramètres!$A$1:$I$89,3,0)*VLOOKUP('Données projet'!$B$10,Paramètres!$A$1:$I$89,5,0)</f>
        <v>148.04400000000004</v>
      </c>
      <c r="AK36" s="14">
        <f t="shared" si="35"/>
        <v>38.133738604016052</v>
      </c>
      <c r="AL36" s="22">
        <f t="shared" si="4"/>
        <v>324.25956140199474</v>
      </c>
      <c r="AM36" s="62">
        <f t="shared" si="5"/>
        <v>566.14040723653545</v>
      </c>
      <c r="AN36" s="62">
        <f ca="1">AVERAGE(OFFSET($AM$3,0,0,'Données projet'!$E$10+1,1))-AVERAGE(OFFSET($H$3,0,0,'Données projet'!$E$10+1,1))</f>
        <v>304.39782420428173</v>
      </c>
      <c r="AO36" s="62">
        <f t="shared" si="36"/>
        <v>360.34132229290537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4.0179584184739738</v>
      </c>
      <c r="AV36" s="23">
        <f>EXP(-LN(2)/25)*AV35+(1-EXP(-LN(2)/25))/(LN(2)/25)*Calculateur!AQ36*Calculateur!AS36*VLOOKUP('Données projet'!$B$10,Paramètres!$A$1:$I$89,3,0)*0.475*44/12</f>
        <v>0.78162968904139074</v>
      </c>
      <c r="AW36" s="23">
        <f>EXP(-LN(2)/2)*AW35+(1-EXP(-LN(2)/2))/(LN(2)/2)*AQ36*AT36*VLOOKUP('Données projet'!$B$10,Paramètres!$A$1:$I$89,3,0)*0.475*44/12</f>
        <v>0.89768299313383981</v>
      </c>
      <c r="AX36" s="23">
        <f t="shared" si="6"/>
        <v>5.6972711006492043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11.6</v>
      </c>
      <c r="BD36" s="13">
        <f>IF('Données projet'!$A$88&gt;35,BD35+BC36-BL35,IF(A36&lt;'Données projet'!$A$88,$BA$205^A36,IF(A36='Données projet'!$A$88,'Données projet'!$B$88,BD35+BC36-BL35)))</f>
        <v>189.80000000000004</v>
      </c>
      <c r="BE36" s="14">
        <f>BD36*VLOOKUP('Données projet'!$B$11,Paramètres!$A$1:$I$89,3,0)*VLOOKUP('Données projet'!$B$11,Paramètres!$A$1:$I$89,5,0)</f>
        <v>148.04400000000004</v>
      </c>
      <c r="BF36" s="14">
        <f t="shared" si="37"/>
        <v>38.133738604016052</v>
      </c>
      <c r="BG36" s="22">
        <f t="shared" si="7"/>
        <v>324.25956140199474</v>
      </c>
      <c r="BH36" s="62">
        <f t="shared" si="8"/>
        <v>566.14040723653545</v>
      </c>
      <c r="BI36" s="62">
        <f ca="1">AVERAGE(OFFSET($BH$3,0,0,'Données projet'!$E$11+1,1))-AVERAGE(OFFSET($H$3,0,0,'Données projet'!$E$11+1,1))</f>
        <v>304.39782420428173</v>
      </c>
      <c r="BJ36" s="62">
        <f t="shared" si="38"/>
        <v>360.34132229290537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4.0179584184739738</v>
      </c>
      <c r="BQ36" s="23">
        <f>EXP(-LN(2)/25)*BQ35+(1-EXP(-LN(2)/25))/(LN(2)/25)*Calculateur!BL36*Calculateur!BN36*VLOOKUP('Données projet'!$B$11,Paramètres!$A$1:$I$89,3,0)*0.475*44/12</f>
        <v>0.78162968904139074</v>
      </c>
      <c r="BR36" s="23">
        <f>EXP(-LN(2)/2)*BR35+(1-EXP(-LN(2)/2))/(LN(2)/2)*BL36*BO36*VLOOKUP('Données projet'!$B$11,Paramètres!$A$1:$I$89,3,0)*0.475*44/12</f>
        <v>0.89768299313383981</v>
      </c>
      <c r="BS36" s="24">
        <f t="shared" si="9"/>
        <v>5.6972711006492043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11.6</v>
      </c>
      <c r="BY36" s="13">
        <f>IF('Données projet'!$A$114&gt;35,BY35+BX36-CG35,IF(A36&lt;'Données projet'!$A$114,$BV$205^A36,IF(A36='Données projet'!$A$114,'Données projet'!$B$114,BY35+BX36-CG35)))</f>
        <v>189.80000000000004</v>
      </c>
      <c r="BZ36" s="14">
        <f>BY36*VLOOKUP('Données projet'!$B$12,Paramètres!$A$1:$I$89,3,0)*VLOOKUP('Données projet'!$B$12,Paramètres!$A$1:$I$89,5,0)</f>
        <v>148.04400000000004</v>
      </c>
      <c r="CA36" s="14">
        <f t="shared" si="39"/>
        <v>38.133738604016052</v>
      </c>
      <c r="CB36" s="22">
        <f t="shared" si="10"/>
        <v>324.25956140199474</v>
      </c>
      <c r="CC36" s="62">
        <f t="shared" si="11"/>
        <v>566.14040723653545</v>
      </c>
      <c r="CD36" s="62">
        <f ca="1">AVERAGE(OFFSET($CC$3,0,0,'Données projet'!$E$12+1,1))-AVERAGE(OFFSET($H$3,0,0,'Données projet'!$E$12+1,1))</f>
        <v>304.39782420428173</v>
      </c>
      <c r="CE36" s="62">
        <f t="shared" si="40"/>
        <v>360.34132229290537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4.0179584184739738</v>
      </c>
      <c r="CL36" s="23">
        <f>EXP(-LN(2)/25)*CL35+(1-EXP(-LN(2)/25))/(LN(2)/25)*Calculateur!CG36*Calculateur!CI36*VLOOKUP('Données projet'!$B$12,Paramètres!$A$1:$I$89,3,0)*0.475*44/12</f>
        <v>0.78162968904139074</v>
      </c>
      <c r="CM36" s="23">
        <f>EXP(-LN(2)/2)*CM35+(1-EXP(-LN(2)/2))/(LN(2)/2)*CG36*CJ36*VLOOKUP('Données projet'!$B$12,Paramètres!$A$1:$I$89,3,0)*0.475*44/12</f>
        <v>0.89768299313383981</v>
      </c>
      <c r="CN36" s="24">
        <f t="shared" si="12"/>
        <v>5.6972711006492043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10.1875</v>
      </c>
      <c r="N37" s="14">
        <f>IF('Données projet'!$A$36&gt;35,N36+M37-V36,IF(A37&lt;'Données projet'!$A$36,$K$205^A37,IF(A37='Données projet'!$A$36,'Données projet'!$B$36,N36+M37-V36)))</f>
        <v>230.84750000000003</v>
      </c>
      <c r="O37" s="14">
        <f>N37*VLOOKUP('Données projet'!$B$9,Paramètres!$A$1:$I$89,3,0)*VLOOKUP('Données projet'!$B$9,Paramètres!$A$1:$I$89,5,0)</f>
        <v>108.03663000000002</v>
      </c>
      <c r="P37" s="14">
        <f t="shared" si="33"/>
        <v>28.867915530423033</v>
      </c>
      <c r="Q37" s="22">
        <f t="shared" si="53"/>
        <v>238.44208346548677</v>
      </c>
      <c r="R37" s="62">
        <f t="shared" si="0"/>
        <v>481.21551492760238</v>
      </c>
      <c r="S37" s="62">
        <f ca="1">AVERAGE(OFFSET($R$3,0,0,'Données projet'!$E$9+1,1))-AVERAGE(OFFSET($H$3,0,0,'Données projet'!$E$9+1,1))</f>
        <v>234.81928430389272</v>
      </c>
      <c r="T37" s="62">
        <f t="shared" si="34"/>
        <v>294.47057757403411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7.3151747974474945</v>
      </c>
      <c r="AB37" s="23">
        <f>EXP(-LN(2)/2)*AB36+(1-EXP(-LN(2)/2))/(LN(2)/2)*V37*Y37*VLOOKUP('Données projet'!$B$9,Paramètres!$A$1:$I$89,3,0)*0.475*44/12</f>
        <v>9.0407761842058072</v>
      </c>
      <c r="AC37" s="24">
        <f t="shared" si="3"/>
        <v>16.355950981653301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11.6</v>
      </c>
      <c r="AI37" s="14">
        <f>IF('Données projet'!$A$62&gt;35,AI36+AH37-AQ36,IF(A37&lt;'Données projet'!$A$62,$AF$205^A37,IF(A37='Données projet'!$A$62,'Données projet'!$B$62,AI36+AH37-AQ36)))</f>
        <v>201.40000000000003</v>
      </c>
      <c r="AJ37" s="14">
        <f>AI37*VLOOKUP('Données projet'!$B$10,Paramètres!$A$1:$I$89,3,0)*VLOOKUP('Données projet'!$B$10,Paramètres!$A$1:$I$89,5,0)</f>
        <v>157.09200000000004</v>
      </c>
      <c r="AK37" s="14">
        <f t="shared" si="35"/>
        <v>40.185909342127296</v>
      </c>
      <c r="AL37" s="22">
        <f t="shared" si="4"/>
        <v>343.59235877087173</v>
      </c>
      <c r="AM37" s="62">
        <f t="shared" si="5"/>
        <v>586.36579023298737</v>
      </c>
      <c r="AN37" s="62">
        <f ca="1">AVERAGE(OFFSET($AM$3,0,0,'Données projet'!$E$10+1,1))-AVERAGE(OFFSET($H$3,0,0,'Données projet'!$E$10+1,1))</f>
        <v>304.39782420428173</v>
      </c>
      <c r="AO37" s="62">
        <f t="shared" si="36"/>
        <v>360.34132229290537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3.9391687046003465</v>
      </c>
      <c r="AV37" s="23">
        <f>EXP(-LN(2)/25)*AV36+(1-EXP(-LN(2)/25))/(LN(2)/25)*Calculateur!AQ37*Calculateur!AS37*VLOOKUP('Données projet'!$B$10,Paramètres!$A$1:$I$89,3,0)*0.475*44/12</f>
        <v>0.76025598409043504</v>
      </c>
      <c r="AW37" s="23">
        <f>EXP(-LN(2)/2)*AW36+(1-EXP(-LN(2)/2))/(LN(2)/2)*AQ37*AT37*VLOOKUP('Données projet'!$B$10,Paramètres!$A$1:$I$89,3,0)*0.475*44/12</f>
        <v>0.6347577318007751</v>
      </c>
      <c r="AX37" s="23">
        <f t="shared" si="6"/>
        <v>5.3341824204915564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11.6</v>
      </c>
      <c r="BD37" s="13">
        <f>IF('Données projet'!$A$88&gt;35,BD36+BC37-BL36,IF(A37&lt;'Données projet'!$A$88,$BA$205^A37,IF(A37='Données projet'!$A$88,'Données projet'!$B$88,BD36+BC37-BL36)))</f>
        <v>201.40000000000003</v>
      </c>
      <c r="BE37" s="14">
        <f>BD37*VLOOKUP('Données projet'!$B$11,Paramètres!$A$1:$I$89,3,0)*VLOOKUP('Données projet'!$B$11,Paramètres!$A$1:$I$89,5,0)</f>
        <v>157.09200000000004</v>
      </c>
      <c r="BF37" s="14">
        <f t="shared" si="37"/>
        <v>40.185909342127296</v>
      </c>
      <c r="BG37" s="22">
        <f t="shared" si="7"/>
        <v>343.59235877087173</v>
      </c>
      <c r="BH37" s="62">
        <f t="shared" si="8"/>
        <v>586.36579023298737</v>
      </c>
      <c r="BI37" s="62">
        <f ca="1">AVERAGE(OFFSET($BH$3,0,0,'Données projet'!$E$11+1,1))-AVERAGE(OFFSET($H$3,0,0,'Données projet'!$E$11+1,1))</f>
        <v>304.39782420428173</v>
      </c>
      <c r="BJ37" s="62">
        <f t="shared" si="38"/>
        <v>360.34132229290537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3.9391687046003465</v>
      </c>
      <c r="BQ37" s="23">
        <f>EXP(-LN(2)/25)*BQ36+(1-EXP(-LN(2)/25))/(LN(2)/25)*Calculateur!BL37*Calculateur!BN37*VLOOKUP('Données projet'!$B$11,Paramètres!$A$1:$I$89,3,0)*0.475*44/12</f>
        <v>0.76025598409043504</v>
      </c>
      <c r="BR37" s="23">
        <f>EXP(-LN(2)/2)*BR36+(1-EXP(-LN(2)/2))/(LN(2)/2)*BL37*BO37*VLOOKUP('Données projet'!$B$11,Paramètres!$A$1:$I$89,3,0)*0.475*44/12</f>
        <v>0.6347577318007751</v>
      </c>
      <c r="BS37" s="24">
        <f t="shared" si="9"/>
        <v>5.3341824204915564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11.6</v>
      </c>
      <c r="BY37" s="13">
        <f>IF('Données projet'!$A$114&gt;35,BY36+BX37-CG36,IF(A37&lt;'Données projet'!$A$114,$BV$205^A37,IF(A37='Données projet'!$A$114,'Données projet'!$B$114,BY36+BX37-CG36)))</f>
        <v>201.40000000000003</v>
      </c>
      <c r="BZ37" s="14">
        <f>BY37*VLOOKUP('Données projet'!$B$12,Paramètres!$A$1:$I$89,3,0)*VLOOKUP('Données projet'!$B$12,Paramètres!$A$1:$I$89,5,0)</f>
        <v>157.09200000000004</v>
      </c>
      <c r="CA37" s="14">
        <f t="shared" si="39"/>
        <v>40.185909342127296</v>
      </c>
      <c r="CB37" s="22">
        <f t="shared" si="10"/>
        <v>343.59235877087173</v>
      </c>
      <c r="CC37" s="62">
        <f t="shared" si="11"/>
        <v>586.36579023298737</v>
      </c>
      <c r="CD37" s="62">
        <f ca="1">AVERAGE(OFFSET($CC$3,0,0,'Données projet'!$E$12+1,1))-AVERAGE(OFFSET($H$3,0,0,'Données projet'!$E$12+1,1))</f>
        <v>304.39782420428173</v>
      </c>
      <c r="CE37" s="62">
        <f t="shared" si="40"/>
        <v>360.34132229290537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3.9391687046003465</v>
      </c>
      <c r="CL37" s="23">
        <f>EXP(-LN(2)/25)*CL36+(1-EXP(-LN(2)/25))/(LN(2)/25)*Calculateur!CG37*Calculateur!CI37*VLOOKUP('Données projet'!$B$12,Paramètres!$A$1:$I$89,3,0)*0.475*44/12</f>
        <v>0.76025598409043504</v>
      </c>
      <c r="CM37" s="23">
        <f>EXP(-LN(2)/2)*CM36+(1-EXP(-LN(2)/2))/(LN(2)/2)*CG37*CJ37*VLOOKUP('Données projet'!$B$12,Paramètres!$A$1:$I$89,3,0)*0.475*44/12</f>
        <v>0.6347577318007751</v>
      </c>
      <c r="CN37" s="24">
        <f t="shared" si="12"/>
        <v>5.3341824204915564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10.1875</v>
      </c>
      <c r="N38" s="14">
        <f>IF('Données projet'!$A$36&gt;35,N37+M38-V37,IF(A38&lt;'Données projet'!$A$36,$K$205^A38,IF(A38='Données projet'!$A$36,'Données projet'!$B$36,N37+M38-V37)))</f>
        <v>241.03500000000003</v>
      </c>
      <c r="O38" s="14">
        <f>N38*VLOOKUP('Données projet'!$B$9,Paramètres!$A$1:$I$89,3,0)*VLOOKUP('Données projet'!$B$9,Paramètres!$A$1:$I$89,5,0)</f>
        <v>112.80438000000002</v>
      </c>
      <c r="P38" s="14">
        <f t="shared" si="33"/>
        <v>29.990747173266367</v>
      </c>
      <c r="Q38" s="22">
        <f t="shared" si="53"/>
        <v>248.70151316010561</v>
      </c>
      <c r="R38" s="62">
        <f t="shared" si="0"/>
        <v>492.35204588468014</v>
      </c>
      <c r="S38" s="62">
        <f ca="1">AVERAGE(OFFSET($R$3,0,0,'Données projet'!$E$9+1,1))-AVERAGE(OFFSET($H$3,0,0,'Données projet'!$E$9+1,1))</f>
        <v>234.81928430389272</v>
      </c>
      <c r="T38" s="62">
        <f t="shared" si="34"/>
        <v>294.47057757403411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7.1151409579229696</v>
      </c>
      <c r="AB38" s="23">
        <f>EXP(-LN(2)/2)*AB37+(1-EXP(-LN(2)/2))/(LN(2)/2)*V38*Y38*VLOOKUP('Données projet'!$B$9,Paramètres!$A$1:$I$89,3,0)*0.475*44/12</f>
        <v>6.3927941470417666</v>
      </c>
      <c r="AC38" s="24">
        <f t="shared" si="3"/>
        <v>13.507935104964737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213</v>
      </c>
      <c r="AG38" s="13">
        <f>VLOOKUP(A38,'Données projet'!$A$61:$I$81,9,0)</f>
        <v>11.6</v>
      </c>
      <c r="AH38" s="13">
        <f t="array" ref="AH38">INDEX(AG:AG,MIN(IF(ISNUMBER(AG38:AG234),ROW(AG38:AG234),"")))</f>
        <v>11.6</v>
      </c>
      <c r="AI38" s="14">
        <f>IF('Données projet'!$A$62&gt;35,AI37+AH38-AQ37,IF(A38&lt;'Données projet'!$A$62,$AF$205^A38,IF(A38='Données projet'!$A$62,'Données projet'!$B$62,AI37+AH38-AQ37)))</f>
        <v>213.00000000000003</v>
      </c>
      <c r="AJ38" s="14">
        <f>AI38*VLOOKUP('Données projet'!$B$10,Paramètres!$A$1:$I$89,3,0)*VLOOKUP('Données projet'!$B$10,Paramètres!$A$1:$I$89,5,0)</f>
        <v>166.14000000000001</v>
      </c>
      <c r="AK38" s="14">
        <f t="shared" si="35"/>
        <v>42.224359783104845</v>
      </c>
      <c r="AL38" s="22">
        <f t="shared" si="4"/>
        <v>362.90125995557429</v>
      </c>
      <c r="AM38" s="62">
        <f t="shared" si="5"/>
        <v>606.55179268014876</v>
      </c>
      <c r="AN38" s="62">
        <f ca="1">AVERAGE(OFFSET($AM$3,0,0,'Données projet'!$E$10+1,1))-AVERAGE(OFFSET($H$3,0,0,'Données projet'!$E$10+1,1))</f>
        <v>304.39782420428173</v>
      </c>
      <c r="AO38" s="62">
        <f t="shared" si="36"/>
        <v>360.34132229290537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29</v>
      </c>
      <c r="AR38" s="17">
        <f>IF(ISNA(VLOOKUP(A38,'Données projet'!$A$61:$I$81,5,0)),0%,VLOOKUP(A38,'Données projet'!$A$61:$I$81,5,0)*VLOOKUP('Données projet'!$B$10,Paramètres!$A$1:$I$89,7,0))</f>
        <v>0.215</v>
      </c>
      <c r="AS38" s="17">
        <f>IF(ISNA(VLOOKUP(A38,'Données projet'!$A$61:$I$81,6,0)),0%,VLOOKUP(A38,'Données projet'!$A$61:$I$81,6,0)*VLOOKUP('Données projet'!$B$10,Paramètres!$A$1:$I$89,7,0))</f>
        <v>4.3000000000000003E-2</v>
      </c>
      <c r="AT38" s="17">
        <f>IF(ISNA(VLOOKUP(A38,'Données projet'!$A$61:$I$81,7,0)),0%,VLOOKUP(A38,'Données projet'!$A$61:$I$81,7,0))</f>
        <v>0.15</v>
      </c>
      <c r="AU38" s="23">
        <f>EXP(-LN(2)/35)*AU37+(1-EXP(-LN(2)/35))/(LN(2)/35)*AQ38*AR38*VLOOKUP('Données projet'!$B$10,Paramètres!$A$1:$I$89,3,0)*0.475*44/12</f>
        <v>9.2381581057413982</v>
      </c>
      <c r="AV38" s="23">
        <f>EXP(-LN(2)/25)*AV37+(1-EXP(-LN(2)/25))/(LN(2)/25)*Calculateur!AQ38*Calculateur!AS38*VLOOKUP('Données projet'!$B$10,Paramètres!$A$1:$I$89,3,0)*0.475*44/12</f>
        <v>1.8104799071529121</v>
      </c>
      <c r="AW38" s="23">
        <f>EXP(-LN(2)/2)*AW37+(1-EXP(-LN(2)/2))/(LN(2)/2)*AQ38*AT38*VLOOKUP('Données projet'!$B$10,Paramètres!$A$1:$I$89,3,0)*0.475*44/12</f>
        <v>3.6502283178230015</v>
      </c>
      <c r="AX38" s="23">
        <f t="shared" si="6"/>
        <v>14.698866330717312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213</v>
      </c>
      <c r="BB38" s="13">
        <f>VLOOKUP(A38,'Données projet'!$A$87:$I$107,9,0)</f>
        <v>11.6</v>
      </c>
      <c r="BC38" s="13">
        <f t="array" ref="BC38">INDEX(BB:BB,MIN(IF(ISNUMBER(BB38:BB234),ROW(BB38:BB234),"")))</f>
        <v>11.6</v>
      </c>
      <c r="BD38" s="13">
        <f>IF('Données projet'!$A$88&gt;35,BD37+BC38-BL37,IF(A38&lt;'Données projet'!$A$88,$BA$205^A38,IF(A38='Données projet'!$A$88,'Données projet'!$B$88,BD37+BC38-BL37)))</f>
        <v>213.00000000000003</v>
      </c>
      <c r="BE38" s="14">
        <f>BD38*VLOOKUP('Données projet'!$B$11,Paramètres!$A$1:$I$89,3,0)*VLOOKUP('Données projet'!$B$11,Paramètres!$A$1:$I$89,5,0)</f>
        <v>166.14000000000001</v>
      </c>
      <c r="BF38" s="14">
        <f t="shared" si="37"/>
        <v>42.224359783104845</v>
      </c>
      <c r="BG38" s="22">
        <f t="shared" si="7"/>
        <v>362.90125995557429</v>
      </c>
      <c r="BH38" s="62">
        <f t="shared" si="8"/>
        <v>606.55179268014876</v>
      </c>
      <c r="BI38" s="62">
        <f ca="1">AVERAGE(OFFSET($BH$3,0,0,'Données projet'!$E$11+1,1))-AVERAGE(OFFSET($H$3,0,0,'Données projet'!$E$11+1,1))</f>
        <v>304.39782420428173</v>
      </c>
      <c r="BJ38" s="62">
        <f t="shared" si="38"/>
        <v>360.34132229290537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29</v>
      </c>
      <c r="BM38" s="17">
        <f>IF(ISNA(VLOOKUP(A38,'Données projet'!$A$87:$I$107,5,0)),0%,VLOOKUP(A38,'Données projet'!$A$87:$I$107,5,0)*VLOOKUP('Données projet'!$B$11,Paramètres!$A$1:$I$89,7,0))</f>
        <v>0.215</v>
      </c>
      <c r="BN38" s="17">
        <f>IF(ISNA(VLOOKUP(A38,'Données projet'!$A$87:$I$107,6,0)),0%,VLOOKUP(A38,'Données projet'!$A$87:$I$107,6,0)*VLOOKUP('Données projet'!$B$11,Paramètres!$A$1:$I$89,7,0))</f>
        <v>4.3000000000000003E-2</v>
      </c>
      <c r="BO38" s="17">
        <f>IF(ISNA(VLOOKUP(A38,'Données projet'!$A$87:$I$107,7,0)),0%,VLOOKUP(A38,'Données projet'!$A$87:$I$107,7,0))</f>
        <v>0.15</v>
      </c>
      <c r="BP38" s="23">
        <f>EXP(-LN(2)/35)*BP37+(1-EXP(-LN(2)/35))/(LN(2)/35)*BL38*BM38*VLOOKUP('Données projet'!$B$11,Paramètres!$A$1:$I$89,3,0)*0.475*44/12</f>
        <v>9.2381581057413982</v>
      </c>
      <c r="BQ38" s="23">
        <f>EXP(-LN(2)/25)*BQ37+(1-EXP(-LN(2)/25))/(LN(2)/25)*Calculateur!BL38*Calculateur!BN38*VLOOKUP('Données projet'!$B$11,Paramètres!$A$1:$I$89,3,0)*0.475*44/12</f>
        <v>1.8104799071529121</v>
      </c>
      <c r="BR38" s="23">
        <f>EXP(-LN(2)/2)*BR37+(1-EXP(-LN(2)/2))/(LN(2)/2)*BL38*BO38*VLOOKUP('Données projet'!$B$11,Paramètres!$A$1:$I$89,3,0)*0.475*44/12</f>
        <v>3.6502283178230015</v>
      </c>
      <c r="BS38" s="24">
        <f t="shared" si="9"/>
        <v>14.698866330717312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213</v>
      </c>
      <c r="BW38" s="13">
        <f>VLOOKUP(A38,'Données projet'!$A$113:$I$133,9,0)</f>
        <v>11.6</v>
      </c>
      <c r="BX38" s="13">
        <f t="array" ref="BX38">INDEX(BW:BW,MIN(IF(ISNUMBER(BW38:BW234),ROW(BW38:BW234),"")))</f>
        <v>11.6</v>
      </c>
      <c r="BY38" s="13">
        <f>IF('Données projet'!$A$114&gt;35,BY37+BX38-CG37,IF(A38&lt;'Données projet'!$A$114,$BV$205^A38,IF(A38='Données projet'!$A$114,'Données projet'!$B$114,BY37+BX38-CG37)))</f>
        <v>213.00000000000003</v>
      </c>
      <c r="BZ38" s="14">
        <f>BY38*VLOOKUP('Données projet'!$B$12,Paramètres!$A$1:$I$89,3,0)*VLOOKUP('Données projet'!$B$12,Paramètres!$A$1:$I$89,5,0)</f>
        <v>166.14000000000001</v>
      </c>
      <c r="CA38" s="14">
        <f t="shared" si="39"/>
        <v>42.224359783104845</v>
      </c>
      <c r="CB38" s="22">
        <f t="shared" si="10"/>
        <v>362.90125995557429</v>
      </c>
      <c r="CC38" s="62">
        <f t="shared" si="11"/>
        <v>606.55179268014876</v>
      </c>
      <c r="CD38" s="62">
        <f ca="1">AVERAGE(OFFSET($CC$3,0,0,'Données projet'!$E$12+1,1))-AVERAGE(OFFSET($H$3,0,0,'Données projet'!$E$12+1,1))</f>
        <v>304.39782420428173</v>
      </c>
      <c r="CE38" s="62">
        <f t="shared" si="40"/>
        <v>360.34132229290537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29</v>
      </c>
      <c r="CH38" s="17">
        <f>IF(ISNA(VLOOKUP(A38,'Données projet'!$A$113:$I$133,5,0)),0%,VLOOKUP(A38,'Données projet'!$A$113:$I$133,5,0)*VLOOKUP('Données projet'!$B$12,Paramètres!$A$1:$I$89,7,0))</f>
        <v>0.215</v>
      </c>
      <c r="CI38" s="17">
        <f>IF(ISNA(VLOOKUP(A38,'Données projet'!$A$113:$I$133,6,0)),0%,VLOOKUP(A38,'Données projet'!$A$113:$I$133,6,0)*VLOOKUP('Données projet'!$B$12,Paramètres!$A$1:$I$89,7,0))</f>
        <v>4.3000000000000003E-2</v>
      </c>
      <c r="CJ38" s="17">
        <f>IF(ISNA(VLOOKUP(A38,'Données projet'!$A$113:$I$133,7,0)),0%,VLOOKUP(A38,'Données projet'!$A$113:$I$133,7,0))</f>
        <v>0.15</v>
      </c>
      <c r="CK38" s="23">
        <f>EXP(-LN(2)/35)*CK37+(1-EXP(-LN(2)/35))/(LN(2)/35)*CG38*CH38*VLOOKUP('Données projet'!$B$12,Paramètres!$A$1:$I$89,3,0)*0.475*44/12</f>
        <v>9.2381581057413982</v>
      </c>
      <c r="CL38" s="23">
        <f>EXP(-LN(2)/25)*CL37+(1-EXP(-LN(2)/25))/(LN(2)/25)*Calculateur!CG38*Calculateur!CI38*VLOOKUP('Données projet'!$B$12,Paramètres!$A$1:$I$89,3,0)*0.475*44/12</f>
        <v>1.8104799071529121</v>
      </c>
      <c r="CM38" s="23">
        <f>EXP(-LN(2)/2)*CM37+(1-EXP(-LN(2)/2))/(LN(2)/2)*CG38*CJ38*VLOOKUP('Données projet'!$B$12,Paramètres!$A$1:$I$89,3,0)*0.475*44/12</f>
        <v>3.6502283178230015</v>
      </c>
      <c r="CN38" s="24">
        <f t="shared" si="12"/>
        <v>14.698866330717312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10.1875</v>
      </c>
      <c r="N39" s="14">
        <f>IF('Données projet'!$A$36&gt;35,N38+M39-V38,IF(A39&lt;'Données projet'!$A$36,$K$205^A39,IF(A39='Données projet'!$A$36,'Données projet'!$B$36,N38+M39-V38)))</f>
        <v>251.22250000000003</v>
      </c>
      <c r="O39" s="14">
        <f>N39*VLOOKUP('Données projet'!$B$9,Paramètres!$A$1:$I$89,3,0)*VLOOKUP('Données projet'!$B$9,Paramètres!$A$1:$I$89,5,0)</f>
        <v>117.57213</v>
      </c>
      <c r="P39" s="14">
        <f t="shared" si="33"/>
        <v>31.108066630384823</v>
      </c>
      <c r="Q39" s="22">
        <f t="shared" si="53"/>
        <v>258.9513424645869</v>
      </c>
      <c r="R39" s="62">
        <f t="shared" si="0"/>
        <v>503.46376070562133</v>
      </c>
      <c r="S39" s="62">
        <f ca="1">AVERAGE(OFFSET($R$3,0,0,'Données projet'!$E$9+1,1))-AVERAGE(OFFSET($H$3,0,0,'Données projet'!$E$9+1,1))</f>
        <v>234.81928430389272</v>
      </c>
      <c r="T39" s="62">
        <f t="shared" si="34"/>
        <v>294.47057757403411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6.9205770542595646</v>
      </c>
      <c r="AB39" s="23">
        <f>EXP(-LN(2)/2)*AB38+(1-EXP(-LN(2)/2))/(LN(2)/2)*V39*Y39*VLOOKUP('Données projet'!$B$9,Paramètres!$A$1:$I$89,3,0)*0.475*44/12</f>
        <v>4.5203880921029045</v>
      </c>
      <c r="AC39" s="24">
        <f t="shared" si="3"/>
        <v>11.440965146362469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11.4</v>
      </c>
      <c r="AI39" s="14">
        <f>IF('Données projet'!$A$62&gt;35,AI38+AH39-AQ38,IF(A39&lt;'Données projet'!$A$62,$AF$205^A39,IF(A39='Données projet'!$A$62,'Données projet'!$B$62,AI38+AH39-AQ38)))</f>
        <v>195.40000000000003</v>
      </c>
      <c r="AJ39" s="14">
        <f>AI39*VLOOKUP('Données projet'!$B$10,Paramètres!$A$1:$I$89,3,0)*VLOOKUP('Données projet'!$B$10,Paramètres!$A$1:$I$89,5,0)</f>
        <v>152.41200000000003</v>
      </c>
      <c r="AK39" s="14">
        <f t="shared" si="35"/>
        <v>39.126211343688098</v>
      </c>
      <c r="AL39" s="22">
        <f t="shared" si="4"/>
        <v>333.59571809025681</v>
      </c>
      <c r="AM39" s="62">
        <f t="shared" si="5"/>
        <v>578.10813633129123</v>
      </c>
      <c r="AN39" s="62">
        <f ca="1">AVERAGE(OFFSET($AM$3,0,0,'Données projet'!$E$10+1,1))-AVERAGE(OFFSET($H$3,0,0,'Données projet'!$E$10+1,1))</f>
        <v>304.39782420428173</v>
      </c>
      <c r="AO39" s="62">
        <f t="shared" si="36"/>
        <v>360.34132229290537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9.0570034600078717</v>
      </c>
      <c r="AV39" s="23">
        <f>EXP(-LN(2)/25)*AV38+(1-EXP(-LN(2)/25))/(LN(2)/25)*Calculateur!AQ39*Calculateur!AS39*VLOOKUP('Données projet'!$B$10,Paramètres!$A$1:$I$89,3,0)*0.475*44/12</f>
        <v>1.7609722388828153</v>
      </c>
      <c r="AW39" s="23">
        <f>EXP(-LN(2)/2)*AW38+(1-EXP(-LN(2)/2))/(LN(2)/2)*AQ39*AT39*VLOOKUP('Données projet'!$B$10,Paramètres!$A$1:$I$89,3,0)*0.475*44/12</f>
        <v>2.5811011964118089</v>
      </c>
      <c r="AX39" s="23">
        <f t="shared" si="6"/>
        <v>13.399076895302496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11.4</v>
      </c>
      <c r="BD39" s="13">
        <f>IF('Données projet'!$A$88&gt;35,BD38+BC39-BL38,IF(A39&lt;'Données projet'!$A$88,$BA$205^A39,IF(A39='Données projet'!$A$88,'Données projet'!$B$88,BD38+BC39-BL38)))</f>
        <v>195.40000000000003</v>
      </c>
      <c r="BE39" s="14">
        <f>BD39*VLOOKUP('Données projet'!$B$11,Paramètres!$A$1:$I$89,3,0)*VLOOKUP('Données projet'!$B$11,Paramètres!$A$1:$I$89,5,0)</f>
        <v>152.41200000000003</v>
      </c>
      <c r="BF39" s="14">
        <f t="shared" si="37"/>
        <v>39.126211343688098</v>
      </c>
      <c r="BG39" s="22">
        <f t="shared" si="7"/>
        <v>333.59571809025681</v>
      </c>
      <c r="BH39" s="62">
        <f t="shared" si="8"/>
        <v>578.10813633129123</v>
      </c>
      <c r="BI39" s="62">
        <f ca="1">AVERAGE(OFFSET($BH$3,0,0,'Données projet'!$E$11+1,1))-AVERAGE(OFFSET($H$3,0,0,'Données projet'!$E$11+1,1))</f>
        <v>304.39782420428173</v>
      </c>
      <c r="BJ39" s="62">
        <f t="shared" si="38"/>
        <v>360.34132229290537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9.0570034600078717</v>
      </c>
      <c r="BQ39" s="23">
        <f>EXP(-LN(2)/25)*BQ38+(1-EXP(-LN(2)/25))/(LN(2)/25)*Calculateur!BL39*Calculateur!BN39*VLOOKUP('Données projet'!$B$11,Paramètres!$A$1:$I$89,3,0)*0.475*44/12</f>
        <v>1.7609722388828153</v>
      </c>
      <c r="BR39" s="23">
        <f>EXP(-LN(2)/2)*BR38+(1-EXP(-LN(2)/2))/(LN(2)/2)*BL39*BO39*VLOOKUP('Données projet'!$B$11,Paramètres!$A$1:$I$89,3,0)*0.475*44/12</f>
        <v>2.5811011964118089</v>
      </c>
      <c r="BS39" s="24">
        <f t="shared" si="9"/>
        <v>13.399076895302496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11.4</v>
      </c>
      <c r="BY39" s="13">
        <f>IF('Données projet'!$A$114&gt;35,BY38+BX39-CG38,IF(A39&lt;'Données projet'!$A$114,$BV$205^A39,IF(A39='Données projet'!$A$114,'Données projet'!$B$114,BY38+BX39-CG38)))</f>
        <v>195.40000000000003</v>
      </c>
      <c r="BZ39" s="14">
        <f>BY39*VLOOKUP('Données projet'!$B$12,Paramètres!$A$1:$I$89,3,0)*VLOOKUP('Données projet'!$B$12,Paramètres!$A$1:$I$89,5,0)</f>
        <v>152.41200000000003</v>
      </c>
      <c r="CA39" s="14">
        <f t="shared" si="39"/>
        <v>39.126211343688098</v>
      </c>
      <c r="CB39" s="22">
        <f t="shared" si="10"/>
        <v>333.59571809025681</v>
      </c>
      <c r="CC39" s="62">
        <f t="shared" si="11"/>
        <v>578.10813633129123</v>
      </c>
      <c r="CD39" s="62">
        <f ca="1">AVERAGE(OFFSET($CC$3,0,0,'Données projet'!$E$12+1,1))-AVERAGE(OFFSET($H$3,0,0,'Données projet'!$E$12+1,1))</f>
        <v>304.39782420428173</v>
      </c>
      <c r="CE39" s="62">
        <f t="shared" si="40"/>
        <v>360.34132229290537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9.0570034600078717</v>
      </c>
      <c r="CL39" s="23">
        <f>EXP(-LN(2)/25)*CL38+(1-EXP(-LN(2)/25))/(LN(2)/25)*Calculateur!CG39*Calculateur!CI39*VLOOKUP('Données projet'!$B$12,Paramètres!$A$1:$I$89,3,0)*0.475*44/12</f>
        <v>1.7609722388828153</v>
      </c>
      <c r="CM39" s="23">
        <f>EXP(-LN(2)/2)*CM38+(1-EXP(-LN(2)/2))/(LN(2)/2)*CG39*CJ39*VLOOKUP('Données projet'!$B$12,Paramètres!$A$1:$I$89,3,0)*0.475*44/12</f>
        <v>2.5811011964118089</v>
      </c>
      <c r="CN39" s="24">
        <f t="shared" si="12"/>
        <v>13.399076895302496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10.1875</v>
      </c>
      <c r="N40" s="14">
        <f>IF('Données projet'!$A$36&gt;35,N39+M40-V39,IF(A40&lt;'Données projet'!$A$36,$K$205^A40,IF(A40='Données projet'!$A$36,'Données projet'!$B$36,N39+M40-V39)))</f>
        <v>261.41000000000003</v>
      </c>
      <c r="O40" s="14">
        <f>N40*VLOOKUP('Données projet'!$B$9,Paramètres!$A$1:$I$89,3,0)*VLOOKUP('Données projet'!$B$9,Paramètres!$A$1:$I$89,5,0)</f>
        <v>122.33988000000001</v>
      </c>
      <c r="P40" s="14">
        <f t="shared" si="33"/>
        <v>32.22012300014292</v>
      </c>
      <c r="Q40" s="22">
        <f t="shared" si="53"/>
        <v>269.19200522524892</v>
      </c>
      <c r="R40" s="62">
        <f t="shared" si="0"/>
        <v>514.55135719591999</v>
      </c>
      <c r="S40" s="62">
        <f ca="1">AVERAGE(OFFSET($R$3,0,0,'Données projet'!$E$9+1,1))-AVERAGE(OFFSET($H$3,0,0,'Données projet'!$E$9+1,1))</f>
        <v>234.81928430389272</v>
      </c>
      <c r="T40" s="62">
        <f t="shared" si="34"/>
        <v>294.47057757403411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6.7313335107735064</v>
      </c>
      <c r="AB40" s="23">
        <f>EXP(-LN(2)/2)*AB39+(1-EXP(-LN(2)/2))/(LN(2)/2)*V40*Y40*VLOOKUP('Données projet'!$B$9,Paramètres!$A$1:$I$89,3,0)*0.475*44/12</f>
        <v>3.1963970735208838</v>
      </c>
      <c r="AC40" s="24">
        <f t="shared" si="3"/>
        <v>9.927730584294391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11.4</v>
      </c>
      <c r="AI40" s="14">
        <f>IF('Données projet'!$A$62&gt;35,AI39+AH40-AQ39,IF(A40&lt;'Données projet'!$A$62,$AF$205^A40,IF(A40='Données projet'!$A$62,'Données projet'!$B$62,AI39+AH40-AQ39)))</f>
        <v>206.80000000000004</v>
      </c>
      <c r="AJ40" s="14">
        <f>AI40*VLOOKUP('Données projet'!$B$10,Paramètres!$A$1:$I$89,3,0)*VLOOKUP('Données projet'!$B$10,Paramètres!$A$1:$I$89,5,0)</f>
        <v>161.30400000000003</v>
      </c>
      <c r="AK40" s="14">
        <f t="shared" si="35"/>
        <v>41.136497157560399</v>
      </c>
      <c r="AL40" s="22">
        <f t="shared" si="4"/>
        <v>352.58386588275107</v>
      </c>
      <c r="AM40" s="62">
        <f t="shared" si="5"/>
        <v>597.9432178534222</v>
      </c>
      <c r="AN40" s="62">
        <f ca="1">AVERAGE(OFFSET($AM$3,0,0,'Données projet'!$E$10+1,1))-AVERAGE(OFFSET($H$3,0,0,'Données projet'!$E$10+1,1))</f>
        <v>304.39782420428173</v>
      </c>
      <c r="AO40" s="62">
        <f t="shared" si="36"/>
        <v>360.34132229290537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8.8794011463837563</v>
      </c>
      <c r="AV40" s="23">
        <f>EXP(-LN(2)/25)*AV39+(1-EXP(-LN(2)/25))/(LN(2)/25)*Calculateur!AQ40*Calculateur!AS40*VLOOKUP('Données projet'!$B$10,Paramètres!$A$1:$I$89,3,0)*0.475*44/12</f>
        <v>1.7128183604050595</v>
      </c>
      <c r="AW40" s="23">
        <f>EXP(-LN(2)/2)*AW39+(1-EXP(-LN(2)/2))/(LN(2)/2)*AQ40*AT40*VLOOKUP('Données projet'!$B$10,Paramètres!$A$1:$I$89,3,0)*0.475*44/12</f>
        <v>1.8251141589115012</v>
      </c>
      <c r="AX40" s="23">
        <f t="shared" si="6"/>
        <v>12.417333665700317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11.4</v>
      </c>
      <c r="BD40" s="13">
        <f>IF('Données projet'!$A$88&gt;35,BD39+BC40-BL39,IF(A40&lt;'Données projet'!$A$88,$BA$205^A40,IF(A40='Données projet'!$A$88,'Données projet'!$B$88,BD39+BC40-BL39)))</f>
        <v>206.80000000000004</v>
      </c>
      <c r="BE40" s="14">
        <f>BD40*VLOOKUP('Données projet'!$B$11,Paramètres!$A$1:$I$89,3,0)*VLOOKUP('Données projet'!$B$11,Paramètres!$A$1:$I$89,5,0)</f>
        <v>161.30400000000003</v>
      </c>
      <c r="BF40" s="14">
        <f t="shared" si="37"/>
        <v>41.136497157560399</v>
      </c>
      <c r="BG40" s="22">
        <f t="shared" si="7"/>
        <v>352.58386588275107</v>
      </c>
      <c r="BH40" s="62">
        <f t="shared" si="8"/>
        <v>597.9432178534222</v>
      </c>
      <c r="BI40" s="62">
        <f ca="1">AVERAGE(OFFSET($BH$3,0,0,'Données projet'!$E$11+1,1))-AVERAGE(OFFSET($H$3,0,0,'Données projet'!$E$11+1,1))</f>
        <v>304.39782420428173</v>
      </c>
      <c r="BJ40" s="62">
        <f t="shared" si="38"/>
        <v>360.34132229290537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8.8794011463837563</v>
      </c>
      <c r="BQ40" s="23">
        <f>EXP(-LN(2)/25)*BQ39+(1-EXP(-LN(2)/25))/(LN(2)/25)*Calculateur!BL40*Calculateur!BN40*VLOOKUP('Données projet'!$B$11,Paramètres!$A$1:$I$89,3,0)*0.475*44/12</f>
        <v>1.7128183604050595</v>
      </c>
      <c r="BR40" s="23">
        <f>EXP(-LN(2)/2)*BR39+(1-EXP(-LN(2)/2))/(LN(2)/2)*BL40*BO40*VLOOKUP('Données projet'!$B$11,Paramètres!$A$1:$I$89,3,0)*0.475*44/12</f>
        <v>1.8251141589115012</v>
      </c>
      <c r="BS40" s="24">
        <f t="shared" si="9"/>
        <v>12.417333665700317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11.4</v>
      </c>
      <c r="BY40" s="13">
        <f>IF('Données projet'!$A$114&gt;35,BY39+BX40-CG39,IF(A40&lt;'Données projet'!$A$114,$BV$205^A40,IF(A40='Données projet'!$A$114,'Données projet'!$B$114,BY39+BX40-CG39)))</f>
        <v>206.80000000000004</v>
      </c>
      <c r="BZ40" s="14">
        <f>BY40*VLOOKUP('Données projet'!$B$12,Paramètres!$A$1:$I$89,3,0)*VLOOKUP('Données projet'!$B$12,Paramètres!$A$1:$I$89,5,0)</f>
        <v>161.30400000000003</v>
      </c>
      <c r="CA40" s="14">
        <f t="shared" si="39"/>
        <v>41.136497157560399</v>
      </c>
      <c r="CB40" s="22">
        <f t="shared" si="10"/>
        <v>352.58386588275107</v>
      </c>
      <c r="CC40" s="62">
        <f t="shared" si="11"/>
        <v>597.9432178534222</v>
      </c>
      <c r="CD40" s="62">
        <f ca="1">AVERAGE(OFFSET($CC$3,0,0,'Données projet'!$E$12+1,1))-AVERAGE(OFFSET($H$3,0,0,'Données projet'!$E$12+1,1))</f>
        <v>304.39782420428173</v>
      </c>
      <c r="CE40" s="62">
        <f t="shared" si="40"/>
        <v>360.34132229290537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8.8794011463837563</v>
      </c>
      <c r="CL40" s="23">
        <f>EXP(-LN(2)/25)*CL39+(1-EXP(-LN(2)/25))/(LN(2)/25)*Calculateur!CG40*Calculateur!CI40*VLOOKUP('Données projet'!$B$12,Paramètres!$A$1:$I$89,3,0)*0.475*44/12</f>
        <v>1.7128183604050595</v>
      </c>
      <c r="CM40" s="23">
        <f>EXP(-LN(2)/2)*CM39+(1-EXP(-LN(2)/2))/(LN(2)/2)*CG40*CJ40*VLOOKUP('Données projet'!$B$12,Paramètres!$A$1:$I$89,3,0)*0.475*44/12</f>
        <v>1.8251141589115012</v>
      </c>
      <c r="CN40" s="24">
        <f t="shared" si="12"/>
        <v>12.417333665700317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10.1875</v>
      </c>
      <c r="N41" s="14">
        <f>IF('Données projet'!$A$36&gt;35,N40+M41-V40,IF(A41&lt;'Données projet'!$A$36,$K$205^A41,IF(A41='Données projet'!$A$36,'Données projet'!$B$36,N40+M41-V40)))</f>
        <v>271.59750000000003</v>
      </c>
      <c r="O41" s="14">
        <f>N41*VLOOKUP('Données projet'!$B$9,Paramètres!$A$1:$I$89,3,0)*VLOOKUP('Données projet'!$B$9,Paramètres!$A$1:$I$89,5,0)</f>
        <v>127.10763000000001</v>
      </c>
      <c r="P41" s="14">
        <f t="shared" si="33"/>
        <v>33.327144866175374</v>
      </c>
      <c r="Q41" s="22">
        <f t="shared" si="53"/>
        <v>279.42389955858874</v>
      </c>
      <c r="R41" s="62">
        <f t="shared" si="0"/>
        <v>525.61549285214744</v>
      </c>
      <c r="S41" s="62">
        <f ca="1">AVERAGE(OFFSET($R$3,0,0,'Données projet'!$E$9+1,1))-AVERAGE(OFFSET($H$3,0,0,'Données projet'!$E$9+1,1))</f>
        <v>234.81928430389272</v>
      </c>
      <c r="T41" s="62">
        <f t="shared" si="34"/>
        <v>294.47057757403411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6.5472648419359603</v>
      </c>
      <c r="AB41" s="23">
        <f>EXP(-LN(2)/2)*AB40+(1-EXP(-LN(2)/2))/(LN(2)/2)*V41*Y41*VLOOKUP('Données projet'!$B$9,Paramètres!$A$1:$I$89,3,0)*0.475*44/12</f>
        <v>2.2601940460514527</v>
      </c>
      <c r="AC41" s="24">
        <f t="shared" si="3"/>
        <v>8.8074588879874121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11.4</v>
      </c>
      <c r="AI41" s="14">
        <f>IF('Données projet'!$A$62&gt;35,AI40+AH41-AQ40,IF(A41&lt;'Données projet'!$A$62,$AF$205^A41,IF(A41='Données projet'!$A$62,'Données projet'!$B$62,AI40+AH41-AQ40)))</f>
        <v>218.20000000000005</v>
      </c>
      <c r="AJ41" s="14">
        <f>AI41*VLOOKUP('Données projet'!$B$10,Paramètres!$A$1:$I$89,3,0)*VLOOKUP('Données projet'!$B$10,Paramètres!$A$1:$I$89,5,0)</f>
        <v>170.19600000000005</v>
      </c>
      <c r="AK41" s="14">
        <f t="shared" si="35"/>
        <v>43.13391812093576</v>
      </c>
      <c r="AL41" s="22">
        <f t="shared" si="4"/>
        <v>371.54960739396319</v>
      </c>
      <c r="AM41" s="62">
        <f t="shared" si="5"/>
        <v>617.74120068752188</v>
      </c>
      <c r="AN41" s="62">
        <f ca="1">AVERAGE(OFFSET($AM$3,0,0,'Données projet'!$E$10+1,1))-AVERAGE(OFFSET($H$3,0,0,'Données projet'!$E$10+1,1))</f>
        <v>304.39782420428173</v>
      </c>
      <c r="AO41" s="62">
        <f t="shared" si="36"/>
        <v>360.34132229290537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8.7052815058030948</v>
      </c>
      <c r="AV41" s="23">
        <f>EXP(-LN(2)/25)*AV40+(1-EXP(-LN(2)/25))/(LN(2)/25)*Calculateur!AQ41*Calculateur!AS41*VLOOKUP('Données projet'!$B$10,Paramètres!$A$1:$I$89,3,0)*0.475*44/12</f>
        <v>1.6659812522665802</v>
      </c>
      <c r="AW41" s="23">
        <f>EXP(-LN(2)/2)*AW40+(1-EXP(-LN(2)/2))/(LN(2)/2)*AQ41*AT41*VLOOKUP('Données projet'!$B$10,Paramètres!$A$1:$I$89,3,0)*0.475*44/12</f>
        <v>1.2905505982059047</v>
      </c>
      <c r="AX41" s="23">
        <f t="shared" si="6"/>
        <v>11.661813356275578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11.4</v>
      </c>
      <c r="BD41" s="13">
        <f>IF('Données projet'!$A$88&gt;35,BD40+BC41-BL40,IF(A41&lt;'Données projet'!$A$88,$BA$205^A41,IF(A41='Données projet'!$A$88,'Données projet'!$B$88,BD40+BC41-BL40)))</f>
        <v>218.20000000000005</v>
      </c>
      <c r="BE41" s="14">
        <f>BD41*VLOOKUP('Données projet'!$B$11,Paramètres!$A$1:$I$89,3,0)*VLOOKUP('Données projet'!$B$11,Paramètres!$A$1:$I$89,5,0)</f>
        <v>170.19600000000005</v>
      </c>
      <c r="BF41" s="14">
        <f t="shared" si="37"/>
        <v>43.13391812093576</v>
      </c>
      <c r="BG41" s="22">
        <f t="shared" si="7"/>
        <v>371.54960739396319</v>
      </c>
      <c r="BH41" s="62">
        <f t="shared" si="8"/>
        <v>617.74120068752188</v>
      </c>
      <c r="BI41" s="62">
        <f ca="1">AVERAGE(OFFSET($BH$3,0,0,'Données projet'!$E$11+1,1))-AVERAGE(OFFSET($H$3,0,0,'Données projet'!$E$11+1,1))</f>
        <v>304.39782420428173</v>
      </c>
      <c r="BJ41" s="62">
        <f t="shared" si="38"/>
        <v>360.34132229290537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8.7052815058030948</v>
      </c>
      <c r="BQ41" s="23">
        <f>EXP(-LN(2)/25)*BQ40+(1-EXP(-LN(2)/25))/(LN(2)/25)*Calculateur!BL41*Calculateur!BN41*VLOOKUP('Données projet'!$B$11,Paramètres!$A$1:$I$89,3,0)*0.475*44/12</f>
        <v>1.6659812522665802</v>
      </c>
      <c r="BR41" s="23">
        <f>EXP(-LN(2)/2)*BR40+(1-EXP(-LN(2)/2))/(LN(2)/2)*BL41*BO41*VLOOKUP('Données projet'!$B$11,Paramètres!$A$1:$I$89,3,0)*0.475*44/12</f>
        <v>1.2905505982059047</v>
      </c>
      <c r="BS41" s="24">
        <f t="shared" si="9"/>
        <v>11.661813356275578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11.4</v>
      </c>
      <c r="BY41" s="13">
        <f>IF('Données projet'!$A$114&gt;35,BY40+BX41-CG40,IF(A41&lt;'Données projet'!$A$114,$BV$205^A41,IF(A41='Données projet'!$A$114,'Données projet'!$B$114,BY40+BX41-CG40)))</f>
        <v>218.20000000000005</v>
      </c>
      <c r="BZ41" s="14">
        <f>BY41*VLOOKUP('Données projet'!$B$12,Paramètres!$A$1:$I$89,3,0)*VLOOKUP('Données projet'!$B$12,Paramètres!$A$1:$I$89,5,0)</f>
        <v>170.19600000000005</v>
      </c>
      <c r="CA41" s="14">
        <f t="shared" si="39"/>
        <v>43.13391812093576</v>
      </c>
      <c r="CB41" s="22">
        <f t="shared" si="10"/>
        <v>371.54960739396319</v>
      </c>
      <c r="CC41" s="62">
        <f t="shared" si="11"/>
        <v>617.74120068752188</v>
      </c>
      <c r="CD41" s="62">
        <f ca="1">AVERAGE(OFFSET($CC$3,0,0,'Données projet'!$E$12+1,1))-AVERAGE(OFFSET($H$3,0,0,'Données projet'!$E$12+1,1))</f>
        <v>304.39782420428173</v>
      </c>
      <c r="CE41" s="62">
        <f t="shared" si="40"/>
        <v>360.34132229290537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8.7052815058030948</v>
      </c>
      <c r="CL41" s="23">
        <f>EXP(-LN(2)/25)*CL40+(1-EXP(-LN(2)/25))/(LN(2)/25)*Calculateur!CG41*Calculateur!CI41*VLOOKUP('Données projet'!$B$12,Paramètres!$A$1:$I$89,3,0)*0.475*44/12</f>
        <v>1.6659812522665802</v>
      </c>
      <c r="CM41" s="23">
        <f>EXP(-LN(2)/2)*CM40+(1-EXP(-LN(2)/2))/(LN(2)/2)*CG41*CJ41*VLOOKUP('Données projet'!$B$12,Paramètres!$A$1:$I$89,3,0)*0.475*44/12</f>
        <v>1.2905505982059047</v>
      </c>
      <c r="CN41" s="24">
        <f t="shared" si="12"/>
        <v>11.661813356275578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10.1875</v>
      </c>
      <c r="N42" s="14">
        <f>IF('Données projet'!$A$36&gt;35,N41+M42-V41,IF(A42&lt;'Données projet'!$A$36,$K$205^A42,IF(A42='Données projet'!$A$36,'Données projet'!$B$36,N41+M42-V41)))</f>
        <v>281.78500000000003</v>
      </c>
      <c r="O42" s="14">
        <f>N42*VLOOKUP('Données projet'!$B$9,Paramètres!$A$1:$I$89,3,0)*VLOOKUP('Données projet'!$B$9,Paramètres!$A$1:$I$89,5,0)</f>
        <v>131.87538000000001</v>
      </c>
      <c r="P42" s="14">
        <f t="shared" si="33"/>
        <v>34.429342692535762</v>
      </c>
      <c r="Q42" s="22">
        <f t="shared" si="53"/>
        <v>289.64739202283312</v>
      </c>
      <c r="R42" s="62">
        <f t="shared" si="0"/>
        <v>536.65678911294026</v>
      </c>
      <c r="S42" s="62">
        <f ca="1">AVERAGE(OFFSET($R$3,0,0,'Données projet'!$E$9+1,1))-AVERAGE(OFFSET($H$3,0,0,'Données projet'!$E$9+1,1))</f>
        <v>234.81928430389272</v>
      </c>
      <c r="T42" s="62">
        <f t="shared" si="34"/>
        <v>294.47057757403411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6.3682295405275271</v>
      </c>
      <c r="AB42" s="23">
        <f>EXP(-LN(2)/2)*AB41+(1-EXP(-LN(2)/2))/(LN(2)/2)*V42*Y42*VLOOKUP('Données projet'!$B$9,Paramètres!$A$1:$I$89,3,0)*0.475*44/12</f>
        <v>1.5981985367604421</v>
      </c>
      <c r="AC42" s="24">
        <f t="shared" si="3"/>
        <v>7.9664280772879694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11.4</v>
      </c>
      <c r="AI42" s="14">
        <f>IF('Données projet'!$A$62&gt;35,AI41+AH42-AQ41,IF(A42&lt;'Données projet'!$A$62,$AF$205^A42,IF(A42='Données projet'!$A$62,'Données projet'!$B$62,AI41+AH42-AQ41)))</f>
        <v>229.60000000000005</v>
      </c>
      <c r="AJ42" s="14">
        <f>AI42*VLOOKUP('Données projet'!$B$10,Paramètres!$A$1:$I$89,3,0)*VLOOKUP('Données projet'!$B$10,Paramètres!$A$1:$I$89,5,0)</f>
        <v>179.08800000000005</v>
      </c>
      <c r="AK42" s="14">
        <f t="shared" si="35"/>
        <v>45.119223023956835</v>
      </c>
      <c r="AL42" s="22">
        <f t="shared" si="4"/>
        <v>390.49424676672493</v>
      </c>
      <c r="AM42" s="62">
        <f t="shared" si="5"/>
        <v>637.50364385683201</v>
      </c>
      <c r="AN42" s="62">
        <f ca="1">AVERAGE(OFFSET($AM$3,0,0,'Données projet'!$E$10+1,1))-AVERAGE(OFFSET($H$3,0,0,'Données projet'!$E$10+1,1))</f>
        <v>304.39782420428173</v>
      </c>
      <c r="AO42" s="62">
        <f t="shared" si="36"/>
        <v>360.34132229290537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8.534576245171726</v>
      </c>
      <c r="AV42" s="23">
        <f>EXP(-LN(2)/25)*AV41+(1-EXP(-LN(2)/25))/(LN(2)/25)*Calculateur!AQ42*Calculateur!AS42*VLOOKUP('Données projet'!$B$10,Paramètres!$A$1:$I$89,3,0)*0.475*44/12</f>
        <v>1.6204249073132042</v>
      </c>
      <c r="AW42" s="23">
        <f>EXP(-LN(2)/2)*AW41+(1-EXP(-LN(2)/2))/(LN(2)/2)*AQ42*AT42*VLOOKUP('Données projet'!$B$10,Paramètres!$A$1:$I$89,3,0)*0.475*44/12</f>
        <v>0.91255707945575071</v>
      </c>
      <c r="AX42" s="23">
        <f t="shared" si="6"/>
        <v>11.06755823194068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11.4</v>
      </c>
      <c r="BD42" s="13">
        <f>IF('Données projet'!$A$88&gt;35,BD41+BC42-BL41,IF(A42&lt;'Données projet'!$A$88,$BA$205^A42,IF(A42='Données projet'!$A$88,'Données projet'!$B$88,BD41+BC42-BL41)))</f>
        <v>229.60000000000005</v>
      </c>
      <c r="BE42" s="14">
        <f>BD42*VLOOKUP('Données projet'!$B$11,Paramètres!$A$1:$I$89,3,0)*VLOOKUP('Données projet'!$B$11,Paramètres!$A$1:$I$89,5,0)</f>
        <v>179.08800000000005</v>
      </c>
      <c r="BF42" s="14">
        <f t="shared" si="37"/>
        <v>45.119223023956835</v>
      </c>
      <c r="BG42" s="22">
        <f t="shared" si="7"/>
        <v>390.49424676672493</v>
      </c>
      <c r="BH42" s="62">
        <f t="shared" si="8"/>
        <v>637.50364385683201</v>
      </c>
      <c r="BI42" s="62">
        <f ca="1">AVERAGE(OFFSET($BH$3,0,0,'Données projet'!$E$11+1,1))-AVERAGE(OFFSET($H$3,0,0,'Données projet'!$E$11+1,1))</f>
        <v>304.39782420428173</v>
      </c>
      <c r="BJ42" s="62">
        <f t="shared" si="38"/>
        <v>360.34132229290537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8.534576245171726</v>
      </c>
      <c r="BQ42" s="23">
        <f>EXP(-LN(2)/25)*BQ41+(1-EXP(-LN(2)/25))/(LN(2)/25)*Calculateur!BL42*Calculateur!BN42*VLOOKUP('Données projet'!$B$11,Paramètres!$A$1:$I$89,3,0)*0.475*44/12</f>
        <v>1.6204249073132042</v>
      </c>
      <c r="BR42" s="23">
        <f>EXP(-LN(2)/2)*BR41+(1-EXP(-LN(2)/2))/(LN(2)/2)*BL42*BO42*VLOOKUP('Données projet'!$B$11,Paramètres!$A$1:$I$89,3,0)*0.475*44/12</f>
        <v>0.91255707945575071</v>
      </c>
      <c r="BS42" s="24">
        <f t="shared" si="9"/>
        <v>11.06755823194068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11.4</v>
      </c>
      <c r="BY42" s="13">
        <f>IF('Données projet'!$A$114&gt;35,BY41+BX42-CG41,IF(A42&lt;'Données projet'!$A$114,$BV$205^A42,IF(A42='Données projet'!$A$114,'Données projet'!$B$114,BY41+BX42-CG41)))</f>
        <v>229.60000000000005</v>
      </c>
      <c r="BZ42" s="14">
        <f>BY42*VLOOKUP('Données projet'!$B$12,Paramètres!$A$1:$I$89,3,0)*VLOOKUP('Données projet'!$B$12,Paramètres!$A$1:$I$89,5,0)</f>
        <v>179.08800000000005</v>
      </c>
      <c r="CA42" s="14">
        <f t="shared" si="39"/>
        <v>45.119223023956835</v>
      </c>
      <c r="CB42" s="22">
        <f t="shared" si="10"/>
        <v>390.49424676672493</v>
      </c>
      <c r="CC42" s="62">
        <f t="shared" si="11"/>
        <v>637.50364385683201</v>
      </c>
      <c r="CD42" s="62">
        <f ca="1">AVERAGE(OFFSET($CC$3,0,0,'Données projet'!$E$12+1,1))-AVERAGE(OFFSET($H$3,0,0,'Données projet'!$E$12+1,1))</f>
        <v>304.39782420428173</v>
      </c>
      <c r="CE42" s="62">
        <f t="shared" si="40"/>
        <v>360.34132229290537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8.534576245171726</v>
      </c>
      <c r="CL42" s="23">
        <f>EXP(-LN(2)/25)*CL41+(1-EXP(-LN(2)/25))/(LN(2)/25)*Calculateur!CG42*Calculateur!CI42*VLOOKUP('Données projet'!$B$12,Paramètres!$A$1:$I$89,3,0)*0.475*44/12</f>
        <v>1.6204249073132042</v>
      </c>
      <c r="CM42" s="23">
        <f>EXP(-LN(2)/2)*CM41+(1-EXP(-LN(2)/2))/(LN(2)/2)*CG42*CJ42*VLOOKUP('Données projet'!$B$12,Paramètres!$A$1:$I$89,3,0)*0.475*44/12</f>
        <v>0.91255707945575071</v>
      </c>
      <c r="CN42" s="24">
        <f t="shared" si="12"/>
        <v>11.06755823194068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10.1875</v>
      </c>
      <c r="N43" s="14">
        <f>IF('Données projet'!$A$36&gt;35,N42+M43-V42,IF(A43&lt;'Données projet'!$A$36,$K$205^A43,IF(A43='Données projet'!$A$36,'Données projet'!$B$36,N42+M43-V42)))</f>
        <v>291.97250000000003</v>
      </c>
      <c r="O43" s="14">
        <f>N43*VLOOKUP('Données projet'!$B$9,Paramètres!$A$1:$I$89,3,0)*VLOOKUP('Données projet'!$B$9,Paramètres!$A$1:$I$89,5,0)</f>
        <v>136.64313000000001</v>
      </c>
      <c r="P43" s="14">
        <f t="shared" si="33"/>
        <v>35.526910862739456</v>
      </c>
      <c r="Q43" s="22">
        <f t="shared" si="53"/>
        <v>299.86282116927129</v>
      </c>
      <c r="R43" s="62">
        <f t="shared" si="0"/>
        <v>547.67583498839213</v>
      </c>
      <c r="S43" s="62">
        <f ca="1">AVERAGE(OFFSET($R$3,0,0,'Données projet'!$E$9+1,1))-AVERAGE(OFFSET($H$3,0,0,'Données projet'!$E$9+1,1))</f>
        <v>234.81928430389272</v>
      </c>
      <c r="T43" s="62">
        <f t="shared" si="34"/>
        <v>294.47057757403411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6.1940899688511655</v>
      </c>
      <c r="AB43" s="23">
        <f>EXP(-LN(2)/2)*AB42+(1-EXP(-LN(2)/2))/(LN(2)/2)*V43*Y43*VLOOKUP('Données projet'!$B$9,Paramètres!$A$1:$I$89,3,0)*0.475*44/12</f>
        <v>1.1300970230257263</v>
      </c>
      <c r="AC43" s="24">
        <f t="shared" si="3"/>
        <v>7.3241869918768918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241</v>
      </c>
      <c r="AG43" s="13">
        <f>VLOOKUP(A43,'Données projet'!$A$61:$I$81,9,0)</f>
        <v>11.4</v>
      </c>
      <c r="AH43" s="13">
        <f t="array" ref="AH43">INDEX(AG:AG,MIN(IF(ISNUMBER(AG43:AG239),ROW(AG43:AG239),"")))</f>
        <v>11.4</v>
      </c>
      <c r="AI43" s="14">
        <f>IF('Données projet'!$A$62&gt;35,AI42+AH43-AQ42,IF(A43&lt;'Données projet'!$A$62,$AF$205^A43,IF(A43='Données projet'!$A$62,'Données projet'!$B$62,AI42+AH43-AQ42)))</f>
        <v>241.00000000000006</v>
      </c>
      <c r="AJ43" s="14">
        <f>AI43*VLOOKUP('Données projet'!$B$10,Paramètres!$A$1:$I$89,3,0)*VLOOKUP('Données projet'!$B$10,Paramètres!$A$1:$I$89,5,0)</f>
        <v>187.98000000000005</v>
      </c>
      <c r="AK43" s="14">
        <f t="shared" si="35"/>
        <v>47.093082099012364</v>
      </c>
      <c r="AL43" s="22">
        <f t="shared" si="4"/>
        <v>409.41895132244662</v>
      </c>
      <c r="AM43" s="62">
        <f t="shared" si="5"/>
        <v>657.23196514156746</v>
      </c>
      <c r="AN43" s="62">
        <f ca="1">AVERAGE(OFFSET($AM$3,0,0,'Données projet'!$E$10+1,1))-AVERAGE(OFFSET($H$3,0,0,'Données projet'!$E$10+1,1))</f>
        <v>304.39782420428173</v>
      </c>
      <c r="AO43" s="62">
        <f t="shared" si="36"/>
        <v>360.34132229290537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32</v>
      </c>
      <c r="AR43" s="17">
        <f>IF(ISNA(VLOOKUP(A43,'Données projet'!$A$61:$I$81,5,0)),0%,VLOOKUP(A43,'Données projet'!$A$61:$I$81,5,0)*VLOOKUP('Données projet'!$B$10,Paramètres!$A$1:$I$89,7,0))</f>
        <v>0.215</v>
      </c>
      <c r="AS43" s="17">
        <f>IF(ISNA(VLOOKUP(A43,'Données projet'!$A$61:$I$81,6,0)),0%,VLOOKUP(A43,'Données projet'!$A$61:$I$81,6,0)*VLOOKUP('Données projet'!$B$10,Paramètres!$A$1:$I$89,7,0))</f>
        <v>4.3000000000000003E-2</v>
      </c>
      <c r="AT43" s="17">
        <f>IF(ISNA(VLOOKUP(A43,'Données projet'!$A$61:$I$81,7,0)),0%,VLOOKUP(A43,'Données projet'!$A$61:$I$81,7,0))</f>
        <v>0.15</v>
      </c>
      <c r="AU43" s="23">
        <f>EXP(-LN(2)/35)*AU42+(1-EXP(-LN(2)/35))/(LN(2)/35)*AQ43*AR43*VLOOKUP('Données projet'!$B$10,Paramètres!$A$1:$I$89,3,0)*0.475*44/12</f>
        <v>14.299614655307034</v>
      </c>
      <c r="AV43" s="23">
        <f>EXP(-LN(2)/25)*AV42+(1-EXP(-LN(2)/25))/(LN(2)/25)*Calculateur!AQ43*Calculateur!AS43*VLOOKUP('Données projet'!$B$10,Paramètres!$A$1:$I$89,3,0)*0.475*44/12</f>
        <v>2.7579219310662735</v>
      </c>
      <c r="AW43" s="23">
        <f>EXP(-LN(2)/2)*AW42+(1-EXP(-LN(2)/2))/(LN(2)/2)*AQ43*AT43*VLOOKUP('Données projet'!$B$10,Paramètres!$A$1:$I$89,3,0)*0.475*44/12</f>
        <v>4.1778400673855254</v>
      </c>
      <c r="AX43" s="23">
        <f t="shared" si="6"/>
        <v>21.235376653758831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241</v>
      </c>
      <c r="BB43" s="13">
        <f>VLOOKUP(A43,'Données projet'!$A$87:$I$107,9,0)</f>
        <v>11.4</v>
      </c>
      <c r="BC43" s="13">
        <f t="array" ref="BC43">INDEX(BB:BB,MIN(IF(ISNUMBER(BB43:BB239),ROW(BB43:BB239),"")))</f>
        <v>11.4</v>
      </c>
      <c r="BD43" s="13">
        <f>IF('Données projet'!$A$88&gt;35,BD42+BC43-BL42,IF(A43&lt;'Données projet'!$A$88,$BA$205^A43,IF(A43='Données projet'!$A$88,'Données projet'!$B$88,BD42+BC43-BL42)))</f>
        <v>241.00000000000006</v>
      </c>
      <c r="BE43" s="14">
        <f>BD43*VLOOKUP('Données projet'!$B$11,Paramètres!$A$1:$I$89,3,0)*VLOOKUP('Données projet'!$B$11,Paramètres!$A$1:$I$89,5,0)</f>
        <v>187.98000000000005</v>
      </c>
      <c r="BF43" s="14">
        <f t="shared" si="37"/>
        <v>47.093082099012364</v>
      </c>
      <c r="BG43" s="22">
        <f t="shared" si="7"/>
        <v>409.41895132244662</v>
      </c>
      <c r="BH43" s="62">
        <f t="shared" si="8"/>
        <v>657.23196514156746</v>
      </c>
      <c r="BI43" s="62">
        <f ca="1">AVERAGE(OFFSET($BH$3,0,0,'Données projet'!$E$11+1,1))-AVERAGE(OFFSET($H$3,0,0,'Données projet'!$E$11+1,1))</f>
        <v>304.39782420428173</v>
      </c>
      <c r="BJ43" s="62">
        <f t="shared" si="38"/>
        <v>360.34132229290537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32</v>
      </c>
      <c r="BM43" s="17">
        <f>IF(ISNA(VLOOKUP(A43,'Données projet'!$A$87:$I$107,5,0)),0%,VLOOKUP(A43,'Données projet'!$A$87:$I$107,5,0)*VLOOKUP('Données projet'!$B$11,Paramètres!$A$1:$I$89,7,0))</f>
        <v>0.215</v>
      </c>
      <c r="BN43" s="17">
        <f>IF(ISNA(VLOOKUP(A43,'Données projet'!$A$87:$I$107,6,0)),0%,VLOOKUP(A43,'Données projet'!$A$87:$I$107,6,0)*VLOOKUP('Données projet'!$B$11,Paramètres!$A$1:$I$89,7,0))</f>
        <v>4.3000000000000003E-2</v>
      </c>
      <c r="BO43" s="17">
        <f>IF(ISNA(VLOOKUP(A43,'Données projet'!$A$87:$I$107,7,0)),0%,VLOOKUP(A43,'Données projet'!$A$87:$I$107,7,0))</f>
        <v>0.15</v>
      </c>
      <c r="BP43" s="23">
        <f>EXP(-LN(2)/35)*BP42+(1-EXP(-LN(2)/35))/(LN(2)/35)*BL43*BM43*VLOOKUP('Données projet'!$B$11,Paramètres!$A$1:$I$89,3,0)*0.475*44/12</f>
        <v>14.299614655307034</v>
      </c>
      <c r="BQ43" s="23">
        <f>EXP(-LN(2)/25)*BQ42+(1-EXP(-LN(2)/25))/(LN(2)/25)*Calculateur!BL43*Calculateur!BN43*VLOOKUP('Données projet'!$B$11,Paramètres!$A$1:$I$89,3,0)*0.475*44/12</f>
        <v>2.7579219310662735</v>
      </c>
      <c r="BR43" s="23">
        <f>EXP(-LN(2)/2)*BR42+(1-EXP(-LN(2)/2))/(LN(2)/2)*BL43*BO43*VLOOKUP('Données projet'!$B$11,Paramètres!$A$1:$I$89,3,0)*0.475*44/12</f>
        <v>4.1778400673855254</v>
      </c>
      <c r="BS43" s="24">
        <f t="shared" si="9"/>
        <v>21.235376653758831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241</v>
      </c>
      <c r="BW43" s="13">
        <f>VLOOKUP(A43,'Données projet'!$A$113:$I$133,9,0)</f>
        <v>11.4</v>
      </c>
      <c r="BX43" s="13">
        <f t="array" ref="BX43">INDEX(BW:BW,MIN(IF(ISNUMBER(BW43:BW239),ROW(BW43:BW239),"")))</f>
        <v>11.4</v>
      </c>
      <c r="BY43" s="13">
        <f>IF('Données projet'!$A$114&gt;35,BY42+BX43-CG42,IF(A43&lt;'Données projet'!$A$114,$BV$205^A43,IF(A43='Données projet'!$A$114,'Données projet'!$B$114,BY42+BX43-CG42)))</f>
        <v>241.00000000000006</v>
      </c>
      <c r="BZ43" s="14">
        <f>BY43*VLOOKUP('Données projet'!$B$12,Paramètres!$A$1:$I$89,3,0)*VLOOKUP('Données projet'!$B$12,Paramètres!$A$1:$I$89,5,0)</f>
        <v>187.98000000000005</v>
      </c>
      <c r="CA43" s="14">
        <f t="shared" si="39"/>
        <v>47.093082099012364</v>
      </c>
      <c r="CB43" s="22">
        <f t="shared" si="10"/>
        <v>409.41895132244662</v>
      </c>
      <c r="CC43" s="62">
        <f t="shared" si="11"/>
        <v>657.23196514156746</v>
      </c>
      <c r="CD43" s="62">
        <f ca="1">AVERAGE(OFFSET($CC$3,0,0,'Données projet'!$E$12+1,1))-AVERAGE(OFFSET($H$3,0,0,'Données projet'!$E$12+1,1))</f>
        <v>304.39782420428173</v>
      </c>
      <c r="CE43" s="62">
        <f t="shared" si="40"/>
        <v>360.34132229290537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32</v>
      </c>
      <c r="CH43" s="17">
        <f>IF(ISNA(VLOOKUP(A43,'Données projet'!$A$113:$I$133,5,0)),0%,VLOOKUP(A43,'Données projet'!$A$113:$I$133,5,0)*VLOOKUP('Données projet'!$B$12,Paramètres!$A$1:$I$89,7,0))</f>
        <v>0.215</v>
      </c>
      <c r="CI43" s="17">
        <f>IF(ISNA(VLOOKUP(A43,'Données projet'!$A$113:$I$133,6,0)),0%,VLOOKUP(A43,'Données projet'!$A$113:$I$133,6,0)*VLOOKUP('Données projet'!$B$12,Paramètres!$A$1:$I$89,7,0))</f>
        <v>4.3000000000000003E-2</v>
      </c>
      <c r="CJ43" s="17">
        <f>IF(ISNA(VLOOKUP(A43,'Données projet'!$A$113:$I$133,7,0)),0%,VLOOKUP(A43,'Données projet'!$A$113:$I$133,7,0))</f>
        <v>0.15</v>
      </c>
      <c r="CK43" s="23">
        <f>EXP(-LN(2)/35)*CK42+(1-EXP(-LN(2)/35))/(LN(2)/35)*CG43*CH43*VLOOKUP('Données projet'!$B$12,Paramètres!$A$1:$I$89,3,0)*0.475*44/12</f>
        <v>14.299614655307034</v>
      </c>
      <c r="CL43" s="23">
        <f>EXP(-LN(2)/25)*CL42+(1-EXP(-LN(2)/25))/(LN(2)/25)*Calculateur!CG43*Calculateur!CI43*VLOOKUP('Données projet'!$B$12,Paramètres!$A$1:$I$89,3,0)*0.475*44/12</f>
        <v>2.7579219310662735</v>
      </c>
      <c r="CM43" s="23">
        <f>EXP(-LN(2)/2)*CM42+(1-EXP(-LN(2)/2))/(LN(2)/2)*CG43*CJ43*VLOOKUP('Données projet'!$B$12,Paramètres!$A$1:$I$89,3,0)*0.475*44/12</f>
        <v>4.1778400673855254</v>
      </c>
      <c r="CN43" s="24">
        <f t="shared" si="12"/>
        <v>21.235376653758831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>
        <f>VLOOKUP(A44,'Données projet'!$A$35:$I$55,2,0)</f>
        <v>302.16000000000003</v>
      </c>
      <c r="L44" s="13">
        <f>VLOOKUP(A44,'Données projet'!$A$35:$I$55,9,0)</f>
        <v>10.1875</v>
      </c>
      <c r="M44" s="13">
        <f t="array" ref="M44">INDEX(L:L,MIN(IF(ISNUMBER(L44:L240),ROW(L44:L240),"")))</f>
        <v>10.1875</v>
      </c>
      <c r="N44" s="14">
        <f>IF('Données projet'!$A$36&gt;35,N43+M44-V43,IF(A44&lt;'Données projet'!$A$36,$K$205^A44,IF(A44='Données projet'!$A$36,'Données projet'!$B$36,N43+M44-V43)))</f>
        <v>302.16000000000003</v>
      </c>
      <c r="O44" s="14">
        <f>N44*VLOOKUP('Données projet'!$B$9,Paramètres!$A$1:$I$89,3,0)*VLOOKUP('Données projet'!$B$9,Paramètres!$A$1:$I$89,5,0)</f>
        <v>141.41088000000002</v>
      </c>
      <c r="P44" s="14">
        <f t="shared" si="33"/>
        <v>36.620029426225379</v>
      </c>
      <c r="Q44" s="22">
        <f t="shared" si="53"/>
        <v>310.07050058400927</v>
      </c>
      <c r="R44" s="62">
        <f t="shared" si="0"/>
        <v>558.67319017851321</v>
      </c>
      <c r="S44" s="62">
        <f ca="1">AVERAGE(OFFSET($R$3,0,0,'Données projet'!$E$9+1,1))-AVERAGE(OFFSET($H$3,0,0,'Données projet'!$E$9+1,1))</f>
        <v>234.81928430389272</v>
      </c>
      <c r="T44" s="62">
        <f t="shared" si="34"/>
        <v>294.47057757403411</v>
      </c>
      <c r="U44" s="16">
        <f>IF(ISNA(VLOOKUP(A44,'Données projet'!$A$35:$I$55,3,0)),0,VLOOKUP(A44,'Données projet'!$A$35:$I$55,3,0))</f>
        <v>3</v>
      </c>
      <c r="V44" s="16">
        <f>IF(ISNA(VLOOKUP(A44,'Données projet'!$A$35:$I$55,4,0)),0,VLOOKUP(A44,'Données projet'!$A$35:$I$55,4,0))</f>
        <v>60.43</v>
      </c>
      <c r="W44" s="17">
        <f>IF(ISNA(VLOOKUP(A44,'Données projet'!$A$35:$I$55,5,0)),0%,VLOOKUP(A44,'Données projet'!$A$35:$I$55,5,0)*VLOOKUP('Données projet'!$B$9,Paramètres!$A$1:$I$89,7,0))</f>
        <v>0.27500000000000002</v>
      </c>
      <c r="X44" s="17">
        <f>IF(ISNA(VLOOKUP(A44,'Données projet'!$A$35:$I$55,6,0)),0%,VLOOKUP(A44,'Données projet'!$A$35:$I$55,6,0)*VLOOKUP('Données projet'!$B$9,Paramètres!$A$1:$I$89,7,0))</f>
        <v>0.11000000000000001</v>
      </c>
      <c r="Y44" s="17">
        <f>IF(ISNA(VLOOKUP(A44,'Données projet'!$A$35:$I$55,7,0)),0%,VLOOKUP(A44,'Données projet'!$A$35:$I$55,7,0))</f>
        <v>0.3</v>
      </c>
      <c r="Z44" s="23">
        <f>EXP(-LN(2)/35)*Z43+(1-EXP(-LN(2)/35))/(LN(2)/35)*V44*W44*VLOOKUP('Données projet'!$B$9,Paramètres!$A$1:$I$89,3,0)*0.475*44/12</f>
        <v>10.317144128432609</v>
      </c>
      <c r="AA44" s="23">
        <f>EXP(-LN(2)/25)*AA43+(1-EXP(-LN(2)/25))/(LN(2)/25)*Calculateur!V44*Calculateur!X44*VLOOKUP('Données projet'!$B$9,Paramètres!$A$1:$I$89,3,0)*0.475*44/12</f>
        <v>10.13532089326344</v>
      </c>
      <c r="AB44" s="23">
        <f>EXP(-LN(2)/2)*AB43+(1-EXP(-LN(2)/2))/(LN(2)/2)*V44*Y44*VLOOKUP('Données projet'!$B$9,Paramètres!$A$1:$I$89,3,0)*0.475*44/12</f>
        <v>10.405379271009437</v>
      </c>
      <c r="AC44" s="24">
        <f t="shared" si="3"/>
        <v>30.857844292705487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10.8</v>
      </c>
      <c r="AI44" s="14">
        <f>IF('Données projet'!$A$62&gt;35,AI43+AH44-AQ43,IF(A44&lt;'Données projet'!$A$62,$AF$205^A44,IF(A44='Données projet'!$A$62,'Données projet'!$B$62,AI43+AH44-AQ43)))</f>
        <v>219.80000000000007</v>
      </c>
      <c r="AJ44" s="14">
        <f>AI44*VLOOKUP('Données projet'!$B$10,Paramètres!$A$1:$I$89,3,0)*VLOOKUP('Données projet'!$B$10,Paramètres!$A$1:$I$89,5,0)</f>
        <v>171.44400000000005</v>
      </c>
      <c r="AK44" s="14">
        <f t="shared" si="35"/>
        <v>43.413272173627242</v>
      </c>
      <c r="AL44" s="22">
        <f t="shared" si="4"/>
        <v>374.20974903573415</v>
      </c>
      <c r="AM44" s="62">
        <f t="shared" si="5"/>
        <v>622.81243863023815</v>
      </c>
      <c r="AN44" s="62">
        <f ca="1">AVERAGE(OFFSET($AM$3,0,0,'Données projet'!$E$10+1,1))-AVERAGE(OFFSET($H$3,0,0,'Données projet'!$E$10+1,1))</f>
        <v>304.39782420428173</v>
      </c>
      <c r="AO44" s="62">
        <f t="shared" si="36"/>
        <v>360.34132229290537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14.019207933820185</v>
      </c>
      <c r="AV44" s="23">
        <f>EXP(-LN(2)/25)*AV43+(1-EXP(-LN(2)/25))/(LN(2)/25)*Calculateur!AQ44*Calculateur!AS44*VLOOKUP('Données projet'!$B$10,Paramètres!$A$1:$I$89,3,0)*0.475*44/12</f>
        <v>2.6825064108284553</v>
      </c>
      <c r="AW44" s="23">
        <f>EXP(-LN(2)/2)*AW43+(1-EXP(-LN(2)/2))/(LN(2)/2)*AQ44*AT44*VLOOKUP('Données projet'!$B$10,Paramètres!$A$1:$I$89,3,0)*0.475*44/12</f>
        <v>2.9541790423611678</v>
      </c>
      <c r="AX44" s="23">
        <f t="shared" si="6"/>
        <v>19.655893387009808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10.8</v>
      </c>
      <c r="BD44" s="13">
        <f>IF('Données projet'!$A$88&gt;35,BD43+BC44-BL43,IF(A44&lt;'Données projet'!$A$88,$BA$205^A44,IF(A44='Données projet'!$A$88,'Données projet'!$B$88,BD43+BC44-BL43)))</f>
        <v>219.80000000000007</v>
      </c>
      <c r="BE44" s="14">
        <f>BD44*VLOOKUP('Données projet'!$B$11,Paramètres!$A$1:$I$89,3,0)*VLOOKUP('Données projet'!$B$11,Paramètres!$A$1:$I$89,5,0)</f>
        <v>171.44400000000005</v>
      </c>
      <c r="BF44" s="14">
        <f t="shared" si="37"/>
        <v>43.413272173627242</v>
      </c>
      <c r="BG44" s="22">
        <f t="shared" si="7"/>
        <v>374.20974903573415</v>
      </c>
      <c r="BH44" s="62">
        <f t="shared" si="8"/>
        <v>622.81243863023815</v>
      </c>
      <c r="BI44" s="62">
        <f ca="1">AVERAGE(OFFSET($BH$3,0,0,'Données projet'!$E$11+1,1))-AVERAGE(OFFSET($H$3,0,0,'Données projet'!$E$11+1,1))</f>
        <v>304.39782420428173</v>
      </c>
      <c r="BJ44" s="62">
        <f t="shared" si="38"/>
        <v>360.34132229290537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14.019207933820185</v>
      </c>
      <c r="BQ44" s="23">
        <f>EXP(-LN(2)/25)*BQ43+(1-EXP(-LN(2)/25))/(LN(2)/25)*Calculateur!BL44*Calculateur!BN44*VLOOKUP('Données projet'!$B$11,Paramètres!$A$1:$I$89,3,0)*0.475*44/12</f>
        <v>2.6825064108284553</v>
      </c>
      <c r="BR44" s="23">
        <f>EXP(-LN(2)/2)*BR43+(1-EXP(-LN(2)/2))/(LN(2)/2)*BL44*BO44*VLOOKUP('Données projet'!$B$11,Paramètres!$A$1:$I$89,3,0)*0.475*44/12</f>
        <v>2.9541790423611678</v>
      </c>
      <c r="BS44" s="24">
        <f t="shared" si="9"/>
        <v>19.655893387009808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10.8</v>
      </c>
      <c r="BY44" s="13">
        <f>IF('Données projet'!$A$114&gt;35,BY43+BX44-CG43,IF(A44&lt;'Données projet'!$A$114,$BV$205^A44,IF(A44='Données projet'!$A$114,'Données projet'!$B$114,BY43+BX44-CG43)))</f>
        <v>219.80000000000007</v>
      </c>
      <c r="BZ44" s="14">
        <f>BY44*VLOOKUP('Données projet'!$B$12,Paramètres!$A$1:$I$89,3,0)*VLOOKUP('Données projet'!$B$12,Paramètres!$A$1:$I$89,5,0)</f>
        <v>171.44400000000005</v>
      </c>
      <c r="CA44" s="14">
        <f t="shared" si="39"/>
        <v>43.413272173627242</v>
      </c>
      <c r="CB44" s="22">
        <f t="shared" si="10"/>
        <v>374.20974903573415</v>
      </c>
      <c r="CC44" s="62">
        <f t="shared" si="11"/>
        <v>622.81243863023815</v>
      </c>
      <c r="CD44" s="62">
        <f ca="1">AVERAGE(OFFSET($CC$3,0,0,'Données projet'!$E$12+1,1))-AVERAGE(OFFSET($H$3,0,0,'Données projet'!$E$12+1,1))</f>
        <v>304.39782420428173</v>
      </c>
      <c r="CE44" s="62">
        <f t="shared" si="40"/>
        <v>360.34132229290537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14.019207933820185</v>
      </c>
      <c r="CL44" s="23">
        <f>EXP(-LN(2)/25)*CL43+(1-EXP(-LN(2)/25))/(LN(2)/25)*Calculateur!CG44*Calculateur!CI44*VLOOKUP('Données projet'!$B$12,Paramètres!$A$1:$I$89,3,0)*0.475*44/12</f>
        <v>2.6825064108284553</v>
      </c>
      <c r="CM44" s="23">
        <f>EXP(-LN(2)/2)*CM43+(1-EXP(-LN(2)/2))/(LN(2)/2)*CG44*CJ44*VLOOKUP('Données projet'!$B$12,Paramètres!$A$1:$I$89,3,0)*0.475*44/12</f>
        <v>2.9541790423611678</v>
      </c>
      <c r="CN44" s="24">
        <f t="shared" si="12"/>
        <v>19.655893387009808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11.863636363636363</v>
      </c>
      <c r="N45" s="14">
        <f>IF('Données projet'!$A$36&gt;35,N44+M45-V44,IF(A45&lt;'Données projet'!$A$36,$K$205^A45,IF(A45='Données projet'!$A$36,'Données projet'!$B$36,N44+M45-V44)))</f>
        <v>253.59363636363639</v>
      </c>
      <c r="O45" s="14">
        <f>N45*VLOOKUP('Données projet'!$B$9,Paramètres!$A$1:$I$89,3,0)*VLOOKUP('Données projet'!$B$9,Paramètres!$A$1:$I$89,5,0)</f>
        <v>118.68182181818185</v>
      </c>
      <c r="P45" s="14">
        <f t="shared" si="33"/>
        <v>31.367358518357648</v>
      </c>
      <c r="Q45" s="22">
        <f t="shared" si="53"/>
        <v>261.3356557528063</v>
      </c>
      <c r="R45" s="62">
        <f t="shared" si="0"/>
        <v>510.71432201344101</v>
      </c>
      <c r="S45" s="62">
        <f ca="1">AVERAGE(OFFSET($R$3,0,0,'Données projet'!$E$9+1,1))-AVERAGE(OFFSET($H$3,0,0,'Données projet'!$E$9+1,1))</f>
        <v>234.81928430389272</v>
      </c>
      <c r="T45" s="62">
        <f t="shared" si="34"/>
        <v>294.47057757403411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10.114831224910597</v>
      </c>
      <c r="AA45" s="23">
        <f>EXP(-LN(2)/25)*AA44+(1-EXP(-LN(2)/25))/(LN(2)/25)*Calculateur!V45*Calculateur!X45*VLOOKUP('Données projet'!$B$9,Paramètres!$A$1:$I$89,3,0)*0.475*44/12</f>
        <v>9.858170010443791</v>
      </c>
      <c r="AB45" s="23">
        <f>EXP(-LN(2)/2)*AB44+(1-EXP(-LN(2)/2))/(LN(2)/2)*V45*Y45*VLOOKUP('Données projet'!$B$9,Paramètres!$A$1:$I$89,3,0)*0.475*44/12</f>
        <v>7.3577142433487079</v>
      </c>
      <c r="AC45" s="24">
        <f t="shared" si="3"/>
        <v>27.330715478703098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10.8</v>
      </c>
      <c r="AI45" s="14">
        <f>IF('Données projet'!$A$62&gt;35,AI44+AH45-AQ44,IF(A45&lt;'Données projet'!$A$62,$AF$205^A45,IF(A45='Données projet'!$A$62,'Données projet'!$B$62,AI44+AH45-AQ44)))</f>
        <v>230.60000000000008</v>
      </c>
      <c r="AJ45" s="14">
        <f>AI45*VLOOKUP('Données projet'!$B$10,Paramètres!$A$1:$I$89,3,0)*VLOOKUP('Données projet'!$B$10,Paramètres!$A$1:$I$89,5,0)</f>
        <v>179.86800000000008</v>
      </c>
      <c r="AK45" s="14">
        <f t="shared" si="35"/>
        <v>45.292817344769716</v>
      </c>
      <c r="AL45" s="22">
        <f t="shared" si="4"/>
        <v>392.15509020880739</v>
      </c>
      <c r="AM45" s="62">
        <f t="shared" si="5"/>
        <v>641.5337564694421</v>
      </c>
      <c r="AN45" s="62">
        <f ca="1">AVERAGE(OFFSET($AM$3,0,0,'Données projet'!$E$10+1,1))-AVERAGE(OFFSET($H$3,0,0,'Données projet'!$E$10+1,1))</f>
        <v>304.39782420428173</v>
      </c>
      <c r="AO45" s="62">
        <f t="shared" si="36"/>
        <v>360.34132229290537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13.744299817110482</v>
      </c>
      <c r="AV45" s="23">
        <f>EXP(-LN(2)/25)*AV44+(1-EXP(-LN(2)/25))/(LN(2)/25)*Calculateur!AQ45*Calculateur!AS45*VLOOKUP('Données projet'!$B$10,Paramètres!$A$1:$I$89,3,0)*0.475*44/12</f>
        <v>2.6091531319574699</v>
      </c>
      <c r="AW45" s="23">
        <f>EXP(-LN(2)/2)*AW44+(1-EXP(-LN(2)/2))/(LN(2)/2)*AQ45*AT45*VLOOKUP('Données projet'!$B$10,Paramètres!$A$1:$I$89,3,0)*0.475*44/12</f>
        <v>2.0889200336927631</v>
      </c>
      <c r="AX45" s="23">
        <f t="shared" si="6"/>
        <v>18.442372982760713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10.8</v>
      </c>
      <c r="BD45" s="13">
        <f>IF('Données projet'!$A$88&gt;35,BD44+BC45-BL44,IF(A45&lt;'Données projet'!$A$88,$BA$205^A45,IF(A45='Données projet'!$A$88,'Données projet'!$B$88,BD44+BC45-BL44)))</f>
        <v>230.60000000000008</v>
      </c>
      <c r="BE45" s="14">
        <f>BD45*VLOOKUP('Données projet'!$B$11,Paramètres!$A$1:$I$89,3,0)*VLOOKUP('Données projet'!$B$11,Paramètres!$A$1:$I$89,5,0)</f>
        <v>179.86800000000008</v>
      </c>
      <c r="BF45" s="14">
        <f t="shared" si="37"/>
        <v>45.292817344769716</v>
      </c>
      <c r="BG45" s="22">
        <f t="shared" si="7"/>
        <v>392.15509020880739</v>
      </c>
      <c r="BH45" s="62">
        <f t="shared" si="8"/>
        <v>641.5337564694421</v>
      </c>
      <c r="BI45" s="62">
        <f ca="1">AVERAGE(OFFSET($BH$3,0,0,'Données projet'!$E$11+1,1))-AVERAGE(OFFSET($H$3,0,0,'Données projet'!$E$11+1,1))</f>
        <v>304.39782420428173</v>
      </c>
      <c r="BJ45" s="62">
        <f t="shared" si="38"/>
        <v>360.34132229290537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13.744299817110482</v>
      </c>
      <c r="BQ45" s="23">
        <f>EXP(-LN(2)/25)*BQ44+(1-EXP(-LN(2)/25))/(LN(2)/25)*Calculateur!BL45*Calculateur!BN45*VLOOKUP('Données projet'!$B$11,Paramètres!$A$1:$I$89,3,0)*0.475*44/12</f>
        <v>2.6091531319574699</v>
      </c>
      <c r="BR45" s="23">
        <f>EXP(-LN(2)/2)*BR44+(1-EXP(-LN(2)/2))/(LN(2)/2)*BL45*BO45*VLOOKUP('Données projet'!$B$11,Paramètres!$A$1:$I$89,3,0)*0.475*44/12</f>
        <v>2.0889200336927631</v>
      </c>
      <c r="BS45" s="24">
        <f t="shared" si="9"/>
        <v>18.442372982760713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10.8</v>
      </c>
      <c r="BY45" s="13">
        <f>IF('Données projet'!$A$114&gt;35,BY44+BX45-CG44,IF(A45&lt;'Données projet'!$A$114,$BV$205^A45,IF(A45='Données projet'!$A$114,'Données projet'!$B$114,BY44+BX45-CG44)))</f>
        <v>230.60000000000008</v>
      </c>
      <c r="BZ45" s="14">
        <f>BY45*VLOOKUP('Données projet'!$B$12,Paramètres!$A$1:$I$89,3,0)*VLOOKUP('Données projet'!$B$12,Paramètres!$A$1:$I$89,5,0)</f>
        <v>179.86800000000008</v>
      </c>
      <c r="CA45" s="14">
        <f t="shared" si="39"/>
        <v>45.292817344769716</v>
      </c>
      <c r="CB45" s="22">
        <f t="shared" si="10"/>
        <v>392.15509020880739</v>
      </c>
      <c r="CC45" s="62">
        <f t="shared" si="11"/>
        <v>641.5337564694421</v>
      </c>
      <c r="CD45" s="62">
        <f ca="1">AVERAGE(OFFSET($CC$3,0,0,'Données projet'!$E$12+1,1))-AVERAGE(OFFSET($H$3,0,0,'Données projet'!$E$12+1,1))</f>
        <v>304.39782420428173</v>
      </c>
      <c r="CE45" s="62">
        <f t="shared" si="40"/>
        <v>360.34132229290537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13.744299817110482</v>
      </c>
      <c r="CL45" s="23">
        <f>EXP(-LN(2)/25)*CL44+(1-EXP(-LN(2)/25))/(LN(2)/25)*Calculateur!CG45*Calculateur!CI45*VLOOKUP('Données projet'!$B$12,Paramètres!$A$1:$I$89,3,0)*0.475*44/12</f>
        <v>2.6091531319574699</v>
      </c>
      <c r="CM45" s="23">
        <f>EXP(-LN(2)/2)*CM44+(1-EXP(-LN(2)/2))/(LN(2)/2)*CG45*CJ45*VLOOKUP('Données projet'!$B$12,Paramètres!$A$1:$I$89,3,0)*0.475*44/12</f>
        <v>2.0889200336927631</v>
      </c>
      <c r="CN45" s="24">
        <f t="shared" si="12"/>
        <v>18.442372982760713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11.863636363636363</v>
      </c>
      <c r="N46" s="14">
        <f>IF('Données projet'!$A$36&gt;35,N45+M46-V45,IF(A46&lt;'Données projet'!$A$36,$K$205^A46,IF(A46='Données projet'!$A$36,'Données projet'!$B$36,N45+M46-V45)))</f>
        <v>265.45727272727277</v>
      </c>
      <c r="O46" s="14">
        <f>N46*VLOOKUP('Données projet'!$B$9,Paramètres!$A$1:$I$89,3,0)*VLOOKUP('Données projet'!$B$9,Paramètres!$A$1:$I$89,5,0)</f>
        <v>124.23400363636365</v>
      </c>
      <c r="P46" s="14">
        <f t="shared" si="33"/>
        <v>32.660509404168003</v>
      </c>
      <c r="Q46" s="22">
        <f t="shared" si="53"/>
        <v>273.25794354559258</v>
      </c>
      <c r="R46" s="62">
        <f t="shared" si="0"/>
        <v>523.39912501202457</v>
      </c>
      <c r="S46" s="62">
        <f ca="1">AVERAGE(OFFSET($R$3,0,0,'Données projet'!$E$9+1,1))-AVERAGE(OFFSET($H$3,0,0,'Données projet'!$E$9+1,1))</f>
        <v>234.81928430389272</v>
      </c>
      <c r="T46" s="62">
        <f t="shared" si="34"/>
        <v>294.47057757403411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9.9164855540279664</v>
      </c>
      <c r="AA46" s="23">
        <f>EXP(-LN(2)/25)*AA45+(1-EXP(-LN(2)/25))/(LN(2)/25)*Calculateur!V46*Calculateur!X46*VLOOKUP('Données projet'!$B$9,Paramètres!$A$1:$I$89,3,0)*0.475*44/12</f>
        <v>9.588597833089576</v>
      </c>
      <c r="AB46" s="23">
        <f>EXP(-LN(2)/2)*AB45+(1-EXP(-LN(2)/2))/(LN(2)/2)*V46*Y46*VLOOKUP('Données projet'!$B$9,Paramètres!$A$1:$I$89,3,0)*0.475*44/12</f>
        <v>5.2026896355047194</v>
      </c>
      <c r="AC46" s="24">
        <f t="shared" si="3"/>
        <v>24.707773022622263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10.8</v>
      </c>
      <c r="AI46" s="14">
        <f>IF('Données projet'!$A$62&gt;35,AI45+AH46-AQ45,IF(A46&lt;'Données projet'!$A$62,$AF$205^A46,IF(A46='Données projet'!$A$62,'Données projet'!$B$62,AI45+AH46-AQ45)))</f>
        <v>241.40000000000009</v>
      </c>
      <c r="AJ46" s="14">
        <f>AI46*VLOOKUP('Données projet'!$B$10,Paramètres!$A$1:$I$89,3,0)*VLOOKUP('Données projet'!$B$10,Paramètres!$A$1:$I$89,5,0)</f>
        <v>188.29200000000009</v>
      </c>
      <c r="AK46" s="14">
        <f t="shared" si="35"/>
        <v>47.162140074549271</v>
      </c>
      <c r="AL46" s="22">
        <f t="shared" si="4"/>
        <v>410.0826272965067</v>
      </c>
      <c r="AM46" s="62">
        <f t="shared" si="5"/>
        <v>660.22380876293869</v>
      </c>
      <c r="AN46" s="62">
        <f ca="1">AVERAGE(OFFSET($AM$3,0,0,'Données projet'!$E$10+1,1))-AVERAGE(OFFSET($H$3,0,0,'Données projet'!$E$10+1,1))</f>
        <v>304.39782420428173</v>
      </c>
      <c r="AO46" s="62">
        <f t="shared" si="36"/>
        <v>360.34132229290537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13.474782480892062</v>
      </c>
      <c r="AV46" s="23">
        <f>EXP(-LN(2)/25)*AV45+(1-EXP(-LN(2)/25))/(LN(2)/25)*Calculateur!AQ46*Calculateur!AS46*VLOOKUP('Données projet'!$B$10,Paramètres!$A$1:$I$89,3,0)*0.475*44/12</f>
        <v>2.5378057023546932</v>
      </c>
      <c r="AW46" s="23">
        <f>EXP(-LN(2)/2)*AW45+(1-EXP(-LN(2)/2))/(LN(2)/2)*AQ46*AT46*VLOOKUP('Données projet'!$B$10,Paramètres!$A$1:$I$89,3,0)*0.475*44/12</f>
        <v>1.4770895211805843</v>
      </c>
      <c r="AX46" s="23">
        <f t="shared" si="6"/>
        <v>17.48967770442734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10.8</v>
      </c>
      <c r="BD46" s="13">
        <f>IF('Données projet'!$A$88&gt;35,BD45+BC46-BL45,IF(A46&lt;'Données projet'!$A$88,$BA$205^A46,IF(A46='Données projet'!$A$88,'Données projet'!$B$88,BD45+BC46-BL45)))</f>
        <v>241.40000000000009</v>
      </c>
      <c r="BE46" s="14">
        <f>BD46*VLOOKUP('Données projet'!$B$11,Paramètres!$A$1:$I$89,3,0)*VLOOKUP('Données projet'!$B$11,Paramètres!$A$1:$I$89,5,0)</f>
        <v>188.29200000000009</v>
      </c>
      <c r="BF46" s="14">
        <f t="shared" si="37"/>
        <v>47.162140074549271</v>
      </c>
      <c r="BG46" s="22">
        <f t="shared" si="7"/>
        <v>410.0826272965067</v>
      </c>
      <c r="BH46" s="62">
        <f t="shared" si="8"/>
        <v>660.22380876293869</v>
      </c>
      <c r="BI46" s="62">
        <f ca="1">AVERAGE(OFFSET($BH$3,0,0,'Données projet'!$E$11+1,1))-AVERAGE(OFFSET($H$3,0,0,'Données projet'!$E$11+1,1))</f>
        <v>304.39782420428173</v>
      </c>
      <c r="BJ46" s="62">
        <f t="shared" si="38"/>
        <v>360.34132229290537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13.474782480892062</v>
      </c>
      <c r="BQ46" s="23">
        <f>EXP(-LN(2)/25)*BQ45+(1-EXP(-LN(2)/25))/(LN(2)/25)*Calculateur!BL46*Calculateur!BN46*VLOOKUP('Données projet'!$B$11,Paramètres!$A$1:$I$89,3,0)*0.475*44/12</f>
        <v>2.5378057023546932</v>
      </c>
      <c r="BR46" s="23">
        <f>EXP(-LN(2)/2)*BR45+(1-EXP(-LN(2)/2))/(LN(2)/2)*BL46*BO46*VLOOKUP('Données projet'!$B$11,Paramètres!$A$1:$I$89,3,0)*0.475*44/12</f>
        <v>1.4770895211805843</v>
      </c>
      <c r="BS46" s="24">
        <f t="shared" si="9"/>
        <v>17.48967770442734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10.8</v>
      </c>
      <c r="BY46" s="13">
        <f>IF('Données projet'!$A$114&gt;35,BY45+BX46-CG45,IF(A46&lt;'Données projet'!$A$114,$BV$205^A46,IF(A46='Données projet'!$A$114,'Données projet'!$B$114,BY45+BX46-CG45)))</f>
        <v>241.40000000000009</v>
      </c>
      <c r="BZ46" s="14">
        <f>BY46*VLOOKUP('Données projet'!$B$12,Paramètres!$A$1:$I$89,3,0)*VLOOKUP('Données projet'!$B$12,Paramètres!$A$1:$I$89,5,0)</f>
        <v>188.29200000000009</v>
      </c>
      <c r="CA46" s="14">
        <f t="shared" si="39"/>
        <v>47.162140074549271</v>
      </c>
      <c r="CB46" s="22">
        <f t="shared" si="10"/>
        <v>410.0826272965067</v>
      </c>
      <c r="CC46" s="62">
        <f t="shared" si="11"/>
        <v>660.22380876293869</v>
      </c>
      <c r="CD46" s="62">
        <f ca="1">AVERAGE(OFFSET($CC$3,0,0,'Données projet'!$E$12+1,1))-AVERAGE(OFFSET($H$3,0,0,'Données projet'!$E$12+1,1))</f>
        <v>304.39782420428173</v>
      </c>
      <c r="CE46" s="62">
        <f t="shared" si="40"/>
        <v>360.34132229290537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13.474782480892062</v>
      </c>
      <c r="CL46" s="23">
        <f>EXP(-LN(2)/25)*CL45+(1-EXP(-LN(2)/25))/(LN(2)/25)*Calculateur!CG46*Calculateur!CI46*VLOOKUP('Données projet'!$B$12,Paramètres!$A$1:$I$89,3,0)*0.475*44/12</f>
        <v>2.5378057023546932</v>
      </c>
      <c r="CM46" s="23">
        <f>EXP(-LN(2)/2)*CM45+(1-EXP(-LN(2)/2))/(LN(2)/2)*CG46*CJ46*VLOOKUP('Données projet'!$B$12,Paramètres!$A$1:$I$89,3,0)*0.475*44/12</f>
        <v>1.4770895211805843</v>
      </c>
      <c r="CN46" s="24">
        <f t="shared" si="12"/>
        <v>17.48967770442734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11.863636363636363</v>
      </c>
      <c r="N47" s="14">
        <f>IF('Données projet'!$A$36&gt;35,N46+M47-V46,IF(A47&lt;'Données projet'!$A$36,$K$205^A47,IF(A47='Données projet'!$A$36,'Données projet'!$B$36,N46+M47-V46)))</f>
        <v>277.32090909090914</v>
      </c>
      <c r="O47" s="14">
        <f>N47*VLOOKUP('Données projet'!$B$9,Paramètres!$A$1:$I$89,3,0)*VLOOKUP('Données projet'!$B$9,Paramètres!$A$1:$I$89,5,0)</f>
        <v>129.78618545454549</v>
      </c>
      <c r="P47" s="14">
        <f t="shared" si="33"/>
        <v>33.946948336425564</v>
      </c>
      <c r="Q47" s="22">
        <f t="shared" si="53"/>
        <v>285.16854135260792</v>
      </c>
      <c r="R47" s="62">
        <f t="shared" si="0"/>
        <v>536.05901009074535</v>
      </c>
      <c r="S47" s="62">
        <f ca="1">AVERAGE(OFFSET($R$3,0,0,'Données projet'!$E$9+1,1))-AVERAGE(OFFSET($H$3,0,0,'Données projet'!$E$9+1,1))</f>
        <v>234.81928430389272</v>
      </c>
      <c r="T47" s="62">
        <f t="shared" si="34"/>
        <v>294.47057757403411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9.72202932077243</v>
      </c>
      <c r="AA47" s="23">
        <f>EXP(-LN(2)/25)*AA46+(1-EXP(-LN(2)/25))/(LN(2)/25)*Calculateur!V47*Calculateur!X47*VLOOKUP('Données projet'!$B$9,Paramètres!$A$1:$I$89,3,0)*0.475*44/12</f>
        <v>9.3263971211012962</v>
      </c>
      <c r="AB47" s="23">
        <f>EXP(-LN(2)/2)*AB46+(1-EXP(-LN(2)/2))/(LN(2)/2)*V47*Y47*VLOOKUP('Données projet'!$B$9,Paramètres!$A$1:$I$89,3,0)*0.475*44/12</f>
        <v>3.6788571216743544</v>
      </c>
      <c r="AC47" s="24">
        <f t="shared" si="3"/>
        <v>22.727283563548081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10.8</v>
      </c>
      <c r="AI47" s="14">
        <f>IF('Données projet'!$A$62&gt;35,AI46+AH47-AQ46,IF(A47&lt;'Données projet'!$A$62,$AF$205^A47,IF(A47='Données projet'!$A$62,'Données projet'!$B$62,AI46+AH47-AQ46)))</f>
        <v>252.2000000000001</v>
      </c>
      <c r="AJ47" s="14">
        <f>AI47*VLOOKUP('Données projet'!$B$10,Paramètres!$A$1:$I$89,3,0)*VLOOKUP('Données projet'!$B$10,Paramètres!$A$1:$I$89,5,0)</f>
        <v>196.71600000000009</v>
      </c>
      <c r="AK47" s="14">
        <f t="shared" si="35"/>
        <v>49.021749959730052</v>
      </c>
      <c r="AL47" s="22">
        <f t="shared" si="4"/>
        <v>427.99324784652998</v>
      </c>
      <c r="AM47" s="62">
        <f t="shared" si="5"/>
        <v>678.88371658466735</v>
      </c>
      <c r="AN47" s="62">
        <f ca="1">AVERAGE(OFFSET($AM$3,0,0,'Données projet'!$E$10+1,1))-AVERAGE(OFFSET($H$3,0,0,'Données projet'!$E$10+1,1))</f>
        <v>304.39782420428173</v>
      </c>
      <c r="AO47" s="62">
        <f t="shared" si="36"/>
        <v>360.34132229290537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13.210550215247542</v>
      </c>
      <c r="AV47" s="23">
        <f>EXP(-LN(2)/25)*AV46+(1-EXP(-LN(2)/25))/(LN(2)/25)*Calculateur!AQ47*Calculateur!AS47*VLOOKUP('Données projet'!$B$10,Paramètres!$A$1:$I$89,3,0)*0.475*44/12</f>
        <v>2.4684092719664026</v>
      </c>
      <c r="AW47" s="23">
        <f>EXP(-LN(2)/2)*AW46+(1-EXP(-LN(2)/2))/(LN(2)/2)*AQ47*AT47*VLOOKUP('Données projet'!$B$10,Paramètres!$A$1:$I$89,3,0)*0.475*44/12</f>
        <v>1.0444600168463818</v>
      </c>
      <c r="AX47" s="23">
        <f t="shared" si="6"/>
        <v>16.723419504060328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10.8</v>
      </c>
      <c r="BD47" s="13">
        <f>IF('Données projet'!$A$88&gt;35,BD46+BC47-BL46,IF(A47&lt;'Données projet'!$A$88,$BA$205^A47,IF(A47='Données projet'!$A$88,'Données projet'!$B$88,BD46+BC47-BL46)))</f>
        <v>252.2000000000001</v>
      </c>
      <c r="BE47" s="14">
        <f>BD47*VLOOKUP('Données projet'!$B$11,Paramètres!$A$1:$I$89,3,0)*VLOOKUP('Données projet'!$B$11,Paramètres!$A$1:$I$89,5,0)</f>
        <v>196.71600000000009</v>
      </c>
      <c r="BF47" s="14">
        <f t="shared" si="37"/>
        <v>49.021749959730052</v>
      </c>
      <c r="BG47" s="22">
        <f t="shared" si="7"/>
        <v>427.99324784652998</v>
      </c>
      <c r="BH47" s="62">
        <f t="shared" si="8"/>
        <v>678.88371658466735</v>
      </c>
      <c r="BI47" s="62">
        <f ca="1">AVERAGE(OFFSET($BH$3,0,0,'Données projet'!$E$11+1,1))-AVERAGE(OFFSET($H$3,0,0,'Données projet'!$E$11+1,1))</f>
        <v>304.39782420428173</v>
      </c>
      <c r="BJ47" s="62">
        <f t="shared" si="38"/>
        <v>360.34132229290537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13.210550215247542</v>
      </c>
      <c r="BQ47" s="23">
        <f>EXP(-LN(2)/25)*BQ46+(1-EXP(-LN(2)/25))/(LN(2)/25)*Calculateur!BL47*Calculateur!BN47*VLOOKUP('Données projet'!$B$11,Paramètres!$A$1:$I$89,3,0)*0.475*44/12</f>
        <v>2.4684092719664026</v>
      </c>
      <c r="BR47" s="23">
        <f>EXP(-LN(2)/2)*BR46+(1-EXP(-LN(2)/2))/(LN(2)/2)*BL47*BO47*VLOOKUP('Données projet'!$B$11,Paramètres!$A$1:$I$89,3,0)*0.475*44/12</f>
        <v>1.0444600168463818</v>
      </c>
      <c r="BS47" s="24">
        <f t="shared" si="9"/>
        <v>16.723419504060328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10.8</v>
      </c>
      <c r="BY47" s="13">
        <f>IF('Données projet'!$A$114&gt;35,BY46+BX47-CG46,IF(A47&lt;'Données projet'!$A$114,$BV$205^A47,IF(A47='Données projet'!$A$114,'Données projet'!$B$114,BY46+BX47-CG46)))</f>
        <v>252.2000000000001</v>
      </c>
      <c r="BZ47" s="14">
        <f>BY47*VLOOKUP('Données projet'!$B$12,Paramètres!$A$1:$I$89,3,0)*VLOOKUP('Données projet'!$B$12,Paramètres!$A$1:$I$89,5,0)</f>
        <v>196.71600000000009</v>
      </c>
      <c r="CA47" s="14">
        <f t="shared" si="39"/>
        <v>49.021749959730052</v>
      </c>
      <c r="CB47" s="22">
        <f t="shared" si="10"/>
        <v>427.99324784652998</v>
      </c>
      <c r="CC47" s="62">
        <f t="shared" si="11"/>
        <v>678.88371658466735</v>
      </c>
      <c r="CD47" s="62">
        <f ca="1">AVERAGE(OFFSET($CC$3,0,0,'Données projet'!$E$12+1,1))-AVERAGE(OFFSET($H$3,0,0,'Données projet'!$E$12+1,1))</f>
        <v>304.39782420428173</v>
      </c>
      <c r="CE47" s="62">
        <f t="shared" si="40"/>
        <v>360.34132229290537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13.210550215247542</v>
      </c>
      <c r="CL47" s="23">
        <f>EXP(-LN(2)/25)*CL46+(1-EXP(-LN(2)/25))/(LN(2)/25)*Calculateur!CG47*Calculateur!CI47*VLOOKUP('Données projet'!$B$12,Paramètres!$A$1:$I$89,3,0)*0.475*44/12</f>
        <v>2.4684092719664026</v>
      </c>
      <c r="CM47" s="23">
        <f>EXP(-LN(2)/2)*CM46+(1-EXP(-LN(2)/2))/(LN(2)/2)*CG47*CJ47*VLOOKUP('Données projet'!$B$12,Paramètres!$A$1:$I$89,3,0)*0.475*44/12</f>
        <v>1.0444600168463818</v>
      </c>
      <c r="CN47" s="24">
        <f t="shared" si="12"/>
        <v>16.723419504060328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11.863636363636363</v>
      </c>
      <c r="N48" s="14">
        <f>IF('Données projet'!$A$36&gt;35,N47+M48-V47,IF(A48&lt;'Données projet'!$A$36,$K$205^A48,IF(A48='Données projet'!$A$36,'Données projet'!$B$36,N47+M48-V47)))</f>
        <v>289.18454545454551</v>
      </c>
      <c r="O48" s="14">
        <f>N48*VLOOKUP('Données projet'!$B$9,Paramètres!$A$1:$I$89,3,0)*VLOOKUP('Données projet'!$B$9,Paramètres!$A$1:$I$89,5,0)</f>
        <v>135.33836727272728</v>
      </c>
      <c r="P48" s="14">
        <f t="shared" si="33"/>
        <v>35.226995273551132</v>
      </c>
      <c r="Q48" s="22">
        <f t="shared" si="53"/>
        <v>297.06800643476817</v>
      </c>
      <c r="R48" s="62">
        <f t="shared" si="0"/>
        <v>548.69476398560232</v>
      </c>
      <c r="S48" s="62">
        <f ca="1">AVERAGE(OFFSET($R$3,0,0,'Données projet'!$E$9+1,1))-AVERAGE(OFFSET($H$3,0,0,'Données projet'!$E$9+1,1))</f>
        <v>234.81928430389272</v>
      </c>
      <c r="T48" s="62">
        <f t="shared" si="34"/>
        <v>294.47057757403411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9.5313862556444438</v>
      </c>
      <c r="AA48" s="23">
        <f>EXP(-LN(2)/25)*AA47+(1-EXP(-LN(2)/25))/(LN(2)/25)*Calculateur!V48*Calculateur!X48*VLOOKUP('Données projet'!$B$9,Paramètres!$A$1:$I$89,3,0)*0.475*44/12</f>
        <v>9.0713663013708725</v>
      </c>
      <c r="AB48" s="23">
        <f>EXP(-LN(2)/2)*AB47+(1-EXP(-LN(2)/2))/(LN(2)/2)*V48*Y48*VLOOKUP('Données projet'!$B$9,Paramètres!$A$1:$I$89,3,0)*0.475*44/12</f>
        <v>2.6013448177523602</v>
      </c>
      <c r="AC48" s="24">
        <f t="shared" si="3"/>
        <v>21.204097374767674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263</v>
      </c>
      <c r="AG48" s="13">
        <f>VLOOKUP(A48,'Données projet'!$A$61:$I$81,9,0)</f>
        <v>10.8</v>
      </c>
      <c r="AH48" s="13">
        <f t="array" ref="AH48">INDEX(AG:AG,MIN(IF(ISNUMBER(AG48:AG244),ROW(AG48:AG244),"")))</f>
        <v>10.8</v>
      </c>
      <c r="AI48" s="14">
        <f>IF('Données projet'!$A$62&gt;35,AI47+AH48-AQ47,IF(A48&lt;'Données projet'!$A$62,$AF$205^A48,IF(A48='Données projet'!$A$62,'Données projet'!$B$62,AI47+AH48-AQ47)))</f>
        <v>263.00000000000011</v>
      </c>
      <c r="AJ48" s="14">
        <f>AI48*VLOOKUP('Données projet'!$B$10,Paramètres!$A$1:$I$89,3,0)*VLOOKUP('Données projet'!$B$10,Paramètres!$A$1:$I$89,5,0)</f>
        <v>205.1400000000001</v>
      </c>
      <c r="AK48" s="14">
        <f t="shared" si="35"/>
        <v>50.872110483472362</v>
      </c>
      <c r="AL48" s="22">
        <f t="shared" si="4"/>
        <v>445.88775909204782</v>
      </c>
      <c r="AM48" s="62">
        <f t="shared" si="5"/>
        <v>697.51451664288197</v>
      </c>
      <c r="AN48" s="62">
        <f ca="1">AVERAGE(OFFSET($AM$3,0,0,'Données projet'!$E$10+1,1))-AVERAGE(OFFSET($H$3,0,0,'Données projet'!$E$10+1,1))</f>
        <v>304.39782420428173</v>
      </c>
      <c r="AO48" s="62">
        <f t="shared" si="36"/>
        <v>360.34132229290537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36</v>
      </c>
      <c r="AR48" s="17">
        <f>IF(ISNA(VLOOKUP(A48,'Données projet'!$A$61:$I$81,5,0)),0%,VLOOKUP(A48,'Données projet'!$A$61:$I$81,5,0)*VLOOKUP('Données projet'!$B$10,Paramètres!$A$1:$I$89,7,0))</f>
        <v>0.215</v>
      </c>
      <c r="AS48" s="17">
        <f>IF(ISNA(VLOOKUP(A48,'Données projet'!$A$61:$I$81,6,0)),0%,VLOOKUP(A48,'Données projet'!$A$61:$I$81,6,0)*VLOOKUP('Données projet'!$B$10,Paramètres!$A$1:$I$89,7,0))</f>
        <v>4.3000000000000003E-2</v>
      </c>
      <c r="AT48" s="17">
        <f>IF(ISNA(VLOOKUP(A48,'Données projet'!$A$61:$I$81,7,0)),0%,VLOOKUP(A48,'Données projet'!$A$61:$I$81,7,0))</f>
        <v>0.15</v>
      </c>
      <c r="AU48" s="23">
        <f>EXP(-LN(2)/35)*AU47+(1-EXP(-LN(2)/35))/(LN(2)/35)*AQ48*AR48*VLOOKUP('Données projet'!$B$10,Paramètres!$A$1:$I$89,3,0)*0.475*44/12</f>
        <v>19.625445158482869</v>
      </c>
      <c r="AV48" s="23">
        <f>EXP(-LN(2)/25)*AV47+(1-EXP(-LN(2)/25))/(LN(2)/25)*Calculateur!AQ48*Calculateur!AS48*VLOOKUP('Données projet'!$B$10,Paramètres!$A$1:$I$89,3,0)*0.475*44/12</f>
        <v>3.7304440721817196</v>
      </c>
      <c r="AW48" s="23">
        <f>EXP(-LN(2)/2)*AW47+(1-EXP(-LN(2)/2))/(LN(2)/2)*AQ48*AT48*VLOOKUP('Données projet'!$B$10,Paramètres!$A$1:$I$89,3,0)*0.475*44/12</f>
        <v>4.7126801249081876</v>
      </c>
      <c r="AX48" s="23">
        <f t="shared" si="6"/>
        <v>28.068569355572777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263</v>
      </c>
      <c r="BB48" s="13">
        <f>VLOOKUP(A48,'Données projet'!$A$87:$I$107,9,0)</f>
        <v>10.8</v>
      </c>
      <c r="BC48" s="13">
        <f t="array" ref="BC48">INDEX(BB:BB,MIN(IF(ISNUMBER(BB48:BB244),ROW(BB48:BB244),"")))</f>
        <v>10.8</v>
      </c>
      <c r="BD48" s="13">
        <f>IF('Données projet'!$A$88&gt;35,BD47+BC48-BL47,IF(A48&lt;'Données projet'!$A$88,$BA$205^A48,IF(A48='Données projet'!$A$88,'Données projet'!$B$88,BD47+BC48-BL47)))</f>
        <v>263.00000000000011</v>
      </c>
      <c r="BE48" s="14">
        <f>BD48*VLOOKUP('Données projet'!$B$11,Paramètres!$A$1:$I$89,3,0)*VLOOKUP('Données projet'!$B$11,Paramètres!$A$1:$I$89,5,0)</f>
        <v>205.1400000000001</v>
      </c>
      <c r="BF48" s="14">
        <f t="shared" si="37"/>
        <v>50.872110483472362</v>
      </c>
      <c r="BG48" s="22">
        <f t="shared" si="7"/>
        <v>445.88775909204782</v>
      </c>
      <c r="BH48" s="62">
        <f t="shared" si="8"/>
        <v>697.51451664288197</v>
      </c>
      <c r="BI48" s="62">
        <f ca="1">AVERAGE(OFFSET($BH$3,0,0,'Données projet'!$E$11+1,1))-AVERAGE(OFFSET($H$3,0,0,'Données projet'!$E$11+1,1))</f>
        <v>304.39782420428173</v>
      </c>
      <c r="BJ48" s="62">
        <f t="shared" si="38"/>
        <v>360.34132229290537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36</v>
      </c>
      <c r="BM48" s="17">
        <f>IF(ISNA(VLOOKUP(A48,'Données projet'!$A$87:$I$107,5,0)),0%,VLOOKUP(A48,'Données projet'!$A$87:$I$107,5,0)*VLOOKUP('Données projet'!$B$11,Paramètres!$A$1:$I$89,7,0))</f>
        <v>0.215</v>
      </c>
      <c r="BN48" s="17">
        <f>IF(ISNA(VLOOKUP(A48,'Données projet'!$A$87:$I$107,6,0)),0%,VLOOKUP(A48,'Données projet'!$A$87:$I$107,6,0)*VLOOKUP('Données projet'!$B$11,Paramètres!$A$1:$I$89,7,0))</f>
        <v>4.3000000000000003E-2</v>
      </c>
      <c r="BO48" s="17">
        <f>IF(ISNA(VLOOKUP(A48,'Données projet'!$A$87:$I$107,7,0)),0%,VLOOKUP(A48,'Données projet'!$A$87:$I$107,7,0))</f>
        <v>0.15</v>
      </c>
      <c r="BP48" s="23">
        <f>EXP(-LN(2)/35)*BP47+(1-EXP(-LN(2)/35))/(LN(2)/35)*BL48*BM48*VLOOKUP('Données projet'!$B$11,Paramètres!$A$1:$I$89,3,0)*0.475*44/12</f>
        <v>19.625445158482869</v>
      </c>
      <c r="BQ48" s="23">
        <f>EXP(-LN(2)/25)*BQ47+(1-EXP(-LN(2)/25))/(LN(2)/25)*Calculateur!BL48*Calculateur!BN48*VLOOKUP('Données projet'!$B$11,Paramètres!$A$1:$I$89,3,0)*0.475*44/12</f>
        <v>3.7304440721817196</v>
      </c>
      <c r="BR48" s="23">
        <f>EXP(-LN(2)/2)*BR47+(1-EXP(-LN(2)/2))/(LN(2)/2)*BL48*BO48*VLOOKUP('Données projet'!$B$11,Paramètres!$A$1:$I$89,3,0)*0.475*44/12</f>
        <v>4.7126801249081876</v>
      </c>
      <c r="BS48" s="24">
        <f t="shared" si="9"/>
        <v>28.068569355572777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263</v>
      </c>
      <c r="BW48" s="13">
        <f>VLOOKUP(A48,'Données projet'!$A$113:$I$133,9,0)</f>
        <v>10.8</v>
      </c>
      <c r="BX48" s="13">
        <f t="array" ref="BX48">INDEX(BW:BW,MIN(IF(ISNUMBER(BW48:BW244),ROW(BW48:BW244),"")))</f>
        <v>10.8</v>
      </c>
      <c r="BY48" s="13">
        <f>IF('Données projet'!$A$114&gt;35,BY47+BX48-CG47,IF(A48&lt;'Données projet'!$A$114,$BV$205^A48,IF(A48='Données projet'!$A$114,'Données projet'!$B$114,BY47+BX48-CG47)))</f>
        <v>263.00000000000011</v>
      </c>
      <c r="BZ48" s="14">
        <f>BY48*VLOOKUP('Données projet'!$B$12,Paramètres!$A$1:$I$89,3,0)*VLOOKUP('Données projet'!$B$12,Paramètres!$A$1:$I$89,5,0)</f>
        <v>205.1400000000001</v>
      </c>
      <c r="CA48" s="14">
        <f t="shared" si="39"/>
        <v>50.872110483472362</v>
      </c>
      <c r="CB48" s="22">
        <f t="shared" si="10"/>
        <v>445.88775909204782</v>
      </c>
      <c r="CC48" s="62">
        <f t="shared" si="11"/>
        <v>697.51451664288197</v>
      </c>
      <c r="CD48" s="62">
        <f ca="1">AVERAGE(OFFSET($CC$3,0,0,'Données projet'!$E$12+1,1))-AVERAGE(OFFSET($H$3,0,0,'Données projet'!$E$12+1,1))</f>
        <v>304.39782420428173</v>
      </c>
      <c r="CE48" s="62">
        <f t="shared" si="40"/>
        <v>360.34132229290537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36</v>
      </c>
      <c r="CH48" s="17">
        <f>IF(ISNA(VLOOKUP(A48,'Données projet'!$A$113:$I$133,5,0)),0%,VLOOKUP(A48,'Données projet'!$A$113:$I$133,5,0)*VLOOKUP('Données projet'!$B$12,Paramètres!$A$1:$I$89,7,0))</f>
        <v>0.215</v>
      </c>
      <c r="CI48" s="17">
        <f>IF(ISNA(VLOOKUP(A48,'Données projet'!$A$113:$I$133,6,0)),0%,VLOOKUP(A48,'Données projet'!$A$113:$I$133,6,0)*VLOOKUP('Données projet'!$B$12,Paramètres!$A$1:$I$89,7,0))</f>
        <v>4.3000000000000003E-2</v>
      </c>
      <c r="CJ48" s="17">
        <f>IF(ISNA(VLOOKUP(A48,'Données projet'!$A$113:$I$133,7,0)),0%,VLOOKUP(A48,'Données projet'!$A$113:$I$133,7,0))</f>
        <v>0.15</v>
      </c>
      <c r="CK48" s="23">
        <f>EXP(-LN(2)/35)*CK47+(1-EXP(-LN(2)/35))/(LN(2)/35)*CG48*CH48*VLOOKUP('Données projet'!$B$12,Paramètres!$A$1:$I$89,3,0)*0.475*44/12</f>
        <v>19.625445158482869</v>
      </c>
      <c r="CL48" s="23">
        <f>EXP(-LN(2)/25)*CL47+(1-EXP(-LN(2)/25))/(LN(2)/25)*Calculateur!CG48*Calculateur!CI48*VLOOKUP('Données projet'!$B$12,Paramètres!$A$1:$I$89,3,0)*0.475*44/12</f>
        <v>3.7304440721817196</v>
      </c>
      <c r="CM48" s="23">
        <f>EXP(-LN(2)/2)*CM47+(1-EXP(-LN(2)/2))/(LN(2)/2)*CG48*CJ48*VLOOKUP('Données projet'!$B$12,Paramètres!$A$1:$I$89,3,0)*0.475*44/12</f>
        <v>4.7126801249081876</v>
      </c>
      <c r="CN48" s="24">
        <f t="shared" si="12"/>
        <v>28.068569355572777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11.863636363636363</v>
      </c>
      <c r="N49" s="14">
        <f>IF('Données projet'!$A$36&gt;35,N48+M49-V48,IF(A49&lt;'Données projet'!$A$36,$K$205^A49,IF(A49='Données projet'!$A$36,'Données projet'!$B$36,N48+M49-V48)))</f>
        <v>301.04818181818189</v>
      </c>
      <c r="O49" s="14">
        <f>N49*VLOOKUP('Données projet'!$B$9,Paramètres!$A$1:$I$89,3,0)*VLOOKUP('Données projet'!$B$9,Paramètres!$A$1:$I$89,5,0)</f>
        <v>140.89054909090913</v>
      </c>
      <c r="P49" s="14">
        <f t="shared" si="33"/>
        <v>36.5009424362201</v>
      </c>
      <c r="Q49" s="22">
        <f t="shared" si="53"/>
        <v>308.95684774308342</v>
      </c>
      <c r="R49" s="62">
        <f t="shared" si="0"/>
        <v>561.30712114180903</v>
      </c>
      <c r="S49" s="62">
        <f ca="1">AVERAGE(OFFSET($R$3,0,0,'Données projet'!$E$9+1,1))-AVERAGE(OFFSET($H$3,0,0,'Données projet'!$E$9+1,1))</f>
        <v>234.81928430389272</v>
      </c>
      <c r="T49" s="62">
        <f t="shared" si="34"/>
        <v>294.47057757403411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9.3444815847428302</v>
      </c>
      <c r="AA49" s="23">
        <f>EXP(-LN(2)/25)*AA48+(1-EXP(-LN(2)/25))/(LN(2)/25)*Calculateur!V49*Calculateur!X49*VLOOKUP('Données projet'!$B$9,Paramètres!$A$1:$I$89,3,0)*0.475*44/12</f>
        <v>8.8233093128174644</v>
      </c>
      <c r="AB49" s="23">
        <f>EXP(-LN(2)/2)*AB48+(1-EXP(-LN(2)/2))/(LN(2)/2)*V49*Y49*VLOOKUP('Données projet'!$B$9,Paramètres!$A$1:$I$89,3,0)*0.475*44/12</f>
        <v>1.8394285608371777</v>
      </c>
      <c r="AC49" s="24">
        <f t="shared" si="3"/>
        <v>20.007219458397472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11.2</v>
      </c>
      <c r="AI49" s="14">
        <f>IF('Données projet'!$A$62&gt;35,AI48+AH49-AQ48,IF(A49&lt;'Données projet'!$A$62,$AF$205^A49,IF(A49='Données projet'!$A$62,'Données projet'!$B$62,AI48+AH49-AQ48)))</f>
        <v>238.2000000000001</v>
      </c>
      <c r="AJ49" s="14">
        <f>AI49*VLOOKUP('Données projet'!$B$10,Paramètres!$A$1:$I$89,3,0)*VLOOKUP('Données projet'!$B$10,Paramètres!$A$1:$I$89,5,0)</f>
        <v>185.79600000000008</v>
      </c>
      <c r="AK49" s="14">
        <f t="shared" si="35"/>
        <v>46.60930127448345</v>
      </c>
      <c r="AL49" s="22">
        <f t="shared" si="4"/>
        <v>404.7725663863921</v>
      </c>
      <c r="AM49" s="62">
        <f t="shared" si="5"/>
        <v>657.12283978511778</v>
      </c>
      <c r="AN49" s="62">
        <f ca="1">AVERAGE(OFFSET($AM$3,0,0,'Données projet'!$E$10+1,1))-AVERAGE(OFFSET($H$3,0,0,'Données projet'!$E$10+1,1))</f>
        <v>304.39782420428173</v>
      </c>
      <c r="AO49" s="62">
        <f t="shared" si="36"/>
        <v>360.34132229290537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19.240602149264593</v>
      </c>
      <c r="AV49" s="23">
        <f>EXP(-LN(2)/25)*AV48+(1-EXP(-LN(2)/25))/(LN(2)/25)*Calculateur!AQ49*Calculateur!AS49*VLOOKUP('Données projet'!$B$10,Paramètres!$A$1:$I$89,3,0)*0.475*44/12</f>
        <v>3.6284348828523827</v>
      </c>
      <c r="AW49" s="23">
        <f>EXP(-LN(2)/2)*AW48+(1-EXP(-LN(2)/2))/(LN(2)/2)*AQ49*AT49*VLOOKUP('Données projet'!$B$10,Paramètres!$A$1:$I$89,3,0)*0.475*44/12</f>
        <v>3.3323680738856454</v>
      </c>
      <c r="AX49" s="23">
        <f t="shared" si="6"/>
        <v>26.201405106002621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11.2</v>
      </c>
      <c r="BD49" s="13">
        <f>IF('Données projet'!$A$88&gt;35,BD48+BC49-BL48,IF(A49&lt;'Données projet'!$A$88,$BA$205^A49,IF(A49='Données projet'!$A$88,'Données projet'!$B$88,BD48+BC49-BL48)))</f>
        <v>238.2000000000001</v>
      </c>
      <c r="BE49" s="14">
        <f>BD49*VLOOKUP('Données projet'!$B$11,Paramètres!$A$1:$I$89,3,0)*VLOOKUP('Données projet'!$B$11,Paramètres!$A$1:$I$89,5,0)</f>
        <v>185.79600000000008</v>
      </c>
      <c r="BF49" s="14">
        <f t="shared" si="37"/>
        <v>46.60930127448345</v>
      </c>
      <c r="BG49" s="22">
        <f t="shared" si="7"/>
        <v>404.7725663863921</v>
      </c>
      <c r="BH49" s="62">
        <f t="shared" si="8"/>
        <v>657.12283978511778</v>
      </c>
      <c r="BI49" s="62">
        <f ca="1">AVERAGE(OFFSET($BH$3,0,0,'Données projet'!$E$11+1,1))-AVERAGE(OFFSET($H$3,0,0,'Données projet'!$E$11+1,1))</f>
        <v>304.39782420428173</v>
      </c>
      <c r="BJ49" s="62">
        <f t="shared" si="38"/>
        <v>360.34132229290537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19.240602149264593</v>
      </c>
      <c r="BQ49" s="23">
        <f>EXP(-LN(2)/25)*BQ48+(1-EXP(-LN(2)/25))/(LN(2)/25)*Calculateur!BL49*Calculateur!BN49*VLOOKUP('Données projet'!$B$11,Paramètres!$A$1:$I$89,3,0)*0.475*44/12</f>
        <v>3.6284348828523827</v>
      </c>
      <c r="BR49" s="23">
        <f>EXP(-LN(2)/2)*BR48+(1-EXP(-LN(2)/2))/(LN(2)/2)*BL49*BO49*VLOOKUP('Données projet'!$B$11,Paramètres!$A$1:$I$89,3,0)*0.475*44/12</f>
        <v>3.3323680738856454</v>
      </c>
      <c r="BS49" s="24">
        <f t="shared" si="9"/>
        <v>26.201405106002621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11.2</v>
      </c>
      <c r="BY49" s="13">
        <f>IF('Données projet'!$A$114&gt;35,BY48+BX49-CG48,IF(A49&lt;'Données projet'!$A$114,$BV$205^A49,IF(A49='Données projet'!$A$114,'Données projet'!$B$114,BY48+BX49-CG48)))</f>
        <v>238.2000000000001</v>
      </c>
      <c r="BZ49" s="14">
        <f>BY49*VLOOKUP('Données projet'!$B$12,Paramètres!$A$1:$I$89,3,0)*VLOOKUP('Données projet'!$B$12,Paramètres!$A$1:$I$89,5,0)</f>
        <v>185.79600000000008</v>
      </c>
      <c r="CA49" s="14">
        <f t="shared" si="39"/>
        <v>46.60930127448345</v>
      </c>
      <c r="CB49" s="22">
        <f t="shared" si="10"/>
        <v>404.7725663863921</v>
      </c>
      <c r="CC49" s="62">
        <f t="shared" si="11"/>
        <v>657.12283978511778</v>
      </c>
      <c r="CD49" s="62">
        <f ca="1">AVERAGE(OFFSET($CC$3,0,0,'Données projet'!$E$12+1,1))-AVERAGE(OFFSET($H$3,0,0,'Données projet'!$E$12+1,1))</f>
        <v>304.39782420428173</v>
      </c>
      <c r="CE49" s="62">
        <f t="shared" si="40"/>
        <v>360.34132229290537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19.240602149264593</v>
      </c>
      <c r="CL49" s="23">
        <f>EXP(-LN(2)/25)*CL48+(1-EXP(-LN(2)/25))/(LN(2)/25)*Calculateur!CG49*Calculateur!CI49*VLOOKUP('Données projet'!$B$12,Paramètres!$A$1:$I$89,3,0)*0.475*44/12</f>
        <v>3.6284348828523827</v>
      </c>
      <c r="CM49" s="23">
        <f>EXP(-LN(2)/2)*CM48+(1-EXP(-LN(2)/2))/(LN(2)/2)*CG49*CJ49*VLOOKUP('Données projet'!$B$12,Paramètres!$A$1:$I$89,3,0)*0.475*44/12</f>
        <v>3.3323680738856454</v>
      </c>
      <c r="CN49" s="24">
        <f t="shared" si="12"/>
        <v>26.201405106002621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11.863636363636363</v>
      </c>
      <c r="N50" s="14">
        <f>IF('Données projet'!$A$36&gt;35,N49+M50-V49,IF(A50&lt;'Données projet'!$A$36,$K$205^A50,IF(A50='Données projet'!$A$36,'Données projet'!$B$36,N49+M50-V49)))</f>
        <v>312.91181818181826</v>
      </c>
      <c r="O50" s="14">
        <f>N50*VLOOKUP('Données projet'!$B$9,Paramètres!$A$1:$I$89,3,0)*VLOOKUP('Données projet'!$B$9,Paramètres!$A$1:$I$89,5,0)</f>
        <v>146.44273090909095</v>
      </c>
      <c r="P50" s="14">
        <f t="shared" si="33"/>
        <v>37.769057709680411</v>
      </c>
      <c r="Q50" s="22">
        <f t="shared" si="53"/>
        <v>320.83553184436016</v>
      </c>
      <c r="R50" s="62">
        <f t="shared" si="0"/>
        <v>573.89676970855555</v>
      </c>
      <c r="S50" s="62">
        <f ca="1">AVERAGE(OFFSET($R$3,0,0,'Données projet'!$E$9+1,1))-AVERAGE(OFFSET($H$3,0,0,'Données projet'!$E$9+1,1))</f>
        <v>234.81928430389272</v>
      </c>
      <c r="T50" s="62">
        <f t="shared" si="34"/>
        <v>294.47057757403411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9.1612420004370048</v>
      </c>
      <c r="AA50" s="23">
        <f>EXP(-LN(2)/25)*AA49+(1-EXP(-LN(2)/25))/(LN(2)/25)*Calculateur!V50*Calculateur!X50*VLOOKUP('Données projet'!$B$9,Paramètres!$A$1:$I$89,3,0)*0.475*44/12</f>
        <v>8.5820354556608009</v>
      </c>
      <c r="AB50" s="23">
        <f>EXP(-LN(2)/2)*AB49+(1-EXP(-LN(2)/2))/(LN(2)/2)*V50*Y50*VLOOKUP('Données projet'!$B$9,Paramètres!$A$1:$I$89,3,0)*0.475*44/12</f>
        <v>1.3006724088761803</v>
      </c>
      <c r="AC50" s="24">
        <f t="shared" si="3"/>
        <v>19.043949864973989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11.2</v>
      </c>
      <c r="AI50" s="14">
        <f>IF('Données projet'!$A$62&gt;35,AI49+AH50-AQ49,IF(A50&lt;'Données projet'!$A$62,$AF$205^A50,IF(A50='Données projet'!$A$62,'Données projet'!$B$62,AI49+AH50-AQ49)))</f>
        <v>249.40000000000009</v>
      </c>
      <c r="AJ50" s="14">
        <f>AI50*VLOOKUP('Données projet'!$B$10,Paramètres!$A$1:$I$89,3,0)*VLOOKUP('Données projet'!$B$10,Paramètres!$A$1:$I$89,5,0)</f>
        <v>194.53200000000007</v>
      </c>
      <c r="AK50" s="14">
        <f t="shared" si="35"/>
        <v>48.540534952652621</v>
      </c>
      <c r="AL50" s="22">
        <f t="shared" si="4"/>
        <v>423.35133170920341</v>
      </c>
      <c r="AM50" s="62">
        <f t="shared" si="5"/>
        <v>676.41256957339874</v>
      </c>
      <c r="AN50" s="62">
        <f ca="1">AVERAGE(OFFSET($AM$3,0,0,'Données projet'!$E$10+1,1))-AVERAGE(OFFSET($H$3,0,0,'Données projet'!$E$10+1,1))</f>
        <v>304.39782420428173</v>
      </c>
      <c r="AO50" s="62">
        <f t="shared" si="36"/>
        <v>360.34132229290537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18.863305676726029</v>
      </c>
      <c r="AV50" s="23">
        <f>EXP(-LN(2)/25)*AV49+(1-EXP(-LN(2)/25))/(LN(2)/25)*Calculateur!AQ50*Calculateur!AS50*VLOOKUP('Données projet'!$B$10,Paramètres!$A$1:$I$89,3,0)*0.475*44/12</f>
        <v>3.5292151401696867</v>
      </c>
      <c r="AW50" s="23">
        <f>EXP(-LN(2)/2)*AW49+(1-EXP(-LN(2)/2))/(LN(2)/2)*AQ50*AT50*VLOOKUP('Données projet'!$B$10,Paramètres!$A$1:$I$89,3,0)*0.475*44/12</f>
        <v>2.3563400624540942</v>
      </c>
      <c r="AX50" s="23">
        <f t="shared" si="6"/>
        <v>24.748860879349809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11.2</v>
      </c>
      <c r="BD50" s="13">
        <f>IF('Données projet'!$A$88&gt;35,BD49+BC50-BL49,IF(A50&lt;'Données projet'!$A$88,$BA$205^A50,IF(A50='Données projet'!$A$88,'Données projet'!$B$88,BD49+BC50-BL49)))</f>
        <v>249.40000000000009</v>
      </c>
      <c r="BE50" s="14">
        <f>BD50*VLOOKUP('Données projet'!$B$11,Paramètres!$A$1:$I$89,3,0)*VLOOKUP('Données projet'!$B$11,Paramètres!$A$1:$I$89,5,0)</f>
        <v>194.53200000000007</v>
      </c>
      <c r="BF50" s="14">
        <f t="shared" si="37"/>
        <v>48.540534952652621</v>
      </c>
      <c r="BG50" s="22">
        <f t="shared" si="7"/>
        <v>423.35133170920341</v>
      </c>
      <c r="BH50" s="62">
        <f t="shared" si="8"/>
        <v>676.41256957339874</v>
      </c>
      <c r="BI50" s="62">
        <f ca="1">AVERAGE(OFFSET($BH$3,0,0,'Données projet'!$E$11+1,1))-AVERAGE(OFFSET($H$3,0,0,'Données projet'!$E$11+1,1))</f>
        <v>304.39782420428173</v>
      </c>
      <c r="BJ50" s="62">
        <f t="shared" si="38"/>
        <v>360.34132229290537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18.863305676726029</v>
      </c>
      <c r="BQ50" s="23">
        <f>EXP(-LN(2)/25)*BQ49+(1-EXP(-LN(2)/25))/(LN(2)/25)*Calculateur!BL50*Calculateur!BN50*VLOOKUP('Données projet'!$B$11,Paramètres!$A$1:$I$89,3,0)*0.475*44/12</f>
        <v>3.5292151401696867</v>
      </c>
      <c r="BR50" s="23">
        <f>EXP(-LN(2)/2)*BR49+(1-EXP(-LN(2)/2))/(LN(2)/2)*BL50*BO50*VLOOKUP('Données projet'!$B$11,Paramètres!$A$1:$I$89,3,0)*0.475*44/12</f>
        <v>2.3563400624540942</v>
      </c>
      <c r="BS50" s="24">
        <f t="shared" si="9"/>
        <v>24.748860879349809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11.2</v>
      </c>
      <c r="BY50" s="13">
        <f>IF('Données projet'!$A$114&gt;35,BY49+BX50-CG49,IF(A50&lt;'Données projet'!$A$114,$BV$205^A50,IF(A50='Données projet'!$A$114,'Données projet'!$B$114,BY49+BX50-CG49)))</f>
        <v>249.40000000000009</v>
      </c>
      <c r="BZ50" s="14">
        <f>BY50*VLOOKUP('Données projet'!$B$12,Paramètres!$A$1:$I$89,3,0)*VLOOKUP('Données projet'!$B$12,Paramètres!$A$1:$I$89,5,0)</f>
        <v>194.53200000000007</v>
      </c>
      <c r="CA50" s="14">
        <f t="shared" si="39"/>
        <v>48.540534952652621</v>
      </c>
      <c r="CB50" s="22">
        <f t="shared" si="10"/>
        <v>423.35133170920341</v>
      </c>
      <c r="CC50" s="62">
        <f t="shared" si="11"/>
        <v>676.41256957339874</v>
      </c>
      <c r="CD50" s="62">
        <f ca="1">AVERAGE(OFFSET($CC$3,0,0,'Données projet'!$E$12+1,1))-AVERAGE(OFFSET($H$3,0,0,'Données projet'!$E$12+1,1))</f>
        <v>304.39782420428173</v>
      </c>
      <c r="CE50" s="62">
        <f t="shared" si="40"/>
        <v>360.34132229290537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18.863305676726029</v>
      </c>
      <c r="CL50" s="23">
        <f>EXP(-LN(2)/25)*CL49+(1-EXP(-LN(2)/25))/(LN(2)/25)*Calculateur!CG50*Calculateur!CI50*VLOOKUP('Données projet'!$B$12,Paramètres!$A$1:$I$89,3,0)*0.475*44/12</f>
        <v>3.5292151401696867</v>
      </c>
      <c r="CM50" s="23">
        <f>EXP(-LN(2)/2)*CM49+(1-EXP(-LN(2)/2))/(LN(2)/2)*CG50*CJ50*VLOOKUP('Données projet'!$B$12,Paramètres!$A$1:$I$89,3,0)*0.475*44/12</f>
        <v>2.3563400624540942</v>
      </c>
      <c r="CN50" s="24">
        <f t="shared" si="12"/>
        <v>24.748860879349809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11.863636363636363</v>
      </c>
      <c r="N51" s="14">
        <f>IF('Données projet'!$A$36&gt;35,N50+M51-V50,IF(A51&lt;'Données projet'!$A$36,$K$205^A51,IF(A51='Données projet'!$A$36,'Données projet'!$B$36,N50+M51-V50)))</f>
        <v>324.77545454545464</v>
      </c>
      <c r="O51" s="14">
        <f>N51*VLOOKUP('Données projet'!$B$9,Paramètres!$A$1:$I$89,3,0)*VLOOKUP('Données projet'!$B$9,Paramètres!$A$1:$I$89,5,0)</f>
        <v>151.99491272727278</v>
      </c>
      <c r="P51" s="14">
        <f t="shared" si="33"/>
        <v>39.031587515583425</v>
      </c>
      <c r="Q51" s="22">
        <f t="shared" si="53"/>
        <v>332.70448792297452</v>
      </c>
      <c r="R51" s="62">
        <f t="shared" si="0"/>
        <v>586.46435660864222</v>
      </c>
      <c r="S51" s="62">
        <f ca="1">AVERAGE(OFFSET($R$3,0,0,'Données projet'!$E$9+1,1))-AVERAGE(OFFSET($H$3,0,0,'Données projet'!$E$9+1,1))</f>
        <v>234.81928430389272</v>
      </c>
      <c r="T51" s="62">
        <f t="shared" si="34"/>
        <v>294.47057757403411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8.9815956326143045</v>
      </c>
      <c r="AA51" s="23">
        <f>EXP(-LN(2)/25)*AA50+(1-EXP(-LN(2)/25))/(LN(2)/25)*Calculateur!V51*Calculateur!X51*VLOOKUP('Données projet'!$B$9,Paramètres!$A$1:$I$89,3,0)*0.475*44/12</f>
        <v>8.3473592448161256</v>
      </c>
      <c r="AB51" s="23">
        <f>EXP(-LN(2)/2)*AB50+(1-EXP(-LN(2)/2))/(LN(2)/2)*V51*Y51*VLOOKUP('Données projet'!$B$9,Paramètres!$A$1:$I$89,3,0)*0.475*44/12</f>
        <v>0.91971428041858894</v>
      </c>
      <c r="AC51" s="24">
        <f t="shared" si="3"/>
        <v>18.248669157849019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11.2</v>
      </c>
      <c r="AI51" s="14">
        <f>IF('Données projet'!$A$62&gt;35,AI50+AH51-AQ50,IF(A51&lt;'Données projet'!$A$62,$AF$205^A51,IF(A51='Données projet'!$A$62,'Données projet'!$B$62,AI50+AH51-AQ50)))</f>
        <v>260.60000000000008</v>
      </c>
      <c r="AJ51" s="14">
        <f>AI51*VLOOKUP('Données projet'!$B$10,Paramètres!$A$1:$I$89,3,0)*VLOOKUP('Données projet'!$B$10,Paramètres!$A$1:$I$89,5,0)</f>
        <v>203.26800000000006</v>
      </c>
      <c r="AK51" s="14">
        <f t="shared" si="35"/>
        <v>50.461696323746594</v>
      </c>
      <c r="AL51" s="22">
        <f t="shared" si="4"/>
        <v>441.9125544305254</v>
      </c>
      <c r="AM51" s="62">
        <f t="shared" si="5"/>
        <v>695.67242311619316</v>
      </c>
      <c r="AN51" s="62">
        <f ca="1">AVERAGE(OFFSET($AM$3,0,0,'Données projet'!$E$10+1,1))-AVERAGE(OFFSET($H$3,0,0,'Données projet'!$E$10+1,1))</f>
        <v>304.39782420428173</v>
      </c>
      <c r="AO51" s="62">
        <f t="shared" si="36"/>
        <v>360.34132229290537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18.493407757885823</v>
      </c>
      <c r="AV51" s="23">
        <f>EXP(-LN(2)/25)*AV50+(1-EXP(-LN(2)/25))/(LN(2)/25)*Calculateur!AQ51*Calculateur!AS51*VLOOKUP('Données projet'!$B$10,Paramètres!$A$1:$I$89,3,0)*0.475*44/12</f>
        <v>3.4327085665683885</v>
      </c>
      <c r="AW51" s="23">
        <f>EXP(-LN(2)/2)*AW50+(1-EXP(-LN(2)/2))/(LN(2)/2)*AQ51*AT51*VLOOKUP('Données projet'!$B$10,Paramètres!$A$1:$I$89,3,0)*0.475*44/12</f>
        <v>1.6661840369428231</v>
      </c>
      <c r="AX51" s="23">
        <f t="shared" si="6"/>
        <v>23.592300361397037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11.2</v>
      </c>
      <c r="BD51" s="13">
        <f>IF('Données projet'!$A$88&gt;35,BD50+BC51-BL50,IF(A51&lt;'Données projet'!$A$88,$BA$205^A51,IF(A51='Données projet'!$A$88,'Données projet'!$B$88,BD50+BC51-BL50)))</f>
        <v>260.60000000000008</v>
      </c>
      <c r="BE51" s="14">
        <f>BD51*VLOOKUP('Données projet'!$B$11,Paramètres!$A$1:$I$89,3,0)*VLOOKUP('Données projet'!$B$11,Paramètres!$A$1:$I$89,5,0)</f>
        <v>203.26800000000006</v>
      </c>
      <c r="BF51" s="14">
        <f t="shared" si="37"/>
        <v>50.461696323746594</v>
      </c>
      <c r="BG51" s="22">
        <f t="shared" si="7"/>
        <v>441.9125544305254</v>
      </c>
      <c r="BH51" s="62">
        <f t="shared" si="8"/>
        <v>695.67242311619316</v>
      </c>
      <c r="BI51" s="62">
        <f ca="1">AVERAGE(OFFSET($BH$3,0,0,'Données projet'!$E$11+1,1))-AVERAGE(OFFSET($H$3,0,0,'Données projet'!$E$11+1,1))</f>
        <v>304.39782420428173</v>
      </c>
      <c r="BJ51" s="62">
        <f t="shared" si="38"/>
        <v>360.34132229290537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18.493407757885823</v>
      </c>
      <c r="BQ51" s="23">
        <f>EXP(-LN(2)/25)*BQ50+(1-EXP(-LN(2)/25))/(LN(2)/25)*Calculateur!BL51*Calculateur!BN51*VLOOKUP('Données projet'!$B$11,Paramètres!$A$1:$I$89,3,0)*0.475*44/12</f>
        <v>3.4327085665683885</v>
      </c>
      <c r="BR51" s="23">
        <f>EXP(-LN(2)/2)*BR50+(1-EXP(-LN(2)/2))/(LN(2)/2)*BL51*BO51*VLOOKUP('Données projet'!$B$11,Paramètres!$A$1:$I$89,3,0)*0.475*44/12</f>
        <v>1.6661840369428231</v>
      </c>
      <c r="BS51" s="24">
        <f t="shared" si="9"/>
        <v>23.592300361397037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11.2</v>
      </c>
      <c r="BY51" s="13">
        <f>IF('Données projet'!$A$114&gt;35,BY50+BX51-CG50,IF(A51&lt;'Données projet'!$A$114,$BV$205^A51,IF(A51='Données projet'!$A$114,'Données projet'!$B$114,BY50+BX51-CG50)))</f>
        <v>260.60000000000008</v>
      </c>
      <c r="BZ51" s="14">
        <f>BY51*VLOOKUP('Données projet'!$B$12,Paramètres!$A$1:$I$89,3,0)*VLOOKUP('Données projet'!$B$12,Paramètres!$A$1:$I$89,5,0)</f>
        <v>203.26800000000006</v>
      </c>
      <c r="CA51" s="14">
        <f t="shared" si="39"/>
        <v>50.461696323746594</v>
      </c>
      <c r="CB51" s="22">
        <f t="shared" si="10"/>
        <v>441.9125544305254</v>
      </c>
      <c r="CC51" s="62">
        <f t="shared" si="11"/>
        <v>695.67242311619316</v>
      </c>
      <c r="CD51" s="62">
        <f ca="1">AVERAGE(OFFSET($CC$3,0,0,'Données projet'!$E$12+1,1))-AVERAGE(OFFSET($H$3,0,0,'Données projet'!$E$12+1,1))</f>
        <v>304.39782420428173</v>
      </c>
      <c r="CE51" s="62">
        <f t="shared" si="40"/>
        <v>360.34132229290537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18.493407757885823</v>
      </c>
      <c r="CL51" s="23">
        <f>EXP(-LN(2)/25)*CL50+(1-EXP(-LN(2)/25))/(LN(2)/25)*Calculateur!CG51*Calculateur!CI51*VLOOKUP('Données projet'!$B$12,Paramètres!$A$1:$I$89,3,0)*0.475*44/12</f>
        <v>3.4327085665683885</v>
      </c>
      <c r="CM51" s="23">
        <f>EXP(-LN(2)/2)*CM50+(1-EXP(-LN(2)/2))/(LN(2)/2)*CG51*CJ51*VLOOKUP('Données projet'!$B$12,Paramètres!$A$1:$I$89,3,0)*0.475*44/12</f>
        <v>1.6661840369428231</v>
      </c>
      <c r="CN51" s="24">
        <f t="shared" si="12"/>
        <v>23.592300361397037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11.863636363636363</v>
      </c>
      <c r="N52" s="14">
        <f>IF('Données projet'!$A$36&gt;35,N51+M52-V51,IF(A52&lt;'Données projet'!$A$36,$K$205^A52,IF(A52='Données projet'!$A$36,'Données projet'!$B$36,N51+M52-V51)))</f>
        <v>336.63909090909101</v>
      </c>
      <c r="O52" s="14">
        <f>N52*VLOOKUP('Données projet'!$B$9,Paramètres!$A$1:$I$89,3,0)*VLOOKUP('Données projet'!$B$9,Paramètres!$A$1:$I$89,5,0)</f>
        <v>157.5470945454546</v>
      </c>
      <c r="P52" s="14">
        <f t="shared" si="33"/>
        <v>40.288759252403246</v>
      </c>
      <c r="Q52" s="22">
        <f t="shared" si="53"/>
        <v>344.56411203126908</v>
      </c>
      <c r="R52" s="62">
        <f t="shared" si="0"/>
        <v>599.01049185556099</v>
      </c>
      <c r="S52" s="62">
        <f ca="1">AVERAGE(OFFSET($R$3,0,0,'Données projet'!$E$9+1,1))-AVERAGE(OFFSET($H$3,0,0,'Données projet'!$E$9+1,1))</f>
        <v>234.81928430389272</v>
      </c>
      <c r="T52" s="62">
        <f t="shared" si="34"/>
        <v>294.47057757403411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8.805472020491143</v>
      </c>
      <c r="AA52" s="23">
        <f>EXP(-LN(2)/25)*AA51+(1-EXP(-LN(2)/25))/(LN(2)/25)*Calculateur!V52*Calculateur!X52*VLOOKUP('Données projet'!$B$9,Paramètres!$A$1:$I$89,3,0)*0.475*44/12</f>
        <v>8.1191002672980837</v>
      </c>
      <c r="AB52" s="23">
        <f>EXP(-LN(2)/2)*AB51+(1-EXP(-LN(2)/2))/(LN(2)/2)*V52*Y52*VLOOKUP('Données projet'!$B$9,Paramètres!$A$1:$I$89,3,0)*0.475*44/12</f>
        <v>0.65033620443809026</v>
      </c>
      <c r="AC52" s="24">
        <f t="shared" si="3"/>
        <v>17.574908492227316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11.2</v>
      </c>
      <c r="AI52" s="14">
        <f>IF('Données projet'!$A$62&gt;35,AI51+AH52-AQ51,IF(A52&lt;'Données projet'!$A$62,$AF$205^A52,IF(A52='Données projet'!$A$62,'Données projet'!$B$62,AI51+AH52-AQ51)))</f>
        <v>271.80000000000007</v>
      </c>
      <c r="AJ52" s="14">
        <f>AI52*VLOOKUP('Données projet'!$B$10,Paramètres!$A$1:$I$89,3,0)*VLOOKUP('Données projet'!$B$10,Paramètres!$A$1:$I$89,5,0)</f>
        <v>212.00400000000005</v>
      </c>
      <c r="AK52" s="14">
        <f t="shared" si="35"/>
        <v>52.373267756879777</v>
      </c>
      <c r="AL52" s="22">
        <f t="shared" si="4"/>
        <v>460.45707467656558</v>
      </c>
      <c r="AM52" s="62">
        <f t="shared" si="5"/>
        <v>714.90345450085761</v>
      </c>
      <c r="AN52" s="62">
        <f ca="1">AVERAGE(OFFSET($AM$3,0,0,'Données projet'!$E$10+1,1))-AVERAGE(OFFSET($H$3,0,0,'Données projet'!$E$10+1,1))</f>
        <v>304.39782420428173</v>
      </c>
      <c r="AO52" s="62">
        <f t="shared" si="36"/>
        <v>360.34132229290537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18.130763311618619</v>
      </c>
      <c r="AV52" s="23">
        <f>EXP(-LN(2)/25)*AV51+(1-EXP(-LN(2)/25))/(LN(2)/25)*Calculateur!AQ52*Calculateur!AS52*VLOOKUP('Données projet'!$B$10,Paramètres!$A$1:$I$89,3,0)*0.475*44/12</f>
        <v>3.3388409702972779</v>
      </c>
      <c r="AW52" s="23">
        <f>EXP(-LN(2)/2)*AW51+(1-EXP(-LN(2)/2))/(LN(2)/2)*AQ52*AT52*VLOOKUP('Données projet'!$B$10,Paramètres!$A$1:$I$89,3,0)*0.475*44/12</f>
        <v>1.1781700312270473</v>
      </c>
      <c r="AX52" s="23">
        <f t="shared" si="6"/>
        <v>22.647774313142943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11.2</v>
      </c>
      <c r="BD52" s="13">
        <f>IF('Données projet'!$A$88&gt;35,BD51+BC52-BL51,IF(A52&lt;'Données projet'!$A$88,$BA$205^A52,IF(A52='Données projet'!$A$88,'Données projet'!$B$88,BD51+BC52-BL51)))</f>
        <v>271.80000000000007</v>
      </c>
      <c r="BE52" s="14">
        <f>BD52*VLOOKUP('Données projet'!$B$11,Paramètres!$A$1:$I$89,3,0)*VLOOKUP('Données projet'!$B$11,Paramètres!$A$1:$I$89,5,0)</f>
        <v>212.00400000000005</v>
      </c>
      <c r="BF52" s="14">
        <f t="shared" si="37"/>
        <v>52.373267756879777</v>
      </c>
      <c r="BG52" s="22">
        <f t="shared" si="7"/>
        <v>460.45707467656558</v>
      </c>
      <c r="BH52" s="62">
        <f t="shared" si="8"/>
        <v>714.90345450085761</v>
      </c>
      <c r="BI52" s="62">
        <f ca="1">AVERAGE(OFFSET($BH$3,0,0,'Données projet'!$E$11+1,1))-AVERAGE(OFFSET($H$3,0,0,'Données projet'!$E$11+1,1))</f>
        <v>304.39782420428173</v>
      </c>
      <c r="BJ52" s="62">
        <f t="shared" si="38"/>
        <v>360.34132229290537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18.130763311618619</v>
      </c>
      <c r="BQ52" s="23">
        <f>EXP(-LN(2)/25)*BQ51+(1-EXP(-LN(2)/25))/(LN(2)/25)*Calculateur!BL52*Calculateur!BN52*VLOOKUP('Données projet'!$B$11,Paramètres!$A$1:$I$89,3,0)*0.475*44/12</f>
        <v>3.3388409702972779</v>
      </c>
      <c r="BR52" s="23">
        <f>EXP(-LN(2)/2)*BR51+(1-EXP(-LN(2)/2))/(LN(2)/2)*BL52*BO52*VLOOKUP('Données projet'!$B$11,Paramètres!$A$1:$I$89,3,0)*0.475*44/12</f>
        <v>1.1781700312270473</v>
      </c>
      <c r="BS52" s="24">
        <f t="shared" si="9"/>
        <v>22.647774313142943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11.2</v>
      </c>
      <c r="BY52" s="13">
        <f>IF('Données projet'!$A$114&gt;35,BY51+BX52-CG51,IF(A52&lt;'Données projet'!$A$114,$BV$205^A52,IF(A52='Données projet'!$A$114,'Données projet'!$B$114,BY51+BX52-CG51)))</f>
        <v>271.80000000000007</v>
      </c>
      <c r="BZ52" s="14">
        <f>BY52*VLOOKUP('Données projet'!$B$12,Paramètres!$A$1:$I$89,3,0)*VLOOKUP('Données projet'!$B$12,Paramètres!$A$1:$I$89,5,0)</f>
        <v>212.00400000000005</v>
      </c>
      <c r="CA52" s="14">
        <f t="shared" si="39"/>
        <v>52.373267756879777</v>
      </c>
      <c r="CB52" s="22">
        <f t="shared" si="10"/>
        <v>460.45707467656558</v>
      </c>
      <c r="CC52" s="62">
        <f t="shared" si="11"/>
        <v>714.90345450085761</v>
      </c>
      <c r="CD52" s="62">
        <f ca="1">AVERAGE(OFFSET($CC$3,0,0,'Données projet'!$E$12+1,1))-AVERAGE(OFFSET($H$3,0,0,'Données projet'!$E$12+1,1))</f>
        <v>304.39782420428173</v>
      </c>
      <c r="CE52" s="62">
        <f t="shared" si="40"/>
        <v>360.34132229290537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18.130763311618619</v>
      </c>
      <c r="CL52" s="23">
        <f>EXP(-LN(2)/25)*CL51+(1-EXP(-LN(2)/25))/(LN(2)/25)*Calculateur!CG52*Calculateur!CI52*VLOOKUP('Données projet'!$B$12,Paramètres!$A$1:$I$89,3,0)*0.475*44/12</f>
        <v>3.3388409702972779</v>
      </c>
      <c r="CM52" s="23">
        <f>EXP(-LN(2)/2)*CM51+(1-EXP(-LN(2)/2))/(LN(2)/2)*CG52*CJ52*VLOOKUP('Données projet'!$B$12,Paramètres!$A$1:$I$89,3,0)*0.475*44/12</f>
        <v>1.1781700312270473</v>
      </c>
      <c r="CN52" s="24">
        <f t="shared" si="12"/>
        <v>22.647774313142943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11.863636363636363</v>
      </c>
      <c r="N53" s="14">
        <f>IF('Données projet'!$A$36&gt;35,N52+M53-V52,IF(A53&lt;'Données projet'!$A$36,$K$205^A53,IF(A53='Données projet'!$A$36,'Données projet'!$B$36,N52+M53-V52)))</f>
        <v>348.50272727272738</v>
      </c>
      <c r="O53" s="14">
        <f>N53*VLOOKUP('Données projet'!$B$9,Paramètres!$A$1:$I$89,3,0)*VLOOKUP('Données projet'!$B$9,Paramètres!$A$1:$I$89,5,0)</f>
        <v>163.09927636363642</v>
      </c>
      <c r="P53" s="14">
        <f t="shared" si="33"/>
        <v>41.540783382174482</v>
      </c>
      <c r="Q53" s="22">
        <f t="shared" si="53"/>
        <v>356.41477072395401</v>
      </c>
      <c r="R53" s="62">
        <f t="shared" si="0"/>
        <v>611.53575225342411</v>
      </c>
      <c r="S53" s="62">
        <f ca="1">AVERAGE(OFFSET($R$3,0,0,'Données projet'!$E$9+1,1))-AVERAGE(OFFSET($H$3,0,0,'Données projet'!$E$9+1,1))</f>
        <v>234.81928430389272</v>
      </c>
      <c r="T53" s="62">
        <f t="shared" si="34"/>
        <v>294.47057757403411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8.6328020849769214</v>
      </c>
      <c r="AA53" s="23">
        <f>EXP(-LN(2)/25)*AA52+(1-EXP(-LN(2)/25))/(LN(2)/25)*Calculateur!V53*Calculateur!X53*VLOOKUP('Données projet'!$B$9,Paramètres!$A$1:$I$89,3,0)*0.475*44/12</f>
        <v>7.8970830435238906</v>
      </c>
      <c r="AB53" s="23">
        <f>EXP(-LN(2)/2)*AB52+(1-EXP(-LN(2)/2))/(LN(2)/2)*V53*Y53*VLOOKUP('Données projet'!$B$9,Paramètres!$A$1:$I$89,3,0)*0.475*44/12</f>
        <v>0.45985714020929458</v>
      </c>
      <c r="AC53" s="24">
        <f t="shared" si="3"/>
        <v>16.989742268710106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283</v>
      </c>
      <c r="AG53" s="13">
        <f>VLOOKUP(A53,'Données projet'!$A$61:$I$81,9,0)</f>
        <v>11.2</v>
      </c>
      <c r="AH53" s="13">
        <f t="array" ref="AH53">INDEX(AG:AG,MIN(IF(ISNUMBER(AG53:AG249),ROW(AG53:AG249),"")))</f>
        <v>11.2</v>
      </c>
      <c r="AI53" s="14">
        <f>IF('Données projet'!$A$62&gt;35,AI52+AH53-AQ52,IF(A53&lt;'Données projet'!$A$62,$AF$205^A53,IF(A53='Données projet'!$A$62,'Données projet'!$B$62,AI52+AH53-AQ52)))</f>
        <v>283.00000000000006</v>
      </c>
      <c r="AJ53" s="14">
        <f>AI53*VLOOKUP('Données projet'!$B$10,Paramètres!$A$1:$I$89,3,0)*VLOOKUP('Données projet'!$B$10,Paramètres!$A$1:$I$89,5,0)</f>
        <v>220.74000000000007</v>
      </c>
      <c r="AK53" s="14">
        <f t="shared" si="35"/>
        <v>54.275689618029304</v>
      </c>
      <c r="AL53" s="22">
        <f t="shared" si="4"/>
        <v>478.98565941806777</v>
      </c>
      <c r="AM53" s="62">
        <f t="shared" si="5"/>
        <v>734.10664094753793</v>
      </c>
      <c r="AN53" s="62">
        <f ca="1">AVERAGE(OFFSET($AM$3,0,0,'Données projet'!$E$10+1,1))-AVERAGE(OFFSET($H$3,0,0,'Données projet'!$E$10+1,1))</f>
        <v>304.39782420428173</v>
      </c>
      <c r="AO53" s="62">
        <f t="shared" si="36"/>
        <v>360.34132229290537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35</v>
      </c>
      <c r="AR53" s="17">
        <f>IF(ISNA(VLOOKUP(A53,'Données projet'!$A$61:$I$81,5,0)),0%,VLOOKUP(A53,'Données projet'!$A$61:$I$81,5,0)*VLOOKUP('Données projet'!$B$10,Paramètres!$A$1:$I$89,7,0))</f>
        <v>0.215</v>
      </c>
      <c r="AS53" s="17">
        <f>IF(ISNA(VLOOKUP(A53,'Données projet'!$A$61:$I$81,6,0)),0%,VLOOKUP(A53,'Données projet'!$A$61:$I$81,6,0)*VLOOKUP('Données projet'!$B$10,Paramètres!$A$1:$I$89,7,0))</f>
        <v>4.3000000000000003E-2</v>
      </c>
      <c r="AT53" s="17">
        <f>IF(ISNA(VLOOKUP(A53,'Données projet'!$A$61:$I$81,7,0)),0%,VLOOKUP(A53,'Données projet'!$A$61:$I$81,7,0))</f>
        <v>0.15</v>
      </c>
      <c r="AU53" s="23">
        <f>EXP(-LN(2)/35)*AU52+(1-EXP(-LN(2)/35))/(LN(2)/35)*AQ53*AR53*VLOOKUP('Données projet'!$B$10,Paramètres!$A$1:$I$89,3,0)*0.475*44/12</f>
        <v>24.263788494420094</v>
      </c>
      <c r="AV53" s="23">
        <f>EXP(-LN(2)/25)*AV52+(1-EXP(-LN(2)/25))/(LN(2)/25)*Calculateur!AQ53*Calculateur!AS53*VLOOKUP('Données projet'!$B$10,Paramètres!$A$1:$I$89,3,0)*0.475*44/12</f>
        <v>4.5401422815709109</v>
      </c>
      <c r="AW53" s="23">
        <f>EXP(-LN(2)/2)*AW52+(1-EXP(-LN(2)/2))/(LN(2)/2)*AQ53*AT53*VLOOKUP('Données projet'!$B$10,Paramètres!$A$1:$I$89,3,0)*0.475*44/12</f>
        <v>4.6968347337804772</v>
      </c>
      <c r="AX53" s="23">
        <f t="shared" si="6"/>
        <v>33.500765509771483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283</v>
      </c>
      <c r="BB53" s="13">
        <f>VLOOKUP(A53,'Données projet'!$A$87:$I$107,9,0)</f>
        <v>11.2</v>
      </c>
      <c r="BC53" s="13">
        <f t="array" ref="BC53">INDEX(BB:BB,MIN(IF(ISNUMBER(BB53:BB249),ROW(BB53:BB249),"")))</f>
        <v>11.2</v>
      </c>
      <c r="BD53" s="13">
        <f>IF('Données projet'!$A$88&gt;35,BD52+BC53-BL52,IF(A53&lt;'Données projet'!$A$88,$BA$205^A53,IF(A53='Données projet'!$A$88,'Données projet'!$B$88,BD52+BC53-BL52)))</f>
        <v>283.00000000000006</v>
      </c>
      <c r="BE53" s="14">
        <f>BD53*VLOOKUP('Données projet'!$B$11,Paramètres!$A$1:$I$89,3,0)*VLOOKUP('Données projet'!$B$11,Paramètres!$A$1:$I$89,5,0)</f>
        <v>220.74000000000007</v>
      </c>
      <c r="BF53" s="14">
        <f t="shared" si="37"/>
        <v>54.275689618029304</v>
      </c>
      <c r="BG53" s="22">
        <f t="shared" si="7"/>
        <v>478.98565941806777</v>
      </c>
      <c r="BH53" s="62">
        <f t="shared" si="8"/>
        <v>734.10664094753793</v>
      </c>
      <c r="BI53" s="62">
        <f ca="1">AVERAGE(OFFSET($BH$3,0,0,'Données projet'!$E$11+1,1))-AVERAGE(OFFSET($H$3,0,0,'Données projet'!$E$11+1,1))</f>
        <v>304.39782420428173</v>
      </c>
      <c r="BJ53" s="62">
        <f t="shared" si="38"/>
        <v>360.34132229290537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35</v>
      </c>
      <c r="BM53" s="17">
        <f>IF(ISNA(VLOOKUP(A53,'Données projet'!$A$87:$I$107,5,0)),0%,VLOOKUP(A53,'Données projet'!$A$87:$I$107,5,0)*VLOOKUP('Données projet'!$B$11,Paramètres!$A$1:$I$89,7,0))</f>
        <v>0.215</v>
      </c>
      <c r="BN53" s="17">
        <f>IF(ISNA(VLOOKUP(A53,'Données projet'!$A$87:$I$107,6,0)),0%,VLOOKUP(A53,'Données projet'!$A$87:$I$107,6,0)*VLOOKUP('Données projet'!$B$11,Paramètres!$A$1:$I$89,7,0))</f>
        <v>4.3000000000000003E-2</v>
      </c>
      <c r="BO53" s="17">
        <f>IF(ISNA(VLOOKUP(A53,'Données projet'!$A$87:$I$107,7,0)),0%,VLOOKUP(A53,'Données projet'!$A$87:$I$107,7,0))</f>
        <v>0.15</v>
      </c>
      <c r="BP53" s="23">
        <f>EXP(-LN(2)/35)*BP52+(1-EXP(-LN(2)/35))/(LN(2)/35)*BL53*BM53*VLOOKUP('Données projet'!$B$11,Paramètres!$A$1:$I$89,3,0)*0.475*44/12</f>
        <v>24.263788494420094</v>
      </c>
      <c r="BQ53" s="23">
        <f>EXP(-LN(2)/25)*BQ52+(1-EXP(-LN(2)/25))/(LN(2)/25)*Calculateur!BL53*Calculateur!BN53*VLOOKUP('Données projet'!$B$11,Paramètres!$A$1:$I$89,3,0)*0.475*44/12</f>
        <v>4.5401422815709109</v>
      </c>
      <c r="BR53" s="23">
        <f>EXP(-LN(2)/2)*BR52+(1-EXP(-LN(2)/2))/(LN(2)/2)*BL53*BO53*VLOOKUP('Données projet'!$B$11,Paramètres!$A$1:$I$89,3,0)*0.475*44/12</f>
        <v>4.6968347337804772</v>
      </c>
      <c r="BS53" s="24">
        <f t="shared" si="9"/>
        <v>33.500765509771483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283</v>
      </c>
      <c r="BW53" s="13">
        <f>VLOOKUP(A53,'Données projet'!$A$113:$I$133,9,0)</f>
        <v>11.2</v>
      </c>
      <c r="BX53" s="13">
        <f t="array" ref="BX53">INDEX(BW:BW,MIN(IF(ISNUMBER(BW53:BW249),ROW(BW53:BW249),"")))</f>
        <v>11.2</v>
      </c>
      <c r="BY53" s="13">
        <f>IF('Données projet'!$A$114&gt;35,BY52+BX53-CG52,IF(A53&lt;'Données projet'!$A$114,$BV$205^A53,IF(A53='Données projet'!$A$114,'Données projet'!$B$114,BY52+BX53-CG52)))</f>
        <v>283.00000000000006</v>
      </c>
      <c r="BZ53" s="14">
        <f>BY53*VLOOKUP('Données projet'!$B$12,Paramètres!$A$1:$I$89,3,0)*VLOOKUP('Données projet'!$B$12,Paramètres!$A$1:$I$89,5,0)</f>
        <v>220.74000000000007</v>
      </c>
      <c r="CA53" s="14">
        <f t="shared" si="39"/>
        <v>54.275689618029304</v>
      </c>
      <c r="CB53" s="22">
        <f t="shared" si="10"/>
        <v>478.98565941806777</v>
      </c>
      <c r="CC53" s="62">
        <f t="shared" si="11"/>
        <v>734.10664094753793</v>
      </c>
      <c r="CD53" s="62">
        <f ca="1">AVERAGE(OFFSET($CC$3,0,0,'Données projet'!$E$12+1,1))-AVERAGE(OFFSET($H$3,0,0,'Données projet'!$E$12+1,1))</f>
        <v>304.39782420428173</v>
      </c>
      <c r="CE53" s="62">
        <f t="shared" si="40"/>
        <v>360.34132229290537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35</v>
      </c>
      <c r="CH53" s="17">
        <f>IF(ISNA(VLOOKUP(A53,'Données projet'!$A$113:$I$133,5,0)),0%,VLOOKUP(A53,'Données projet'!$A$113:$I$133,5,0)*VLOOKUP('Données projet'!$B$12,Paramètres!$A$1:$I$89,7,0))</f>
        <v>0.215</v>
      </c>
      <c r="CI53" s="17">
        <f>IF(ISNA(VLOOKUP(A53,'Données projet'!$A$113:$I$133,6,0)),0%,VLOOKUP(A53,'Données projet'!$A$113:$I$133,6,0)*VLOOKUP('Données projet'!$B$12,Paramètres!$A$1:$I$89,7,0))</f>
        <v>4.3000000000000003E-2</v>
      </c>
      <c r="CJ53" s="17">
        <f>IF(ISNA(VLOOKUP(A53,'Données projet'!$A$113:$I$133,7,0)),0%,VLOOKUP(A53,'Données projet'!$A$113:$I$133,7,0))</f>
        <v>0.15</v>
      </c>
      <c r="CK53" s="23">
        <f>EXP(-LN(2)/35)*CK52+(1-EXP(-LN(2)/35))/(LN(2)/35)*CG53*CH53*VLOOKUP('Données projet'!$B$12,Paramètres!$A$1:$I$89,3,0)*0.475*44/12</f>
        <v>24.263788494420094</v>
      </c>
      <c r="CL53" s="23">
        <f>EXP(-LN(2)/25)*CL52+(1-EXP(-LN(2)/25))/(LN(2)/25)*Calculateur!CG53*Calculateur!CI53*VLOOKUP('Données projet'!$B$12,Paramètres!$A$1:$I$89,3,0)*0.475*44/12</f>
        <v>4.5401422815709109</v>
      </c>
      <c r="CM53" s="23">
        <f>EXP(-LN(2)/2)*CM52+(1-EXP(-LN(2)/2))/(LN(2)/2)*CG53*CJ53*VLOOKUP('Données projet'!$B$12,Paramètres!$A$1:$I$89,3,0)*0.475*44/12</f>
        <v>4.6968347337804772</v>
      </c>
      <c r="CN53" s="24">
        <f t="shared" si="12"/>
        <v>33.500765509771483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11.863636363636363</v>
      </c>
      <c r="N54" s="14">
        <f>IF('Données projet'!$A$36&gt;35,N53+M54-V53,IF(A54&lt;'Données projet'!$A$36,$K$205^A54,IF(A54='Données projet'!$A$36,'Données projet'!$B$36,N53+M54-V53)))</f>
        <v>360.36636363636376</v>
      </c>
      <c r="O54" s="14">
        <f>N54*VLOOKUP('Données projet'!$B$9,Paramètres!$A$1:$I$89,3,0)*VLOOKUP('Données projet'!$B$9,Paramètres!$A$1:$I$89,5,0)</f>
        <v>168.65145818181821</v>
      </c>
      <c r="P54" s="14">
        <f t="shared" si="33"/>
        <v>42.78785522510276</v>
      </c>
      <c r="Q54" s="22">
        <f t="shared" si="53"/>
        <v>368.2568041837207</v>
      </c>
      <c r="R54" s="62">
        <f t="shared" si="0"/>
        <v>624.04068458696747</v>
      </c>
      <c r="S54" s="62">
        <f ca="1">AVERAGE(OFFSET($R$3,0,0,'Données projet'!$E$9+1,1))-AVERAGE(OFFSET($H$3,0,0,'Données projet'!$E$9+1,1))</f>
        <v>234.81928430389272</v>
      </c>
      <c r="T54" s="62">
        <f t="shared" si="34"/>
        <v>294.47057757403411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8.4635181015798722</v>
      </c>
      <c r="AA54" s="23">
        <f>EXP(-LN(2)/25)*AA53+(1-EXP(-LN(2)/25))/(LN(2)/25)*Calculateur!V54*Calculateur!X54*VLOOKUP('Données projet'!$B$9,Paramètres!$A$1:$I$89,3,0)*0.475*44/12</f>
        <v>7.6811368924091816</v>
      </c>
      <c r="AB54" s="23">
        <f>EXP(-LN(2)/2)*AB53+(1-EXP(-LN(2)/2))/(LN(2)/2)*V54*Y54*VLOOKUP('Données projet'!$B$9,Paramètres!$A$1:$I$89,3,0)*0.475*44/12</f>
        <v>0.32516810221904519</v>
      </c>
      <c r="AC54" s="24">
        <f t="shared" si="3"/>
        <v>16.469823096208099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9.8000000000000007</v>
      </c>
      <c r="AI54" s="14">
        <f>IF('Données projet'!$A$62&gt;35,AI53+AH54-AQ53,IF(A54&lt;'Données projet'!$A$62,$AF$205^A54,IF(A54='Données projet'!$A$62,'Données projet'!$B$62,AI53+AH54-AQ53)))</f>
        <v>257.80000000000007</v>
      </c>
      <c r="AJ54" s="14">
        <f>AI54*VLOOKUP('Données projet'!$B$10,Paramètres!$A$1:$I$89,3,0)*VLOOKUP('Données projet'!$B$10,Paramètres!$A$1:$I$89,5,0)</f>
        <v>201.08400000000006</v>
      </c>
      <c r="AK54" s="14">
        <f t="shared" si="35"/>
        <v>49.982323118757684</v>
      </c>
      <c r="AL54" s="22">
        <f t="shared" si="4"/>
        <v>437.27384609850304</v>
      </c>
      <c r="AM54" s="62">
        <f t="shared" si="5"/>
        <v>693.05772650174981</v>
      </c>
      <c r="AN54" s="62">
        <f ca="1">AVERAGE(OFFSET($AM$3,0,0,'Données projet'!$E$10+1,1))-AVERAGE(OFFSET($H$3,0,0,'Données projet'!$E$10+1,1))</f>
        <v>304.39782420428173</v>
      </c>
      <c r="AO54" s="62">
        <f t="shared" si="36"/>
        <v>360.34132229290537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23.787990401494174</v>
      </c>
      <c r="AV54" s="23">
        <f>EXP(-LN(2)/25)*AV53+(1-EXP(-LN(2)/25))/(LN(2)/25)*Calculateur!AQ54*Calculateur!AS54*VLOOKUP('Données projet'!$B$10,Paramètres!$A$1:$I$89,3,0)*0.475*44/12</f>
        <v>4.4159918521256483</v>
      </c>
      <c r="AW54" s="23">
        <f>EXP(-LN(2)/2)*AW53+(1-EXP(-LN(2)/2))/(LN(2)/2)*AQ54*AT54*VLOOKUP('Données projet'!$B$10,Paramètres!$A$1:$I$89,3,0)*0.475*44/12</f>
        <v>3.3211636903686883</v>
      </c>
      <c r="AX54" s="23">
        <f t="shared" si="6"/>
        <v>31.525145943988509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9.8000000000000007</v>
      </c>
      <c r="BD54" s="13">
        <f>IF('Données projet'!$A$88&gt;35,BD53+BC54-BL53,IF(A54&lt;'Données projet'!$A$88,$BA$205^A54,IF(A54='Données projet'!$A$88,'Données projet'!$B$88,BD53+BC54-BL53)))</f>
        <v>257.80000000000007</v>
      </c>
      <c r="BE54" s="14">
        <f>BD54*VLOOKUP('Données projet'!$B$11,Paramètres!$A$1:$I$89,3,0)*VLOOKUP('Données projet'!$B$11,Paramètres!$A$1:$I$89,5,0)</f>
        <v>201.08400000000006</v>
      </c>
      <c r="BF54" s="14">
        <f t="shared" si="37"/>
        <v>49.982323118757684</v>
      </c>
      <c r="BG54" s="22">
        <f t="shared" si="7"/>
        <v>437.27384609850304</v>
      </c>
      <c r="BH54" s="62">
        <f t="shared" si="8"/>
        <v>693.05772650174981</v>
      </c>
      <c r="BI54" s="62">
        <f ca="1">AVERAGE(OFFSET($BH$3,0,0,'Données projet'!$E$11+1,1))-AVERAGE(OFFSET($H$3,0,0,'Données projet'!$E$11+1,1))</f>
        <v>304.39782420428173</v>
      </c>
      <c r="BJ54" s="62">
        <f t="shared" si="38"/>
        <v>360.34132229290537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23.787990401494174</v>
      </c>
      <c r="BQ54" s="23">
        <f>EXP(-LN(2)/25)*BQ53+(1-EXP(-LN(2)/25))/(LN(2)/25)*Calculateur!BL54*Calculateur!BN54*VLOOKUP('Données projet'!$B$11,Paramètres!$A$1:$I$89,3,0)*0.475*44/12</f>
        <v>4.4159918521256483</v>
      </c>
      <c r="BR54" s="23">
        <f>EXP(-LN(2)/2)*BR53+(1-EXP(-LN(2)/2))/(LN(2)/2)*BL54*BO54*VLOOKUP('Données projet'!$B$11,Paramètres!$A$1:$I$89,3,0)*0.475*44/12</f>
        <v>3.3211636903686883</v>
      </c>
      <c r="BS54" s="24">
        <f t="shared" si="9"/>
        <v>31.525145943988509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9.8000000000000007</v>
      </c>
      <c r="BY54" s="13">
        <f>IF('Données projet'!$A$114&gt;35,BY53+BX54-CG53,IF(A54&lt;'Données projet'!$A$114,$BV$205^A54,IF(A54='Données projet'!$A$114,'Données projet'!$B$114,BY53+BX54-CG53)))</f>
        <v>257.80000000000007</v>
      </c>
      <c r="BZ54" s="14">
        <f>BY54*VLOOKUP('Données projet'!$B$12,Paramètres!$A$1:$I$89,3,0)*VLOOKUP('Données projet'!$B$12,Paramètres!$A$1:$I$89,5,0)</f>
        <v>201.08400000000006</v>
      </c>
      <c r="CA54" s="14">
        <f t="shared" si="39"/>
        <v>49.982323118757684</v>
      </c>
      <c r="CB54" s="22">
        <f t="shared" si="10"/>
        <v>437.27384609850304</v>
      </c>
      <c r="CC54" s="62">
        <f t="shared" si="11"/>
        <v>693.05772650174981</v>
      </c>
      <c r="CD54" s="62">
        <f ca="1">AVERAGE(OFFSET($CC$3,0,0,'Données projet'!$E$12+1,1))-AVERAGE(OFFSET($H$3,0,0,'Données projet'!$E$12+1,1))</f>
        <v>304.39782420428173</v>
      </c>
      <c r="CE54" s="62">
        <f t="shared" si="40"/>
        <v>360.34132229290537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23.787990401494174</v>
      </c>
      <c r="CL54" s="23">
        <f>EXP(-LN(2)/25)*CL53+(1-EXP(-LN(2)/25))/(LN(2)/25)*Calculateur!CG54*Calculateur!CI54*VLOOKUP('Données projet'!$B$12,Paramètres!$A$1:$I$89,3,0)*0.475*44/12</f>
        <v>4.4159918521256483</v>
      </c>
      <c r="CM54" s="23">
        <f>EXP(-LN(2)/2)*CM53+(1-EXP(-LN(2)/2))/(LN(2)/2)*CG54*CJ54*VLOOKUP('Données projet'!$B$12,Paramètres!$A$1:$I$89,3,0)*0.475*44/12</f>
        <v>3.3211636903686883</v>
      </c>
      <c r="CN54" s="24">
        <f t="shared" si="12"/>
        <v>31.525145943988509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372.23</v>
      </c>
      <c r="L55" s="13">
        <f>VLOOKUP(A55,'Données projet'!$A$35:$I$55,9,0)</f>
        <v>11.863636363636363</v>
      </c>
      <c r="M55" s="13">
        <f t="array" ref="M55">INDEX(L:L,MIN(IF(ISNUMBER(L55:L251),ROW(L55:L251),"")))</f>
        <v>11.863636363636363</v>
      </c>
      <c r="N55" s="14">
        <f>IF('Données projet'!$A$36&gt;35,N54+M55-V54,IF(A55&lt;'Données projet'!$A$36,$K$205^A55,IF(A55='Données projet'!$A$36,'Données projet'!$B$36,N54+M55-V54)))</f>
        <v>372.23000000000013</v>
      </c>
      <c r="O55" s="14">
        <f>N55*VLOOKUP('Données projet'!$B$9,Paramètres!$A$1:$I$89,3,0)*VLOOKUP('Données projet'!$B$9,Paramètres!$A$1:$I$89,5,0)</f>
        <v>174.20364000000006</v>
      </c>
      <c r="P55" s="14">
        <f t="shared" si="33"/>
        <v>44.030156511214884</v>
      </c>
      <c r="Q55" s="22">
        <f t="shared" si="53"/>
        <v>380.09052892369937</v>
      </c>
      <c r="R55" s="62">
        <f t="shared" si="0"/>
        <v>636.52580838728272</v>
      </c>
      <c r="S55" s="62">
        <f ca="1">AVERAGE(OFFSET($R$3,0,0,'Données projet'!$E$9+1,1))-AVERAGE(OFFSET($H$3,0,0,'Données projet'!$E$9+1,1))</f>
        <v>234.81928430389272</v>
      </c>
      <c r="T55" s="62">
        <f t="shared" si="34"/>
        <v>294.47057757403411</v>
      </c>
      <c r="U55" s="16">
        <f>IF(ISNA(VLOOKUP(A55,'Données projet'!$A$35:$I$55,3,0)),0,VLOOKUP(A55,'Données projet'!$A$35:$I$55,3,0))</f>
        <v>4</v>
      </c>
      <c r="V55" s="16">
        <f>IF(ISNA(VLOOKUP(A55,'Données projet'!$A$35:$I$55,4,0)),0,VLOOKUP(A55,'Données projet'!$A$35:$I$55,4,0))</f>
        <v>74.45</v>
      </c>
      <c r="W55" s="17">
        <f>IF(ISNA(VLOOKUP(A55,'Données projet'!$A$35:$I$55,5,0)),0%,VLOOKUP(A55,'Données projet'!$A$35:$I$55,5,0)*VLOOKUP('Données projet'!$B$9,Paramètres!$A$1:$I$89,7,0))</f>
        <v>0.27500000000000002</v>
      </c>
      <c r="X55" s="17">
        <f>IF(ISNA(VLOOKUP(A55,'Données projet'!$A$35:$I$55,6,0)),0%,VLOOKUP(A55,'Données projet'!$A$35:$I$55,6,0)*VLOOKUP('Données projet'!$B$9,Paramètres!$A$1:$I$89,7,0))</f>
        <v>0.11000000000000001</v>
      </c>
      <c r="Y55" s="17">
        <f>IF(ISNA(VLOOKUP(A55,'Données projet'!$A$35:$I$55,7,0)),0%,VLOOKUP(A55,'Données projet'!$A$35:$I$55,7,0))</f>
        <v>0.3</v>
      </c>
      <c r="Z55" s="23">
        <f>EXP(-LN(2)/35)*Z54+(1-EXP(-LN(2)/35))/(LN(2)/35)*V55*W55*VLOOKUP('Données projet'!$B$9,Paramètres!$A$1:$I$89,3,0)*0.475*44/12</f>
        <v>21.008316214996082</v>
      </c>
      <c r="AA55" s="23">
        <f>EXP(-LN(2)/25)*AA54+(1-EXP(-LN(2)/25))/(LN(2)/25)*Calculateur!V55*Calculateur!X55*VLOOKUP('Données projet'!$B$9,Paramètres!$A$1:$I$89,3,0)*0.475*44/12</f>
        <v>12.535381970491672</v>
      </c>
      <c r="AB55" s="23">
        <f>EXP(-LN(2)/2)*AB54+(1-EXP(-LN(2)/2))/(LN(2)/2)*V55*Y55*VLOOKUP('Données projet'!$B$9,Paramètres!$A$1:$I$89,3,0)*0.475*44/12</f>
        <v>12.06490368504334</v>
      </c>
      <c r="AC55" s="24">
        <f t="shared" si="3"/>
        <v>45.608601870531096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9.8000000000000007</v>
      </c>
      <c r="AI55" s="14">
        <f>IF('Données projet'!$A$62&gt;35,AI54+AH55-AQ54,IF(A55&lt;'Données projet'!$A$62,$AF$205^A55,IF(A55='Données projet'!$A$62,'Données projet'!$B$62,AI54+AH55-AQ54)))</f>
        <v>267.60000000000008</v>
      </c>
      <c r="AJ55" s="14">
        <f>AI55*VLOOKUP('Données projet'!$B$10,Paramètres!$A$1:$I$89,3,0)*VLOOKUP('Données projet'!$B$10,Paramètres!$A$1:$I$89,5,0)</f>
        <v>208.72800000000007</v>
      </c>
      <c r="AK55" s="14">
        <f t="shared" si="35"/>
        <v>51.657523484203345</v>
      </c>
      <c r="AL55" s="22">
        <f t="shared" si="4"/>
        <v>453.50478673498765</v>
      </c>
      <c r="AM55" s="62">
        <f t="shared" si="5"/>
        <v>709.940066198571</v>
      </c>
      <c r="AN55" s="62">
        <f ca="1">AVERAGE(OFFSET($AM$3,0,0,'Données projet'!$E$10+1,1))-AVERAGE(OFFSET($H$3,0,0,'Données projet'!$E$10+1,1))</f>
        <v>304.39782420428173</v>
      </c>
      <c r="AO55" s="62">
        <f t="shared" si="36"/>
        <v>360.34132229290537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23.321522418962349</v>
      </c>
      <c r="AV55" s="23">
        <f>EXP(-LN(2)/25)*AV54+(1-EXP(-LN(2)/25))/(LN(2)/25)*Calculateur!AQ55*Calculateur!AS55*VLOOKUP('Données projet'!$B$10,Paramètres!$A$1:$I$89,3,0)*0.475*44/12</f>
        <v>4.2952363227023538</v>
      </c>
      <c r="AW55" s="23">
        <f>EXP(-LN(2)/2)*AW54+(1-EXP(-LN(2)/2))/(LN(2)/2)*AQ55*AT55*VLOOKUP('Données projet'!$B$10,Paramètres!$A$1:$I$89,3,0)*0.475*44/12</f>
        <v>2.3484173668902391</v>
      </c>
      <c r="AX55" s="23">
        <f t="shared" si="6"/>
        <v>29.965176108554942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9.8000000000000007</v>
      </c>
      <c r="BD55" s="13">
        <f>IF('Données projet'!$A$88&gt;35,BD54+BC55-BL54,IF(A55&lt;'Données projet'!$A$88,$BA$205^A55,IF(A55='Données projet'!$A$88,'Données projet'!$B$88,BD54+BC55-BL54)))</f>
        <v>267.60000000000008</v>
      </c>
      <c r="BE55" s="14">
        <f>BD55*VLOOKUP('Données projet'!$B$11,Paramètres!$A$1:$I$89,3,0)*VLOOKUP('Données projet'!$B$11,Paramètres!$A$1:$I$89,5,0)</f>
        <v>208.72800000000007</v>
      </c>
      <c r="BF55" s="14">
        <f t="shared" si="37"/>
        <v>51.657523484203345</v>
      </c>
      <c r="BG55" s="22">
        <f t="shared" si="7"/>
        <v>453.50478673498765</v>
      </c>
      <c r="BH55" s="62">
        <f t="shared" si="8"/>
        <v>709.940066198571</v>
      </c>
      <c r="BI55" s="62">
        <f ca="1">AVERAGE(OFFSET($BH$3,0,0,'Données projet'!$E$11+1,1))-AVERAGE(OFFSET($H$3,0,0,'Données projet'!$E$11+1,1))</f>
        <v>304.39782420428173</v>
      </c>
      <c r="BJ55" s="62">
        <f t="shared" si="38"/>
        <v>360.34132229290537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23.321522418962349</v>
      </c>
      <c r="BQ55" s="23">
        <f>EXP(-LN(2)/25)*BQ54+(1-EXP(-LN(2)/25))/(LN(2)/25)*Calculateur!BL55*Calculateur!BN55*VLOOKUP('Données projet'!$B$11,Paramètres!$A$1:$I$89,3,0)*0.475*44/12</f>
        <v>4.2952363227023538</v>
      </c>
      <c r="BR55" s="23">
        <f>EXP(-LN(2)/2)*BR54+(1-EXP(-LN(2)/2))/(LN(2)/2)*BL55*BO55*VLOOKUP('Données projet'!$B$11,Paramètres!$A$1:$I$89,3,0)*0.475*44/12</f>
        <v>2.3484173668902391</v>
      </c>
      <c r="BS55" s="24">
        <f t="shared" si="9"/>
        <v>29.965176108554942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9.8000000000000007</v>
      </c>
      <c r="BY55" s="13">
        <f>IF('Données projet'!$A$114&gt;35,BY54+BX55-CG54,IF(A55&lt;'Données projet'!$A$114,$BV$205^A55,IF(A55='Données projet'!$A$114,'Données projet'!$B$114,BY54+BX55-CG54)))</f>
        <v>267.60000000000008</v>
      </c>
      <c r="BZ55" s="14">
        <f>BY55*VLOOKUP('Données projet'!$B$12,Paramètres!$A$1:$I$89,3,0)*VLOOKUP('Données projet'!$B$12,Paramètres!$A$1:$I$89,5,0)</f>
        <v>208.72800000000007</v>
      </c>
      <c r="CA55" s="14">
        <f t="shared" si="39"/>
        <v>51.657523484203345</v>
      </c>
      <c r="CB55" s="22">
        <f t="shared" si="10"/>
        <v>453.50478673498765</v>
      </c>
      <c r="CC55" s="62">
        <f t="shared" si="11"/>
        <v>709.940066198571</v>
      </c>
      <c r="CD55" s="62">
        <f ca="1">AVERAGE(OFFSET($CC$3,0,0,'Données projet'!$E$12+1,1))-AVERAGE(OFFSET($H$3,0,0,'Données projet'!$E$12+1,1))</f>
        <v>304.39782420428173</v>
      </c>
      <c r="CE55" s="62">
        <f t="shared" si="40"/>
        <v>360.34132229290537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23.321522418962349</v>
      </c>
      <c r="CL55" s="23">
        <f>EXP(-LN(2)/25)*CL54+(1-EXP(-LN(2)/25))/(LN(2)/25)*Calculateur!CG55*Calculateur!CI55*VLOOKUP('Données projet'!$B$12,Paramètres!$A$1:$I$89,3,0)*0.475*44/12</f>
        <v>4.2952363227023538</v>
      </c>
      <c r="CM55" s="23">
        <f>EXP(-LN(2)/2)*CM54+(1-EXP(-LN(2)/2))/(LN(2)/2)*CG55*CJ55*VLOOKUP('Données projet'!$B$12,Paramètres!$A$1:$I$89,3,0)*0.475*44/12</f>
        <v>2.3484173668902391</v>
      </c>
      <c r="CN55" s="24">
        <f t="shared" si="12"/>
        <v>29.965176108554942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13.499999999999993</v>
      </c>
      <c r="N56" s="14">
        <f>IF('Données projet'!$A$36&gt;35,N55+M56-V55,IF(A56&lt;'Données projet'!$A$36,$K$205^A56,IF(A56='Données projet'!$A$36,'Données projet'!$B$36,N55+M56-V55)))</f>
        <v>311.28000000000014</v>
      </c>
      <c r="O56" s="14">
        <f>N56*VLOOKUP('Données projet'!$B$9,Paramètres!$A$1:$I$89,3,0)*VLOOKUP('Données projet'!$B$9,Paramètres!$A$1:$I$89,5,0)</f>
        <v>145.67904000000007</v>
      </c>
      <c r="P56" s="14">
        <f t="shared" si="33"/>
        <v>37.594967756759957</v>
      </c>
      <c r="Q56" s="22">
        <f t="shared" si="53"/>
        <v>319.20223017635703</v>
      </c>
      <c r="R56" s="62">
        <f t="shared" si="0"/>
        <v>576.27760838289032</v>
      </c>
      <c r="S56" s="62">
        <f ca="1">AVERAGE(OFFSET($R$3,0,0,'Données projet'!$E$9+1,1))-AVERAGE(OFFSET($H$3,0,0,'Données projet'!$E$9+1,1))</f>
        <v>234.81928430389272</v>
      </c>
      <c r="T56" s="62">
        <f t="shared" si="34"/>
        <v>294.47057757403411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20.596355947827643</v>
      </c>
      <c r="AA56" s="23">
        <f>EXP(-LN(2)/25)*AA55+(1-EXP(-LN(2)/25))/(LN(2)/25)*Calculateur!V56*Calculateur!X56*VLOOKUP('Données projet'!$B$9,Paramètres!$A$1:$I$89,3,0)*0.475*44/12</f>
        <v>12.192601291301489</v>
      </c>
      <c r="AB56" s="23">
        <f>EXP(-LN(2)/2)*AB55+(1-EXP(-LN(2)/2))/(LN(2)/2)*V56*Y56*VLOOKUP('Données projet'!$B$9,Paramètres!$A$1:$I$89,3,0)*0.475*44/12</f>
        <v>8.5311752100567126</v>
      </c>
      <c r="AC56" s="24">
        <f t="shared" si="3"/>
        <v>41.320132449185849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9.8000000000000007</v>
      </c>
      <c r="AI56" s="14">
        <f>IF('Données projet'!$A$62&gt;35,AI55+AH56-AQ55,IF(A56&lt;'Données projet'!$A$62,$AF$205^A56,IF(A56='Données projet'!$A$62,'Données projet'!$B$62,AI55+AH56-AQ55)))</f>
        <v>277.40000000000009</v>
      </c>
      <c r="AJ56" s="14">
        <f>AI56*VLOOKUP('Données projet'!$B$10,Paramètres!$A$1:$I$89,3,0)*VLOOKUP('Données projet'!$B$10,Paramètres!$A$1:$I$89,5,0)</f>
        <v>216.37200000000007</v>
      </c>
      <c r="AK56" s="14">
        <f t="shared" si="35"/>
        <v>53.325596354398634</v>
      </c>
      <c r="AL56" s="22">
        <f t="shared" si="4"/>
        <v>469.72331365057767</v>
      </c>
      <c r="AM56" s="62">
        <f t="shared" si="5"/>
        <v>726.79869185711095</v>
      </c>
      <c r="AN56" s="62">
        <f ca="1">AVERAGE(OFFSET($AM$3,0,0,'Données projet'!$E$10+1,1))-AVERAGE(OFFSET($H$3,0,0,'Données projet'!$E$10+1,1))</f>
        <v>304.39782420428173</v>
      </c>
      <c r="AO56" s="62">
        <f t="shared" si="36"/>
        <v>360.34132229290537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22.864201589050598</v>
      </c>
      <c r="AV56" s="23">
        <f>EXP(-LN(2)/25)*AV55+(1-EXP(-LN(2)/25))/(LN(2)/25)*Calculateur!AQ56*Calculateur!AS56*VLOOKUP('Données projet'!$B$10,Paramètres!$A$1:$I$89,3,0)*0.475*44/12</f>
        <v>4.1777828595813968</v>
      </c>
      <c r="AW56" s="23">
        <f>EXP(-LN(2)/2)*AW55+(1-EXP(-LN(2)/2))/(LN(2)/2)*AQ56*AT56*VLOOKUP('Données projet'!$B$10,Paramètres!$A$1:$I$89,3,0)*0.475*44/12</f>
        <v>1.6605818451843444</v>
      </c>
      <c r="AX56" s="23">
        <f t="shared" si="6"/>
        <v>28.702566293816339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9.8000000000000007</v>
      </c>
      <c r="BD56" s="13">
        <f>IF('Données projet'!$A$88&gt;35,BD55+BC56-BL55,IF(A56&lt;'Données projet'!$A$88,$BA$205^A56,IF(A56='Données projet'!$A$88,'Données projet'!$B$88,BD55+BC56-BL55)))</f>
        <v>277.40000000000009</v>
      </c>
      <c r="BE56" s="14">
        <f>BD56*VLOOKUP('Données projet'!$B$11,Paramètres!$A$1:$I$89,3,0)*VLOOKUP('Données projet'!$B$11,Paramètres!$A$1:$I$89,5,0)</f>
        <v>216.37200000000007</v>
      </c>
      <c r="BF56" s="14">
        <f t="shared" si="37"/>
        <v>53.325596354398634</v>
      </c>
      <c r="BG56" s="22">
        <f t="shared" si="7"/>
        <v>469.72331365057767</v>
      </c>
      <c r="BH56" s="62">
        <f t="shared" si="8"/>
        <v>726.79869185711095</v>
      </c>
      <c r="BI56" s="62">
        <f ca="1">AVERAGE(OFFSET($BH$3,0,0,'Données projet'!$E$11+1,1))-AVERAGE(OFFSET($H$3,0,0,'Données projet'!$E$11+1,1))</f>
        <v>304.39782420428173</v>
      </c>
      <c r="BJ56" s="62">
        <f t="shared" si="38"/>
        <v>360.34132229290537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22.864201589050598</v>
      </c>
      <c r="BQ56" s="23">
        <f>EXP(-LN(2)/25)*BQ55+(1-EXP(-LN(2)/25))/(LN(2)/25)*Calculateur!BL56*Calculateur!BN56*VLOOKUP('Données projet'!$B$11,Paramètres!$A$1:$I$89,3,0)*0.475*44/12</f>
        <v>4.1777828595813968</v>
      </c>
      <c r="BR56" s="23">
        <f>EXP(-LN(2)/2)*BR55+(1-EXP(-LN(2)/2))/(LN(2)/2)*BL56*BO56*VLOOKUP('Données projet'!$B$11,Paramètres!$A$1:$I$89,3,0)*0.475*44/12</f>
        <v>1.6605818451843444</v>
      </c>
      <c r="BS56" s="24">
        <f t="shared" si="9"/>
        <v>28.702566293816339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9.8000000000000007</v>
      </c>
      <c r="BY56" s="13">
        <f>IF('Données projet'!$A$114&gt;35,BY55+BX56-CG55,IF(A56&lt;'Données projet'!$A$114,$BV$205^A56,IF(A56='Données projet'!$A$114,'Données projet'!$B$114,BY55+BX56-CG55)))</f>
        <v>277.40000000000009</v>
      </c>
      <c r="BZ56" s="14">
        <f>BY56*VLOOKUP('Données projet'!$B$12,Paramètres!$A$1:$I$89,3,0)*VLOOKUP('Données projet'!$B$12,Paramètres!$A$1:$I$89,5,0)</f>
        <v>216.37200000000007</v>
      </c>
      <c r="CA56" s="14">
        <f t="shared" si="39"/>
        <v>53.325596354398634</v>
      </c>
      <c r="CB56" s="22">
        <f t="shared" si="10"/>
        <v>469.72331365057767</v>
      </c>
      <c r="CC56" s="62">
        <f t="shared" si="11"/>
        <v>726.79869185711095</v>
      </c>
      <c r="CD56" s="62">
        <f ca="1">AVERAGE(OFFSET($CC$3,0,0,'Données projet'!$E$12+1,1))-AVERAGE(OFFSET($H$3,0,0,'Données projet'!$E$12+1,1))</f>
        <v>304.39782420428173</v>
      </c>
      <c r="CE56" s="62">
        <f t="shared" si="40"/>
        <v>360.34132229290537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22.864201589050598</v>
      </c>
      <c r="CL56" s="23">
        <f>EXP(-LN(2)/25)*CL55+(1-EXP(-LN(2)/25))/(LN(2)/25)*Calculateur!CG56*Calculateur!CI56*VLOOKUP('Données projet'!$B$12,Paramètres!$A$1:$I$89,3,0)*0.475*44/12</f>
        <v>4.1777828595813968</v>
      </c>
      <c r="CM56" s="23">
        <f>EXP(-LN(2)/2)*CM55+(1-EXP(-LN(2)/2))/(LN(2)/2)*CG56*CJ56*VLOOKUP('Données projet'!$B$12,Paramètres!$A$1:$I$89,3,0)*0.475*44/12</f>
        <v>1.6605818451843444</v>
      </c>
      <c r="CN56" s="24">
        <f t="shared" si="12"/>
        <v>28.702566293816339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13.499999999999993</v>
      </c>
      <c r="N57" s="14">
        <f>IF('Données projet'!$A$36&gt;35,N56+M57-V56,IF(A57&lt;'Données projet'!$A$36,$K$205^A57,IF(A57='Données projet'!$A$36,'Données projet'!$B$36,N56+M57-V56)))</f>
        <v>324.78000000000014</v>
      </c>
      <c r="O57" s="14">
        <f>N57*VLOOKUP('Données projet'!$B$9,Paramètres!$A$1:$I$89,3,0)*VLOOKUP('Données projet'!$B$9,Paramètres!$A$1:$I$89,5,0)</f>
        <v>151.99704000000006</v>
      </c>
      <c r="P57" s="14">
        <f t="shared" si="33"/>
        <v>39.03207020267962</v>
      </c>
      <c r="Q57" s="22">
        <f t="shared" si="53"/>
        <v>332.70903360300042</v>
      </c>
      <c r="R57" s="62">
        <f t="shared" si="0"/>
        <v>590.41340627033969</v>
      </c>
      <c r="S57" s="62">
        <f ca="1">AVERAGE(OFFSET($R$3,0,0,'Données projet'!$E$9+1,1))-AVERAGE(OFFSET($H$3,0,0,'Données projet'!$E$9+1,1))</f>
        <v>234.81928430389272</v>
      </c>
      <c r="T57" s="62">
        <f t="shared" si="34"/>
        <v>294.47057757403411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20.192473970227425</v>
      </c>
      <c r="AA57" s="23">
        <f>EXP(-LN(2)/25)*AA56+(1-EXP(-LN(2)/25))/(LN(2)/25)*Calculateur!V57*Calculateur!X57*VLOOKUP('Données projet'!$B$9,Paramètres!$A$1:$I$89,3,0)*0.475*44/12</f>
        <v>11.859193967809814</v>
      </c>
      <c r="AB57" s="23">
        <f>EXP(-LN(2)/2)*AB56+(1-EXP(-LN(2)/2))/(LN(2)/2)*V57*Y57*VLOOKUP('Données projet'!$B$9,Paramètres!$A$1:$I$89,3,0)*0.475*44/12</f>
        <v>6.0324518425216711</v>
      </c>
      <c r="AC57" s="24">
        <f t="shared" si="3"/>
        <v>38.084119780558915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9.8000000000000007</v>
      </c>
      <c r="AI57" s="14">
        <f>IF('Données projet'!$A$62&gt;35,AI56+AH57-AQ56,IF(A57&lt;'Données projet'!$A$62,$AF$205^A57,IF(A57='Données projet'!$A$62,'Données projet'!$B$62,AI56+AH57-AQ56)))</f>
        <v>287.2000000000001</v>
      </c>
      <c r="AJ57" s="14">
        <f>AI57*VLOOKUP('Données projet'!$B$10,Paramètres!$A$1:$I$89,3,0)*VLOOKUP('Données projet'!$B$10,Paramètres!$A$1:$I$89,5,0)</f>
        <v>224.01600000000008</v>
      </c>
      <c r="AK57" s="14">
        <f t="shared" si="35"/>
        <v>54.986822380896371</v>
      </c>
      <c r="AL57" s="22">
        <f t="shared" si="4"/>
        <v>485.92991564672792</v>
      </c>
      <c r="AM57" s="62">
        <f t="shared" si="5"/>
        <v>743.63428831406725</v>
      </c>
      <c r="AN57" s="62">
        <f ca="1">AVERAGE(OFFSET($AM$3,0,0,'Données projet'!$E$10+1,1))-AVERAGE(OFFSET($H$3,0,0,'Données projet'!$E$10+1,1))</f>
        <v>304.39782420428173</v>
      </c>
      <c r="AO57" s="62">
        <f t="shared" si="36"/>
        <v>360.34132229290537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22.415848541675253</v>
      </c>
      <c r="AV57" s="23">
        <f>EXP(-LN(2)/25)*AV56+(1-EXP(-LN(2)/25))/(LN(2)/25)*Calculateur!AQ57*Calculateur!AS57*VLOOKUP('Données projet'!$B$10,Paramètres!$A$1:$I$89,3,0)*0.475*44/12</f>
        <v>4.0635411675860915</v>
      </c>
      <c r="AW57" s="23">
        <f>EXP(-LN(2)/2)*AW56+(1-EXP(-LN(2)/2))/(LN(2)/2)*AQ57*AT57*VLOOKUP('Données projet'!$B$10,Paramètres!$A$1:$I$89,3,0)*0.475*44/12</f>
        <v>1.1742086834451195</v>
      </c>
      <c r="AX57" s="23">
        <f t="shared" si="6"/>
        <v>27.653598392706463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9.8000000000000007</v>
      </c>
      <c r="BD57" s="13">
        <f>IF('Données projet'!$A$88&gt;35,BD56+BC57-BL56,IF(A57&lt;'Données projet'!$A$88,$BA$205^A57,IF(A57='Données projet'!$A$88,'Données projet'!$B$88,BD56+BC57-BL56)))</f>
        <v>287.2000000000001</v>
      </c>
      <c r="BE57" s="14">
        <f>BD57*VLOOKUP('Données projet'!$B$11,Paramètres!$A$1:$I$89,3,0)*VLOOKUP('Données projet'!$B$11,Paramètres!$A$1:$I$89,5,0)</f>
        <v>224.01600000000008</v>
      </c>
      <c r="BF57" s="14">
        <f t="shared" si="37"/>
        <v>54.986822380896371</v>
      </c>
      <c r="BG57" s="22">
        <f t="shared" si="7"/>
        <v>485.92991564672792</v>
      </c>
      <c r="BH57" s="62">
        <f t="shared" si="8"/>
        <v>743.63428831406725</v>
      </c>
      <c r="BI57" s="62">
        <f ca="1">AVERAGE(OFFSET($BH$3,0,0,'Données projet'!$E$11+1,1))-AVERAGE(OFFSET($H$3,0,0,'Données projet'!$E$11+1,1))</f>
        <v>304.39782420428173</v>
      </c>
      <c r="BJ57" s="62">
        <f t="shared" si="38"/>
        <v>360.34132229290537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22.415848541675253</v>
      </c>
      <c r="BQ57" s="23">
        <f>EXP(-LN(2)/25)*BQ56+(1-EXP(-LN(2)/25))/(LN(2)/25)*Calculateur!BL57*Calculateur!BN57*VLOOKUP('Données projet'!$B$11,Paramètres!$A$1:$I$89,3,0)*0.475*44/12</f>
        <v>4.0635411675860915</v>
      </c>
      <c r="BR57" s="23">
        <f>EXP(-LN(2)/2)*BR56+(1-EXP(-LN(2)/2))/(LN(2)/2)*BL57*BO57*VLOOKUP('Données projet'!$B$11,Paramètres!$A$1:$I$89,3,0)*0.475*44/12</f>
        <v>1.1742086834451195</v>
      </c>
      <c r="BS57" s="24">
        <f t="shared" si="9"/>
        <v>27.653598392706463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9.8000000000000007</v>
      </c>
      <c r="BY57" s="13">
        <f>IF('Données projet'!$A$114&gt;35,BY56+BX57-CG56,IF(A57&lt;'Données projet'!$A$114,$BV$205^A57,IF(A57='Données projet'!$A$114,'Données projet'!$B$114,BY56+BX57-CG56)))</f>
        <v>287.2000000000001</v>
      </c>
      <c r="BZ57" s="14">
        <f>BY57*VLOOKUP('Données projet'!$B$12,Paramètres!$A$1:$I$89,3,0)*VLOOKUP('Données projet'!$B$12,Paramètres!$A$1:$I$89,5,0)</f>
        <v>224.01600000000008</v>
      </c>
      <c r="CA57" s="14">
        <f t="shared" si="39"/>
        <v>54.986822380896371</v>
      </c>
      <c r="CB57" s="22">
        <f t="shared" si="10"/>
        <v>485.92991564672792</v>
      </c>
      <c r="CC57" s="62">
        <f t="shared" si="11"/>
        <v>743.63428831406725</v>
      </c>
      <c r="CD57" s="62">
        <f ca="1">AVERAGE(OFFSET($CC$3,0,0,'Données projet'!$E$12+1,1))-AVERAGE(OFFSET($H$3,0,0,'Données projet'!$E$12+1,1))</f>
        <v>304.39782420428173</v>
      </c>
      <c r="CE57" s="62">
        <f t="shared" si="40"/>
        <v>360.34132229290537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22.415848541675253</v>
      </c>
      <c r="CL57" s="23">
        <f>EXP(-LN(2)/25)*CL56+(1-EXP(-LN(2)/25))/(LN(2)/25)*Calculateur!CG57*Calculateur!CI57*VLOOKUP('Données projet'!$B$12,Paramètres!$A$1:$I$89,3,0)*0.475*44/12</f>
        <v>4.0635411675860915</v>
      </c>
      <c r="CM57" s="23">
        <f>EXP(-LN(2)/2)*CM56+(1-EXP(-LN(2)/2))/(LN(2)/2)*CG57*CJ57*VLOOKUP('Données projet'!$B$12,Paramètres!$A$1:$I$89,3,0)*0.475*44/12</f>
        <v>1.1742086834451195</v>
      </c>
      <c r="CN57" s="24">
        <f t="shared" si="12"/>
        <v>27.653598392706463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13.499999999999993</v>
      </c>
      <c r="N58" s="14">
        <f>IF('Données projet'!$A$36&gt;35,N57+M58-V57,IF(A58&lt;'Données projet'!$A$36,$K$205^A58,IF(A58='Données projet'!$A$36,'Données projet'!$B$36,N57+M58-V57)))</f>
        <v>338.28000000000014</v>
      </c>
      <c r="O58" s="14">
        <f>N58*VLOOKUP('Données projet'!$B$9,Paramètres!$A$1:$I$89,3,0)*VLOOKUP('Données projet'!$B$9,Paramètres!$A$1:$I$89,5,0)</f>
        <v>158.31504000000007</v>
      </c>
      <c r="P58" s="14">
        <f t="shared" si="33"/>
        <v>40.462234124775541</v>
      </c>
      <c r="Q58" s="22">
        <f t="shared" si="53"/>
        <v>346.20375243398416</v>
      </c>
      <c r="R58" s="62">
        <f t="shared" si="0"/>
        <v>604.52620791445554</v>
      </c>
      <c r="S58" s="62">
        <f ca="1">AVERAGE(OFFSET($R$3,0,0,'Données projet'!$E$9+1,1))-AVERAGE(OFFSET($H$3,0,0,'Données projet'!$E$9+1,1))</f>
        <v>234.81928430389272</v>
      </c>
      <c r="T58" s="62">
        <f t="shared" si="34"/>
        <v>294.47057757403411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19.796511871864265</v>
      </c>
      <c r="AA58" s="23">
        <f>EXP(-LN(2)/25)*AA57+(1-EXP(-LN(2)/25))/(LN(2)/25)*Calculateur!V58*Calculateur!X58*VLOOKUP('Données projet'!$B$9,Paramètres!$A$1:$I$89,3,0)*0.475*44/12</f>
        <v>11.534903685112148</v>
      </c>
      <c r="AB58" s="23">
        <f>EXP(-LN(2)/2)*AB57+(1-EXP(-LN(2)/2))/(LN(2)/2)*V58*Y58*VLOOKUP('Données projet'!$B$9,Paramètres!$A$1:$I$89,3,0)*0.475*44/12</f>
        <v>4.2655876050283572</v>
      </c>
      <c r="AC58" s="24">
        <f t="shared" si="3"/>
        <v>35.597003162004768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297</v>
      </c>
      <c r="AG58" s="13">
        <f>VLOOKUP(A58,'Données projet'!$A$61:$I$81,9,0)</f>
        <v>9.8000000000000007</v>
      </c>
      <c r="AH58" s="13">
        <f t="array" ref="AH58">INDEX(AG:AG,MIN(IF(ISNUMBER(AG58:AG254),ROW(AG58:AG254),"")))</f>
        <v>9.8000000000000007</v>
      </c>
      <c r="AI58" s="14">
        <f>IF('Données projet'!$A$62&gt;35,AI57+AH58-AQ57,IF(A58&lt;'Données projet'!$A$62,$AF$205^A58,IF(A58='Données projet'!$A$62,'Données projet'!$B$62,AI57+AH58-AQ57)))</f>
        <v>297.00000000000011</v>
      </c>
      <c r="AJ58" s="14">
        <f>AI58*VLOOKUP('Données projet'!$B$10,Paramètres!$A$1:$I$89,3,0)*VLOOKUP('Données projet'!$B$10,Paramètres!$A$1:$I$89,5,0)</f>
        <v>231.66000000000011</v>
      </c>
      <c r="AK58" s="14">
        <f t="shared" si="35"/>
        <v>56.641461975682823</v>
      </c>
      <c r="AL58" s="22">
        <f t="shared" si="4"/>
        <v>502.1250462743144</v>
      </c>
      <c r="AM58" s="62">
        <f t="shared" si="5"/>
        <v>760.44750175478578</v>
      </c>
      <c r="AN58" s="62">
        <f ca="1">AVERAGE(OFFSET($AM$3,0,0,'Données projet'!$E$10+1,1))-AVERAGE(OFFSET($H$3,0,0,'Données projet'!$E$10+1,1))</f>
        <v>304.39782420428173</v>
      </c>
      <c r="AO58" s="62">
        <f t="shared" si="36"/>
        <v>360.34132229290537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35</v>
      </c>
      <c r="AR58" s="17">
        <f>IF(ISNA(VLOOKUP(A58,'Données projet'!$A$61:$I$81,5,0)),0%,VLOOKUP(A58,'Données projet'!$A$61:$I$81,5,0)*VLOOKUP('Données projet'!$B$10,Paramètres!$A$1:$I$89,7,0))</f>
        <v>0.215</v>
      </c>
      <c r="AS58" s="17">
        <f>IF(ISNA(VLOOKUP(A58,'Données projet'!$A$61:$I$81,6,0)),0%,VLOOKUP(A58,'Données projet'!$A$61:$I$81,6,0)*VLOOKUP('Données projet'!$B$10,Paramètres!$A$1:$I$89,7,0))</f>
        <v>4.3000000000000003E-2</v>
      </c>
      <c r="AT58" s="17">
        <f>IF(ISNA(VLOOKUP(A58,'Données projet'!$A$61:$I$81,7,0)),0%,VLOOKUP(A58,'Données projet'!$A$61:$I$81,7,0))</f>
        <v>0.15</v>
      </c>
      <c r="AU58" s="23">
        <f>EXP(-LN(2)/35)*AU57+(1-EXP(-LN(2)/35))/(LN(2)/35)*AQ58*AR58*VLOOKUP('Données projet'!$B$10,Paramètres!$A$1:$I$89,3,0)*0.475*44/12</f>
        <v>28.464845816759233</v>
      </c>
      <c r="AV58" s="23">
        <f>EXP(-LN(2)/25)*AV57+(1-EXP(-LN(2)/25))/(LN(2)/25)*Calculateur!AQ58*Calculateur!AS58*VLOOKUP('Données projet'!$B$10,Paramètres!$A$1:$I$89,3,0)*0.475*44/12</f>
        <v>5.245025513854535</v>
      </c>
      <c r="AW58" s="23">
        <f>EXP(-LN(2)/2)*AW57+(1-EXP(-LN(2)/2))/(LN(2)/2)*AQ58*AT58*VLOOKUP('Données projet'!$B$10,Paramètres!$A$1:$I$89,3,0)*0.475*44/12</f>
        <v>4.6940336379012368</v>
      </c>
      <c r="AX58" s="23">
        <f t="shared" si="6"/>
        <v>38.403904968515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297</v>
      </c>
      <c r="BB58" s="13">
        <f>VLOOKUP(A58,'Données projet'!$A$87:$I$107,9,0)</f>
        <v>9.8000000000000007</v>
      </c>
      <c r="BC58" s="13">
        <f t="array" ref="BC58">INDEX(BB:BB,MIN(IF(ISNUMBER(BB58:BB254),ROW(BB58:BB254),"")))</f>
        <v>9.8000000000000007</v>
      </c>
      <c r="BD58" s="13">
        <f>IF('Données projet'!$A$88&gt;35,BD57+BC58-BL57,IF(A58&lt;'Données projet'!$A$88,$BA$205^A58,IF(A58='Données projet'!$A$88,'Données projet'!$B$88,BD57+BC58-BL57)))</f>
        <v>297.00000000000011</v>
      </c>
      <c r="BE58" s="14">
        <f>BD58*VLOOKUP('Données projet'!$B$11,Paramètres!$A$1:$I$89,3,0)*VLOOKUP('Données projet'!$B$11,Paramètres!$A$1:$I$89,5,0)</f>
        <v>231.66000000000011</v>
      </c>
      <c r="BF58" s="14">
        <f t="shared" si="37"/>
        <v>56.641461975682823</v>
      </c>
      <c r="BG58" s="22">
        <f t="shared" si="7"/>
        <v>502.1250462743144</v>
      </c>
      <c r="BH58" s="62">
        <f t="shared" si="8"/>
        <v>760.44750175478578</v>
      </c>
      <c r="BI58" s="62">
        <f ca="1">AVERAGE(OFFSET($BH$3,0,0,'Données projet'!$E$11+1,1))-AVERAGE(OFFSET($H$3,0,0,'Données projet'!$E$11+1,1))</f>
        <v>304.39782420428173</v>
      </c>
      <c r="BJ58" s="62">
        <f t="shared" si="38"/>
        <v>360.34132229290537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35</v>
      </c>
      <c r="BM58" s="17">
        <f>IF(ISNA(VLOOKUP(A58,'Données projet'!$A$87:$I$107,5,0)),0%,VLOOKUP(A58,'Données projet'!$A$87:$I$107,5,0)*VLOOKUP('Données projet'!$B$11,Paramètres!$A$1:$I$89,7,0))</f>
        <v>0.215</v>
      </c>
      <c r="BN58" s="17">
        <f>IF(ISNA(VLOOKUP(A58,'Données projet'!$A$87:$I$107,6,0)),0%,VLOOKUP(A58,'Données projet'!$A$87:$I$107,6,0)*VLOOKUP('Données projet'!$B$11,Paramètres!$A$1:$I$89,7,0))</f>
        <v>4.3000000000000003E-2</v>
      </c>
      <c r="BO58" s="17">
        <f>IF(ISNA(VLOOKUP(A58,'Données projet'!$A$87:$I$107,7,0)),0%,VLOOKUP(A58,'Données projet'!$A$87:$I$107,7,0))</f>
        <v>0.15</v>
      </c>
      <c r="BP58" s="23">
        <f>EXP(-LN(2)/35)*BP57+(1-EXP(-LN(2)/35))/(LN(2)/35)*BL58*BM58*VLOOKUP('Données projet'!$B$11,Paramètres!$A$1:$I$89,3,0)*0.475*44/12</f>
        <v>28.464845816759233</v>
      </c>
      <c r="BQ58" s="23">
        <f>EXP(-LN(2)/25)*BQ57+(1-EXP(-LN(2)/25))/(LN(2)/25)*Calculateur!BL58*Calculateur!BN58*VLOOKUP('Données projet'!$B$11,Paramètres!$A$1:$I$89,3,0)*0.475*44/12</f>
        <v>5.245025513854535</v>
      </c>
      <c r="BR58" s="23">
        <f>EXP(-LN(2)/2)*BR57+(1-EXP(-LN(2)/2))/(LN(2)/2)*BL58*BO58*VLOOKUP('Données projet'!$B$11,Paramètres!$A$1:$I$89,3,0)*0.475*44/12</f>
        <v>4.6940336379012368</v>
      </c>
      <c r="BS58" s="24">
        <f t="shared" si="9"/>
        <v>38.403904968515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297</v>
      </c>
      <c r="BW58" s="13">
        <f>VLOOKUP(A58,'Données projet'!$A$113:$I$133,9,0)</f>
        <v>9.8000000000000007</v>
      </c>
      <c r="BX58" s="13">
        <f t="array" ref="BX58">INDEX(BW:BW,MIN(IF(ISNUMBER(BW58:BW254),ROW(BW58:BW254),"")))</f>
        <v>9.8000000000000007</v>
      </c>
      <c r="BY58" s="13">
        <f>IF('Données projet'!$A$114&gt;35,BY57+BX58-CG57,IF(A58&lt;'Données projet'!$A$114,$BV$205^A58,IF(A58='Données projet'!$A$114,'Données projet'!$B$114,BY57+BX58-CG57)))</f>
        <v>297.00000000000011</v>
      </c>
      <c r="BZ58" s="14">
        <f>BY58*VLOOKUP('Données projet'!$B$12,Paramètres!$A$1:$I$89,3,0)*VLOOKUP('Données projet'!$B$12,Paramètres!$A$1:$I$89,5,0)</f>
        <v>231.66000000000011</v>
      </c>
      <c r="CA58" s="14">
        <f t="shared" si="39"/>
        <v>56.641461975682823</v>
      </c>
      <c r="CB58" s="22">
        <f t="shared" si="10"/>
        <v>502.1250462743144</v>
      </c>
      <c r="CC58" s="62">
        <f t="shared" si="11"/>
        <v>760.44750175478578</v>
      </c>
      <c r="CD58" s="62">
        <f ca="1">AVERAGE(OFFSET($CC$3,0,0,'Données projet'!$E$12+1,1))-AVERAGE(OFFSET($H$3,0,0,'Données projet'!$E$12+1,1))</f>
        <v>304.39782420428173</v>
      </c>
      <c r="CE58" s="62">
        <f t="shared" si="40"/>
        <v>360.34132229290537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35</v>
      </c>
      <c r="CH58" s="17">
        <f>IF(ISNA(VLOOKUP(A58,'Données projet'!$A$113:$I$133,5,0)),0%,VLOOKUP(A58,'Données projet'!$A$113:$I$133,5,0)*VLOOKUP('Données projet'!$B$12,Paramètres!$A$1:$I$89,7,0))</f>
        <v>0.215</v>
      </c>
      <c r="CI58" s="17">
        <f>IF(ISNA(VLOOKUP(A58,'Données projet'!$A$113:$I$133,6,0)),0%,VLOOKUP(A58,'Données projet'!$A$113:$I$133,6,0)*VLOOKUP('Données projet'!$B$12,Paramètres!$A$1:$I$89,7,0))</f>
        <v>4.3000000000000003E-2</v>
      </c>
      <c r="CJ58" s="17">
        <f>IF(ISNA(VLOOKUP(A58,'Données projet'!$A$113:$I$133,7,0)),0%,VLOOKUP(A58,'Données projet'!$A$113:$I$133,7,0))</f>
        <v>0.15</v>
      </c>
      <c r="CK58" s="23">
        <f>EXP(-LN(2)/35)*CK57+(1-EXP(-LN(2)/35))/(LN(2)/35)*CG58*CH58*VLOOKUP('Données projet'!$B$12,Paramètres!$A$1:$I$89,3,0)*0.475*44/12</f>
        <v>28.464845816759233</v>
      </c>
      <c r="CL58" s="23">
        <f>EXP(-LN(2)/25)*CL57+(1-EXP(-LN(2)/25))/(LN(2)/25)*Calculateur!CG58*Calculateur!CI58*VLOOKUP('Données projet'!$B$12,Paramètres!$A$1:$I$89,3,0)*0.475*44/12</f>
        <v>5.245025513854535</v>
      </c>
      <c r="CM58" s="23">
        <f>EXP(-LN(2)/2)*CM57+(1-EXP(-LN(2)/2))/(LN(2)/2)*CG58*CJ58*VLOOKUP('Données projet'!$B$12,Paramètres!$A$1:$I$89,3,0)*0.475*44/12</f>
        <v>4.6940336379012368</v>
      </c>
      <c r="CN58" s="24">
        <f t="shared" si="12"/>
        <v>38.403904968515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13.499999999999993</v>
      </c>
      <c r="N59" s="14">
        <f>IF('Données projet'!$A$36&gt;35,N58+M59-V58,IF(A59&lt;'Données projet'!$A$36,$K$205^A59,IF(A59='Données projet'!$A$36,'Données projet'!$B$36,N58+M59-V58)))</f>
        <v>351.78000000000014</v>
      </c>
      <c r="O59" s="14">
        <f>N59*VLOOKUP('Données projet'!$B$9,Paramètres!$A$1:$I$89,3,0)*VLOOKUP('Données projet'!$B$9,Paramètres!$A$1:$I$89,5,0)</f>
        <v>164.63304000000005</v>
      </c>
      <c r="P59" s="14">
        <f t="shared" si="33"/>
        <v>41.885768105350103</v>
      </c>
      <c r="Q59" s="22">
        <f t="shared" si="53"/>
        <v>359.68692411681815</v>
      </c>
      <c r="R59" s="62">
        <f t="shared" si="0"/>
        <v>618.61674005543989</v>
      </c>
      <c r="S59" s="62">
        <f ca="1">AVERAGE(OFFSET($R$3,0,0,'Données projet'!$E$9+1,1))-AVERAGE(OFFSET($H$3,0,0,'Données projet'!$E$9+1,1))</f>
        <v>234.81928430389272</v>
      </c>
      <c r="T59" s="62">
        <f t="shared" si="34"/>
        <v>294.47057757403411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19.408314348736972</v>
      </c>
      <c r="AA59" s="23">
        <f>EXP(-LN(2)/25)*AA58+(1-EXP(-LN(2)/25))/(LN(2)/25)*Calculateur!V59*Calculateur!X59*VLOOKUP('Données projet'!$B$9,Paramètres!$A$1:$I$89,3,0)*0.475*44/12</f>
        <v>11.219481137248534</v>
      </c>
      <c r="AB59" s="23">
        <f>EXP(-LN(2)/2)*AB58+(1-EXP(-LN(2)/2))/(LN(2)/2)*V59*Y59*VLOOKUP('Données projet'!$B$9,Paramètres!$A$1:$I$89,3,0)*0.475*44/12</f>
        <v>3.016225921260836</v>
      </c>
      <c r="AC59" s="24">
        <f t="shared" si="3"/>
        <v>33.644021407246342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9.6</v>
      </c>
      <c r="AI59" s="14">
        <f>IF('Données projet'!$A$62&gt;35,AI58+AH59-AQ58,IF(A59&lt;'Données projet'!$A$62,$AF$205^A59,IF(A59='Données projet'!$A$62,'Données projet'!$B$62,AI58+AH59-AQ58)))</f>
        <v>271.60000000000014</v>
      </c>
      <c r="AJ59" s="14">
        <f>AI59*VLOOKUP('Données projet'!$B$10,Paramètres!$A$1:$I$89,3,0)*VLOOKUP('Données projet'!$B$10,Paramètres!$A$1:$I$89,5,0)</f>
        <v>211.84800000000013</v>
      </c>
      <c r="AK59" s="14">
        <f t="shared" si="35"/>
        <v>52.33921403960656</v>
      </c>
      <c r="AL59" s="22">
        <f t="shared" si="4"/>
        <v>460.12606445231495</v>
      </c>
      <c r="AM59" s="62">
        <f t="shared" si="5"/>
        <v>719.05588039093664</v>
      </c>
      <c r="AN59" s="62">
        <f ca="1">AVERAGE(OFFSET($AM$3,0,0,'Données projet'!$E$10+1,1))-AVERAGE(OFFSET($H$3,0,0,'Données projet'!$E$10+1,1))</f>
        <v>304.39782420428173</v>
      </c>
      <c r="AO59" s="62">
        <f t="shared" si="36"/>
        <v>360.34132229290537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27.906667552134195</v>
      </c>
      <c r="AV59" s="23">
        <f>EXP(-LN(2)/25)*AV58+(1-EXP(-LN(2)/25))/(LN(2)/25)*Calculateur!AQ59*Calculateur!AS59*VLOOKUP('Données projet'!$B$10,Paramètres!$A$1:$I$89,3,0)*0.475*44/12</f>
        <v>5.1016000153542782</v>
      </c>
      <c r="AW59" s="23">
        <f>EXP(-LN(2)/2)*AW58+(1-EXP(-LN(2)/2))/(LN(2)/2)*AQ59*AT59*VLOOKUP('Données projet'!$B$10,Paramètres!$A$1:$I$89,3,0)*0.475*44/12</f>
        <v>3.3191830164777238</v>
      </c>
      <c r="AX59" s="23">
        <f t="shared" si="6"/>
        <v>36.327450583966197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9.6</v>
      </c>
      <c r="BD59" s="13">
        <f>IF('Données projet'!$A$88&gt;35,BD58+BC59-BL58,IF(A59&lt;'Données projet'!$A$88,$BA$205^A59,IF(A59='Données projet'!$A$88,'Données projet'!$B$88,BD58+BC59-BL58)))</f>
        <v>271.60000000000014</v>
      </c>
      <c r="BE59" s="14">
        <f>BD59*VLOOKUP('Données projet'!$B$11,Paramètres!$A$1:$I$89,3,0)*VLOOKUP('Données projet'!$B$11,Paramètres!$A$1:$I$89,5,0)</f>
        <v>211.84800000000013</v>
      </c>
      <c r="BF59" s="14">
        <f t="shared" si="37"/>
        <v>52.33921403960656</v>
      </c>
      <c r="BG59" s="22">
        <f t="shared" si="7"/>
        <v>460.12606445231495</v>
      </c>
      <c r="BH59" s="62">
        <f t="shared" si="8"/>
        <v>719.05588039093664</v>
      </c>
      <c r="BI59" s="62">
        <f ca="1">AVERAGE(OFFSET($BH$3,0,0,'Données projet'!$E$11+1,1))-AVERAGE(OFFSET($H$3,0,0,'Données projet'!$E$11+1,1))</f>
        <v>304.39782420428173</v>
      </c>
      <c r="BJ59" s="62">
        <f t="shared" si="38"/>
        <v>360.34132229290537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27.906667552134195</v>
      </c>
      <c r="BQ59" s="23">
        <f>EXP(-LN(2)/25)*BQ58+(1-EXP(-LN(2)/25))/(LN(2)/25)*Calculateur!BL59*Calculateur!BN59*VLOOKUP('Données projet'!$B$11,Paramètres!$A$1:$I$89,3,0)*0.475*44/12</f>
        <v>5.1016000153542782</v>
      </c>
      <c r="BR59" s="23">
        <f>EXP(-LN(2)/2)*BR58+(1-EXP(-LN(2)/2))/(LN(2)/2)*BL59*BO59*VLOOKUP('Données projet'!$B$11,Paramètres!$A$1:$I$89,3,0)*0.475*44/12</f>
        <v>3.3191830164777238</v>
      </c>
      <c r="BS59" s="24">
        <f t="shared" si="9"/>
        <v>36.327450583966197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9.6</v>
      </c>
      <c r="BY59" s="13">
        <f>IF('Données projet'!$A$114&gt;35,BY58+BX59-CG58,IF(A59&lt;'Données projet'!$A$114,$BV$205^A59,IF(A59='Données projet'!$A$114,'Données projet'!$B$114,BY58+BX59-CG58)))</f>
        <v>271.60000000000014</v>
      </c>
      <c r="BZ59" s="14">
        <f>BY59*VLOOKUP('Données projet'!$B$12,Paramètres!$A$1:$I$89,3,0)*VLOOKUP('Données projet'!$B$12,Paramètres!$A$1:$I$89,5,0)</f>
        <v>211.84800000000013</v>
      </c>
      <c r="CA59" s="14">
        <f t="shared" si="39"/>
        <v>52.33921403960656</v>
      </c>
      <c r="CB59" s="22">
        <f t="shared" si="10"/>
        <v>460.12606445231495</v>
      </c>
      <c r="CC59" s="62">
        <f t="shared" si="11"/>
        <v>719.05588039093664</v>
      </c>
      <c r="CD59" s="62">
        <f ca="1">AVERAGE(OFFSET($CC$3,0,0,'Données projet'!$E$12+1,1))-AVERAGE(OFFSET($H$3,0,0,'Données projet'!$E$12+1,1))</f>
        <v>304.39782420428173</v>
      </c>
      <c r="CE59" s="62">
        <f t="shared" si="40"/>
        <v>360.34132229290537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27.906667552134195</v>
      </c>
      <c r="CL59" s="23">
        <f>EXP(-LN(2)/25)*CL58+(1-EXP(-LN(2)/25))/(LN(2)/25)*Calculateur!CG59*Calculateur!CI59*VLOOKUP('Données projet'!$B$12,Paramètres!$A$1:$I$89,3,0)*0.475*44/12</f>
        <v>5.1016000153542782</v>
      </c>
      <c r="CM59" s="23">
        <f>EXP(-LN(2)/2)*CM58+(1-EXP(-LN(2)/2))/(LN(2)/2)*CG59*CJ59*VLOOKUP('Données projet'!$B$12,Paramètres!$A$1:$I$89,3,0)*0.475*44/12</f>
        <v>3.3191830164777238</v>
      </c>
      <c r="CN59" s="24">
        <f t="shared" si="12"/>
        <v>36.327450583966197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13.499999999999993</v>
      </c>
      <c r="N60" s="14">
        <f>IF('Données projet'!$A$36&gt;35,N59+M60-V59,IF(A60&lt;'Données projet'!$A$36,$K$205^A60,IF(A60='Données projet'!$A$36,'Données projet'!$B$36,N59+M60-V59)))</f>
        <v>365.28000000000014</v>
      </c>
      <c r="O60" s="14">
        <f>N60*VLOOKUP('Données projet'!$B$9,Paramètres!$A$1:$I$89,3,0)*VLOOKUP('Données projet'!$B$9,Paramètres!$A$1:$I$89,5,0)</f>
        <v>170.95104000000009</v>
      </c>
      <c r="P60" s="14">
        <f t="shared" si="33"/>
        <v>43.302955700917607</v>
      </c>
      <c r="Q60" s="22">
        <f t="shared" si="53"/>
        <v>373.15904251243165</v>
      </c>
      <c r="R60" s="62">
        <f t="shared" si="0"/>
        <v>632.68568256310937</v>
      </c>
      <c r="S60" s="62">
        <f ca="1">AVERAGE(OFFSET($R$3,0,0,'Données projet'!$E$9+1,1))-AVERAGE(OFFSET($H$3,0,0,'Données projet'!$E$9+1,1))</f>
        <v>234.81928430389272</v>
      </c>
      <c r="T60" s="62">
        <f t="shared" si="34"/>
        <v>294.47057757403411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19.027729142261098</v>
      </c>
      <c r="AA60" s="23">
        <f>EXP(-LN(2)/25)*AA59+(1-EXP(-LN(2)/25))/(LN(2)/25)*Calculateur!V60*Calculateur!X60*VLOOKUP('Données projet'!$B$9,Paramètres!$A$1:$I$89,3,0)*0.475*44/12</f>
        <v>10.912683835543602</v>
      </c>
      <c r="AB60" s="23">
        <f>EXP(-LN(2)/2)*AB59+(1-EXP(-LN(2)/2))/(LN(2)/2)*V60*Y60*VLOOKUP('Données projet'!$B$9,Paramètres!$A$1:$I$89,3,0)*0.475*44/12</f>
        <v>2.132793802514179</v>
      </c>
      <c r="AC60" s="24">
        <f t="shared" si="3"/>
        <v>32.073206780318877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9.6</v>
      </c>
      <c r="AI60" s="14">
        <f>IF('Données projet'!$A$62&gt;35,AI59+AH60-AQ59,IF(A60&lt;'Données projet'!$A$62,$AF$205^A60,IF(A60='Données projet'!$A$62,'Données projet'!$B$62,AI59+AH60-AQ59)))</f>
        <v>281.20000000000016</v>
      </c>
      <c r="AJ60" s="14">
        <f>AI60*VLOOKUP('Données projet'!$B$10,Paramètres!$A$1:$I$89,3,0)*VLOOKUP('Données projet'!$B$10,Paramètres!$A$1:$I$89,5,0)</f>
        <v>219.33600000000013</v>
      </c>
      <c r="AK60" s="14">
        <f t="shared" si="35"/>
        <v>53.97054322228994</v>
      </c>
      <c r="AL60" s="22">
        <f t="shared" si="4"/>
        <v>476.00889611215524</v>
      </c>
      <c r="AM60" s="62">
        <f t="shared" si="5"/>
        <v>735.53553616283295</v>
      </c>
      <c r="AN60" s="62">
        <f ca="1">AVERAGE(OFFSET($AM$3,0,0,'Données projet'!$E$10+1,1))-AVERAGE(OFFSET($H$3,0,0,'Données projet'!$E$10+1,1))</f>
        <v>304.39782420428173</v>
      </c>
      <c r="AO60" s="62">
        <f t="shared" si="36"/>
        <v>360.34132229290537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27.359434822823328</v>
      </c>
      <c r="AV60" s="23">
        <f>EXP(-LN(2)/25)*AV59+(1-EXP(-LN(2)/25))/(LN(2)/25)*Calculateur!AQ60*Calculateur!AS60*VLOOKUP('Données projet'!$B$10,Paramètres!$A$1:$I$89,3,0)*0.475*44/12</f>
        <v>4.9620964946529309</v>
      </c>
      <c r="AW60" s="23">
        <f>EXP(-LN(2)/2)*AW59+(1-EXP(-LN(2)/2))/(LN(2)/2)*AQ60*AT60*VLOOKUP('Données projet'!$B$10,Paramètres!$A$1:$I$89,3,0)*0.475*44/12</f>
        <v>2.3470168189506189</v>
      </c>
      <c r="AX60" s="23">
        <f t="shared" si="6"/>
        <v>34.668548136426878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9.6</v>
      </c>
      <c r="BD60" s="13">
        <f>IF('Données projet'!$A$88&gt;35,BD59+BC60-BL59,IF(A60&lt;'Données projet'!$A$88,$BA$205^A60,IF(A60='Données projet'!$A$88,'Données projet'!$B$88,BD59+BC60-BL59)))</f>
        <v>281.20000000000016</v>
      </c>
      <c r="BE60" s="14">
        <f>BD60*VLOOKUP('Données projet'!$B$11,Paramètres!$A$1:$I$89,3,0)*VLOOKUP('Données projet'!$B$11,Paramètres!$A$1:$I$89,5,0)</f>
        <v>219.33600000000013</v>
      </c>
      <c r="BF60" s="14">
        <f t="shared" si="37"/>
        <v>53.97054322228994</v>
      </c>
      <c r="BG60" s="22">
        <f t="shared" si="7"/>
        <v>476.00889611215524</v>
      </c>
      <c r="BH60" s="62">
        <f t="shared" si="8"/>
        <v>735.53553616283295</v>
      </c>
      <c r="BI60" s="62">
        <f ca="1">AVERAGE(OFFSET($BH$3,0,0,'Données projet'!$E$11+1,1))-AVERAGE(OFFSET($H$3,0,0,'Données projet'!$E$11+1,1))</f>
        <v>304.39782420428173</v>
      </c>
      <c r="BJ60" s="62">
        <f t="shared" si="38"/>
        <v>360.34132229290537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27.359434822823328</v>
      </c>
      <c r="BQ60" s="23">
        <f>EXP(-LN(2)/25)*BQ59+(1-EXP(-LN(2)/25))/(LN(2)/25)*Calculateur!BL60*Calculateur!BN60*VLOOKUP('Données projet'!$B$11,Paramètres!$A$1:$I$89,3,0)*0.475*44/12</f>
        <v>4.9620964946529309</v>
      </c>
      <c r="BR60" s="23">
        <f>EXP(-LN(2)/2)*BR59+(1-EXP(-LN(2)/2))/(LN(2)/2)*BL60*BO60*VLOOKUP('Données projet'!$B$11,Paramètres!$A$1:$I$89,3,0)*0.475*44/12</f>
        <v>2.3470168189506189</v>
      </c>
      <c r="BS60" s="24">
        <f t="shared" si="9"/>
        <v>34.668548136426878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9.6</v>
      </c>
      <c r="BY60" s="13">
        <f>IF('Données projet'!$A$114&gt;35,BY59+BX60-CG59,IF(A60&lt;'Données projet'!$A$114,$BV$205^A60,IF(A60='Données projet'!$A$114,'Données projet'!$B$114,BY59+BX60-CG59)))</f>
        <v>281.20000000000016</v>
      </c>
      <c r="BZ60" s="14">
        <f>BY60*VLOOKUP('Données projet'!$B$12,Paramètres!$A$1:$I$89,3,0)*VLOOKUP('Données projet'!$B$12,Paramètres!$A$1:$I$89,5,0)</f>
        <v>219.33600000000013</v>
      </c>
      <c r="CA60" s="14">
        <f t="shared" si="39"/>
        <v>53.97054322228994</v>
      </c>
      <c r="CB60" s="22">
        <f t="shared" si="10"/>
        <v>476.00889611215524</v>
      </c>
      <c r="CC60" s="62">
        <f t="shared" si="11"/>
        <v>735.53553616283295</v>
      </c>
      <c r="CD60" s="62">
        <f ca="1">AVERAGE(OFFSET($CC$3,0,0,'Données projet'!$E$12+1,1))-AVERAGE(OFFSET($H$3,0,0,'Données projet'!$E$12+1,1))</f>
        <v>304.39782420428173</v>
      </c>
      <c r="CE60" s="62">
        <f t="shared" si="40"/>
        <v>360.34132229290537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27.359434822823328</v>
      </c>
      <c r="CL60" s="23">
        <f>EXP(-LN(2)/25)*CL59+(1-EXP(-LN(2)/25))/(LN(2)/25)*Calculateur!CG60*Calculateur!CI60*VLOOKUP('Données projet'!$B$12,Paramètres!$A$1:$I$89,3,0)*0.475*44/12</f>
        <v>4.9620964946529309</v>
      </c>
      <c r="CM60" s="23">
        <f>EXP(-LN(2)/2)*CM59+(1-EXP(-LN(2)/2))/(LN(2)/2)*CG60*CJ60*VLOOKUP('Données projet'!$B$12,Paramètres!$A$1:$I$89,3,0)*0.475*44/12</f>
        <v>2.3470168189506189</v>
      </c>
      <c r="CN60" s="24">
        <f t="shared" si="12"/>
        <v>34.668548136426878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13.499999999999993</v>
      </c>
      <c r="N61" s="14">
        <f>IF('Données projet'!$A$36&gt;35,N60+M61-V60,IF(A61&lt;'Données projet'!$A$36,$K$205^A61,IF(A61='Données projet'!$A$36,'Données projet'!$B$36,N60+M61-V60)))</f>
        <v>378.78000000000014</v>
      </c>
      <c r="O61" s="14">
        <f>N61*VLOOKUP('Données projet'!$B$9,Paramètres!$A$1:$I$89,3,0)*VLOOKUP('Données projet'!$B$9,Paramètres!$A$1:$I$89,5,0)</f>
        <v>177.26904000000005</v>
      </c>
      <c r="P61" s="14">
        <f t="shared" si="33"/>
        <v>44.714058321072329</v>
      </c>
      <c r="Q61" s="22">
        <f t="shared" si="53"/>
        <v>386.620562909201</v>
      </c>
      <c r="R61" s="62">
        <f t="shared" si="0"/>
        <v>646.73367350788942</v>
      </c>
      <c r="S61" s="62">
        <f ca="1">AVERAGE(OFFSET($R$3,0,0,'Données projet'!$E$9+1,1))-AVERAGE(OFFSET($H$3,0,0,'Données projet'!$E$9+1,1))</f>
        <v>234.81928430389272</v>
      </c>
      <c r="T61" s="62">
        <f t="shared" si="34"/>
        <v>294.47057757403411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18.654606979550159</v>
      </c>
      <c r="AA61" s="23">
        <f>EXP(-LN(2)/25)*AA60+(1-EXP(-LN(2)/25))/(LN(2)/25)*Calculateur!V61*Calculateur!X61*VLOOKUP('Données projet'!$B$9,Paramètres!$A$1:$I$89,3,0)*0.475*44/12</f>
        <v>10.614275922187561</v>
      </c>
      <c r="AB61" s="23">
        <f>EXP(-LN(2)/2)*AB60+(1-EXP(-LN(2)/2))/(LN(2)/2)*V61*Y61*VLOOKUP('Données projet'!$B$9,Paramètres!$A$1:$I$89,3,0)*0.475*44/12</f>
        <v>1.5081129606304184</v>
      </c>
      <c r="AC61" s="24">
        <f t="shared" si="3"/>
        <v>30.776995862368139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9.6</v>
      </c>
      <c r="AI61" s="14">
        <f>IF('Données projet'!$A$62&gt;35,AI60+AH61-AQ60,IF(A61&lt;'Données projet'!$A$62,$AF$205^A61,IF(A61='Données projet'!$A$62,'Données projet'!$B$62,AI60+AH61-AQ60)))</f>
        <v>290.80000000000018</v>
      </c>
      <c r="AJ61" s="14">
        <f>AI61*VLOOKUP('Données projet'!$B$10,Paramètres!$A$1:$I$89,3,0)*VLOOKUP('Données projet'!$B$10,Paramètres!$A$1:$I$89,5,0)</f>
        <v>226.82400000000015</v>
      </c>
      <c r="AK61" s="14">
        <f t="shared" si="35"/>
        <v>55.59540132136393</v>
      </c>
      <c r="AL61" s="22">
        <f t="shared" si="4"/>
        <v>491.88045730137583</v>
      </c>
      <c r="AM61" s="62">
        <f t="shared" si="5"/>
        <v>751.99356790006425</v>
      </c>
      <c r="AN61" s="62">
        <f ca="1">AVERAGE(OFFSET($AM$3,0,0,'Données projet'!$E$10+1,1))-AVERAGE(OFFSET($H$3,0,0,'Données projet'!$E$10+1,1))</f>
        <v>304.39782420428173</v>
      </c>
      <c r="AO61" s="62">
        <f t="shared" si="36"/>
        <v>360.34132229290537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26.822932993555241</v>
      </c>
      <c r="AV61" s="23">
        <f>EXP(-LN(2)/25)*AV60+(1-EXP(-LN(2)/25))/(LN(2)/25)*Calculateur!AQ61*Calculateur!AS61*VLOOKUP('Données projet'!$B$10,Paramètres!$A$1:$I$89,3,0)*0.475*44/12</f>
        <v>4.8264077050613325</v>
      </c>
      <c r="AW61" s="23">
        <f>EXP(-LN(2)/2)*AW60+(1-EXP(-LN(2)/2))/(LN(2)/2)*AQ61*AT61*VLOOKUP('Données projet'!$B$10,Paramètres!$A$1:$I$89,3,0)*0.475*44/12</f>
        <v>1.6595915082388621</v>
      </c>
      <c r="AX61" s="23">
        <f t="shared" si="6"/>
        <v>33.308932206855438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9.6</v>
      </c>
      <c r="BD61" s="13">
        <f>IF('Données projet'!$A$88&gt;35,BD60+BC61-BL60,IF(A61&lt;'Données projet'!$A$88,$BA$205^A61,IF(A61='Données projet'!$A$88,'Données projet'!$B$88,BD60+BC61-BL60)))</f>
        <v>290.80000000000018</v>
      </c>
      <c r="BE61" s="14">
        <f>BD61*VLOOKUP('Données projet'!$B$11,Paramètres!$A$1:$I$89,3,0)*VLOOKUP('Données projet'!$B$11,Paramètres!$A$1:$I$89,5,0)</f>
        <v>226.82400000000015</v>
      </c>
      <c r="BF61" s="14">
        <f t="shared" si="37"/>
        <v>55.59540132136393</v>
      </c>
      <c r="BG61" s="22">
        <f t="shared" si="7"/>
        <v>491.88045730137583</v>
      </c>
      <c r="BH61" s="62">
        <f t="shared" si="8"/>
        <v>751.99356790006425</v>
      </c>
      <c r="BI61" s="62">
        <f ca="1">AVERAGE(OFFSET($BH$3,0,0,'Données projet'!$E$11+1,1))-AVERAGE(OFFSET($H$3,0,0,'Données projet'!$E$11+1,1))</f>
        <v>304.39782420428173</v>
      </c>
      <c r="BJ61" s="62">
        <f t="shared" si="38"/>
        <v>360.34132229290537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26.822932993555241</v>
      </c>
      <c r="BQ61" s="23">
        <f>EXP(-LN(2)/25)*BQ60+(1-EXP(-LN(2)/25))/(LN(2)/25)*Calculateur!BL61*Calculateur!BN61*VLOOKUP('Données projet'!$B$11,Paramètres!$A$1:$I$89,3,0)*0.475*44/12</f>
        <v>4.8264077050613325</v>
      </c>
      <c r="BR61" s="23">
        <f>EXP(-LN(2)/2)*BR60+(1-EXP(-LN(2)/2))/(LN(2)/2)*BL61*BO61*VLOOKUP('Données projet'!$B$11,Paramètres!$A$1:$I$89,3,0)*0.475*44/12</f>
        <v>1.6595915082388621</v>
      </c>
      <c r="BS61" s="24">
        <f t="shared" si="9"/>
        <v>33.308932206855438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9.6</v>
      </c>
      <c r="BY61" s="13">
        <f>IF('Données projet'!$A$114&gt;35,BY60+BX61-CG60,IF(A61&lt;'Données projet'!$A$114,$BV$205^A61,IF(A61='Données projet'!$A$114,'Données projet'!$B$114,BY60+BX61-CG60)))</f>
        <v>290.80000000000018</v>
      </c>
      <c r="BZ61" s="14">
        <f>BY61*VLOOKUP('Données projet'!$B$12,Paramètres!$A$1:$I$89,3,0)*VLOOKUP('Données projet'!$B$12,Paramètres!$A$1:$I$89,5,0)</f>
        <v>226.82400000000015</v>
      </c>
      <c r="CA61" s="14">
        <f t="shared" si="39"/>
        <v>55.59540132136393</v>
      </c>
      <c r="CB61" s="22">
        <f t="shared" si="10"/>
        <v>491.88045730137583</v>
      </c>
      <c r="CC61" s="62">
        <f t="shared" si="11"/>
        <v>751.99356790006425</v>
      </c>
      <c r="CD61" s="62">
        <f ca="1">AVERAGE(OFFSET($CC$3,0,0,'Données projet'!$E$12+1,1))-AVERAGE(OFFSET($H$3,0,0,'Données projet'!$E$12+1,1))</f>
        <v>304.39782420428173</v>
      </c>
      <c r="CE61" s="62">
        <f t="shared" si="40"/>
        <v>360.34132229290537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26.822932993555241</v>
      </c>
      <c r="CL61" s="23">
        <f>EXP(-LN(2)/25)*CL60+(1-EXP(-LN(2)/25))/(LN(2)/25)*Calculateur!CG61*Calculateur!CI61*VLOOKUP('Données projet'!$B$12,Paramètres!$A$1:$I$89,3,0)*0.475*44/12</f>
        <v>4.8264077050613325</v>
      </c>
      <c r="CM61" s="23">
        <f>EXP(-LN(2)/2)*CM60+(1-EXP(-LN(2)/2))/(LN(2)/2)*CG61*CJ61*VLOOKUP('Données projet'!$B$12,Paramètres!$A$1:$I$89,3,0)*0.475*44/12</f>
        <v>1.6595915082388621</v>
      </c>
      <c r="CN61" s="24">
        <f t="shared" si="12"/>
        <v>33.308932206855438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13.499999999999993</v>
      </c>
      <c r="N62" s="14">
        <f>IF('Données projet'!$A$36&gt;35,N61+M62-V61,IF(A62&lt;'Données projet'!$A$36,$K$205^A62,IF(A62='Données projet'!$A$36,'Données projet'!$B$36,N61+M62-V61)))</f>
        <v>392.28000000000014</v>
      </c>
      <c r="O62" s="14">
        <f>N62*VLOOKUP('Données projet'!$B$9,Paramètres!$A$1:$I$89,3,0)*VLOOKUP('Données projet'!$B$9,Paramètres!$A$1:$I$89,5,0)</f>
        <v>183.58704000000009</v>
      </c>
      <c r="P62" s="14">
        <f t="shared" si="33"/>
        <v>46.119317685403885</v>
      </c>
      <c r="Q62" s="22">
        <f t="shared" si="53"/>
        <v>400.07190630207856</v>
      </c>
      <c r="R62" s="62">
        <f t="shared" si="0"/>
        <v>660.76131349592129</v>
      </c>
      <c r="S62" s="62">
        <f ca="1">AVERAGE(OFFSET($R$3,0,0,'Données projet'!$E$9+1,1))-AVERAGE(OFFSET($H$3,0,0,'Données projet'!$E$9+1,1))</f>
        <v>234.81928430389272</v>
      </c>
      <c r="T62" s="62">
        <f t="shared" si="34"/>
        <v>294.47057757403411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18.288801514867934</v>
      </c>
      <c r="AA62" s="23">
        <f>EXP(-LN(2)/25)*AA61+(1-EXP(-LN(2)/25))/(LN(2)/25)*Calculateur!V62*Calculateur!X62*VLOOKUP('Données projet'!$B$9,Paramètres!$A$1:$I$89,3,0)*0.475*44/12</f>
        <v>10.32402798891483</v>
      </c>
      <c r="AB62" s="23">
        <f>EXP(-LN(2)/2)*AB61+(1-EXP(-LN(2)/2))/(LN(2)/2)*V62*Y62*VLOOKUP('Données projet'!$B$9,Paramètres!$A$1:$I$89,3,0)*0.475*44/12</f>
        <v>1.0663969012570897</v>
      </c>
      <c r="AC62" s="24">
        <f t="shared" si="3"/>
        <v>29.679226405039852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9.6</v>
      </c>
      <c r="AI62" s="14">
        <f>IF('Données projet'!$A$62&gt;35,AI61+AH62-AQ61,IF(A62&lt;'Données projet'!$A$62,$AF$205^A62,IF(A62='Données projet'!$A$62,'Données projet'!$B$62,AI61+AH62-AQ61)))</f>
        <v>300.4000000000002</v>
      </c>
      <c r="AJ62" s="14">
        <f>AI62*VLOOKUP('Données projet'!$B$10,Paramètres!$A$1:$I$89,3,0)*VLOOKUP('Données projet'!$B$10,Paramètres!$A$1:$I$89,5,0)</f>
        <v>234.31200000000015</v>
      </c>
      <c r="AK62" s="14">
        <f t="shared" si="35"/>
        <v>57.214026458952496</v>
      </c>
      <c r="AL62" s="22">
        <f t="shared" si="4"/>
        <v>507.74116274934249</v>
      </c>
      <c r="AM62" s="62">
        <f t="shared" si="5"/>
        <v>768.43056994318522</v>
      </c>
      <c r="AN62" s="62">
        <f ca="1">AVERAGE(OFFSET($AM$3,0,0,'Données projet'!$E$10+1,1))-AVERAGE(OFFSET($H$3,0,0,'Données projet'!$E$10+1,1))</f>
        <v>304.39782420428173</v>
      </c>
      <c r="AO62" s="62">
        <f t="shared" si="36"/>
        <v>360.34132229290537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26.296951637925297</v>
      </c>
      <c r="AV62" s="23">
        <f>EXP(-LN(2)/25)*AV61+(1-EXP(-LN(2)/25))/(LN(2)/25)*Calculateur!AQ62*Calculateur!AS62*VLOOKUP('Données projet'!$B$10,Paramètres!$A$1:$I$89,3,0)*0.475*44/12</f>
        <v>4.6944293325566804</v>
      </c>
      <c r="AW62" s="23">
        <f>EXP(-LN(2)/2)*AW61+(1-EXP(-LN(2)/2))/(LN(2)/2)*AQ62*AT62*VLOOKUP('Données projet'!$B$10,Paramètres!$A$1:$I$89,3,0)*0.475*44/12</f>
        <v>1.1735084094753097</v>
      </c>
      <c r="AX62" s="23">
        <f t="shared" si="6"/>
        <v>32.164889379957287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9.6</v>
      </c>
      <c r="BD62" s="13">
        <f>IF('Données projet'!$A$88&gt;35,BD61+BC62-BL61,IF(A62&lt;'Données projet'!$A$88,$BA$205^A62,IF(A62='Données projet'!$A$88,'Données projet'!$B$88,BD61+BC62-BL61)))</f>
        <v>300.4000000000002</v>
      </c>
      <c r="BE62" s="14">
        <f>BD62*VLOOKUP('Données projet'!$B$11,Paramètres!$A$1:$I$89,3,0)*VLOOKUP('Données projet'!$B$11,Paramètres!$A$1:$I$89,5,0)</f>
        <v>234.31200000000015</v>
      </c>
      <c r="BF62" s="14">
        <f t="shared" si="37"/>
        <v>57.214026458952496</v>
      </c>
      <c r="BG62" s="22">
        <f t="shared" si="7"/>
        <v>507.74116274934249</v>
      </c>
      <c r="BH62" s="62">
        <f t="shared" si="8"/>
        <v>768.43056994318522</v>
      </c>
      <c r="BI62" s="62">
        <f ca="1">AVERAGE(OFFSET($BH$3,0,0,'Données projet'!$E$11+1,1))-AVERAGE(OFFSET($H$3,0,0,'Données projet'!$E$11+1,1))</f>
        <v>304.39782420428173</v>
      </c>
      <c r="BJ62" s="62">
        <f t="shared" si="38"/>
        <v>360.34132229290537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26.296951637925297</v>
      </c>
      <c r="BQ62" s="23">
        <f>EXP(-LN(2)/25)*BQ61+(1-EXP(-LN(2)/25))/(LN(2)/25)*Calculateur!BL62*Calculateur!BN62*VLOOKUP('Données projet'!$B$11,Paramètres!$A$1:$I$89,3,0)*0.475*44/12</f>
        <v>4.6944293325566804</v>
      </c>
      <c r="BR62" s="23">
        <f>EXP(-LN(2)/2)*BR61+(1-EXP(-LN(2)/2))/(LN(2)/2)*BL62*BO62*VLOOKUP('Données projet'!$B$11,Paramètres!$A$1:$I$89,3,0)*0.475*44/12</f>
        <v>1.1735084094753097</v>
      </c>
      <c r="BS62" s="24">
        <f t="shared" si="9"/>
        <v>32.164889379957287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9.6</v>
      </c>
      <c r="BY62" s="13">
        <f>IF('Données projet'!$A$114&gt;35,BY61+BX62-CG61,IF(A62&lt;'Données projet'!$A$114,$BV$205^A62,IF(A62='Données projet'!$A$114,'Données projet'!$B$114,BY61+BX62-CG61)))</f>
        <v>300.4000000000002</v>
      </c>
      <c r="BZ62" s="14">
        <f>BY62*VLOOKUP('Données projet'!$B$12,Paramètres!$A$1:$I$89,3,0)*VLOOKUP('Données projet'!$B$12,Paramètres!$A$1:$I$89,5,0)</f>
        <v>234.31200000000015</v>
      </c>
      <c r="CA62" s="14">
        <f t="shared" si="39"/>
        <v>57.214026458952496</v>
      </c>
      <c r="CB62" s="22">
        <f t="shared" si="10"/>
        <v>507.74116274934249</v>
      </c>
      <c r="CC62" s="62">
        <f t="shared" si="11"/>
        <v>768.43056994318522</v>
      </c>
      <c r="CD62" s="62">
        <f ca="1">AVERAGE(OFFSET($CC$3,0,0,'Données projet'!$E$12+1,1))-AVERAGE(OFFSET($H$3,0,0,'Données projet'!$E$12+1,1))</f>
        <v>304.39782420428173</v>
      </c>
      <c r="CE62" s="62">
        <f t="shared" si="40"/>
        <v>360.34132229290537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26.296951637925297</v>
      </c>
      <c r="CL62" s="23">
        <f>EXP(-LN(2)/25)*CL61+(1-EXP(-LN(2)/25))/(LN(2)/25)*Calculateur!CG62*Calculateur!CI62*VLOOKUP('Données projet'!$B$12,Paramètres!$A$1:$I$89,3,0)*0.475*44/12</f>
        <v>4.6944293325566804</v>
      </c>
      <c r="CM62" s="23">
        <f>EXP(-LN(2)/2)*CM61+(1-EXP(-LN(2)/2))/(LN(2)/2)*CG62*CJ62*VLOOKUP('Données projet'!$B$12,Paramètres!$A$1:$I$89,3,0)*0.475*44/12</f>
        <v>1.1735084094753097</v>
      </c>
      <c r="CN62" s="24">
        <f t="shared" si="12"/>
        <v>32.164889379957287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405.78</v>
      </c>
      <c r="L63" s="13">
        <f>VLOOKUP(A63,'Données projet'!$A$35:$I$55,9,0)</f>
        <v>13.499999999999993</v>
      </c>
      <c r="M63" s="13">
        <f t="array" ref="M63">INDEX(L:L,MIN(IF(ISNUMBER(L63:L259),ROW(L63:L259),"")))</f>
        <v>13.499999999999993</v>
      </c>
      <c r="N63" s="14">
        <f>IF('Données projet'!$A$36&gt;35,N62+M63-V62,IF(A63&lt;'Données projet'!$A$36,$K$205^A63,IF(A63='Données projet'!$A$36,'Données projet'!$B$36,N62+M63-V62)))</f>
        <v>405.78000000000014</v>
      </c>
      <c r="O63" s="14">
        <f>N63*VLOOKUP('Données projet'!$B$9,Paramètres!$A$1:$I$89,3,0)*VLOOKUP('Données projet'!$B$9,Paramètres!$A$1:$I$89,5,0)</f>
        <v>189.90504000000007</v>
      </c>
      <c r="P63" s="14">
        <f t="shared" si="33"/>
        <v>47.518957932699728</v>
      </c>
      <c r="Q63" s="22">
        <f t="shared" si="53"/>
        <v>413.51346306611873</v>
      </c>
      <c r="R63" s="62">
        <f t="shared" si="0"/>
        <v>674.76916939759622</v>
      </c>
      <c r="S63" s="62">
        <f ca="1">AVERAGE(OFFSET($R$3,0,0,'Données projet'!$E$9+1,1))-AVERAGE(OFFSET($H$3,0,0,'Données projet'!$E$9+1,1))</f>
        <v>234.81928430389272</v>
      </c>
      <c r="T63" s="62">
        <f t="shared" si="34"/>
        <v>294.47057757403411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405.78</v>
      </c>
      <c r="W63" s="17">
        <f>IF(ISNA(VLOOKUP(A63,'Données projet'!$A$35:$I$55,5,0)),0%,VLOOKUP(A63,'Données projet'!$A$35:$I$55,5,0)*VLOOKUP('Données projet'!$B$9,Paramètres!$A$1:$I$89,7,0))</f>
        <v>0.27500000000000002</v>
      </c>
      <c r="X63" s="17">
        <f>IF(ISNA(VLOOKUP(A63,'Données projet'!$A$35:$I$55,6,0)),0%,VLOOKUP(A63,'Données projet'!$A$35:$I$55,6,0)*VLOOKUP('Données projet'!$B$9,Paramètres!$A$1:$I$89,7,0))</f>
        <v>0.11000000000000001</v>
      </c>
      <c r="Y63" s="17">
        <f>IF(ISNA(VLOOKUP(A63,'Données projet'!$A$35:$I$55,7,0)),0%,VLOOKUP(A63,'Données projet'!$A$35:$I$55,7,0))</f>
        <v>0.3</v>
      </c>
      <c r="Z63" s="23">
        <f>EXP(-LN(2)/35)*Z62+(1-EXP(-LN(2)/35))/(LN(2)/35)*V63*W63*VLOOKUP('Données projet'!$B$9,Paramètres!$A$1:$I$89,3,0)*0.475*44/12</f>
        <v>87.208520164755456</v>
      </c>
      <c r="AA63" s="23">
        <f>EXP(-LN(2)/25)*AA62+(1-EXP(-LN(2)/25))/(LN(2)/25)*Calculateur!V63*Calculateur!X63*VLOOKUP('Données projet'!$B$9,Paramètres!$A$1:$I$89,3,0)*0.475*44/12</f>
        <v>37.643947151817542</v>
      </c>
      <c r="AB63" s="23">
        <f>EXP(-LN(2)/2)*AB62+(1-EXP(-LN(2)/2))/(LN(2)/2)*V63*Y63*VLOOKUP('Données projet'!$B$9,Paramètres!$A$1:$I$89,3,0)*0.475*44/12</f>
        <v>65.259042405631817</v>
      </c>
      <c r="AC63" s="24">
        <f t="shared" si="3"/>
        <v>190.1115097222048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310</v>
      </c>
      <c r="AG63" s="13">
        <f>VLOOKUP(A63,'Données projet'!$A$61:$I$81,9,0)</f>
        <v>9.6</v>
      </c>
      <c r="AH63" s="13">
        <f t="array" ref="AH63">INDEX(AG:AG,MIN(IF(ISNUMBER(AG63:AG259),ROW(AG63:AG259),"")))</f>
        <v>9.6</v>
      </c>
      <c r="AI63" s="14">
        <f>IF('Données projet'!$A$62&gt;35,AI62+AH63-AQ62,IF(A63&lt;'Données projet'!$A$62,$AF$205^A63,IF(A63='Données projet'!$A$62,'Données projet'!$B$62,AI62+AH63-AQ62)))</f>
        <v>310.00000000000023</v>
      </c>
      <c r="AJ63" s="14">
        <f>AI63*VLOOKUP('Données projet'!$B$10,Paramètres!$A$1:$I$89,3,0)*VLOOKUP('Données projet'!$B$10,Paramètres!$A$1:$I$89,5,0)</f>
        <v>241.80000000000018</v>
      </c>
      <c r="AK63" s="14">
        <f t="shared" si="35"/>
        <v>58.826640673484889</v>
      </c>
      <c r="AL63" s="22">
        <f t="shared" si="4"/>
        <v>523.59139917298648</v>
      </c>
      <c r="AM63" s="62">
        <f t="shared" si="5"/>
        <v>784.84710550446403</v>
      </c>
      <c r="AN63" s="62">
        <f ca="1">AVERAGE(OFFSET($AM$3,0,0,'Données projet'!$E$10+1,1))-AVERAGE(OFFSET($H$3,0,0,'Données projet'!$E$10+1,1))</f>
        <v>304.39782420428173</v>
      </c>
      <c r="AO63" s="62">
        <f t="shared" si="36"/>
        <v>360.34132229290537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37</v>
      </c>
      <c r="AR63" s="17">
        <f>IF(ISNA(VLOOKUP(A63,'Données projet'!$A$61:$I$81,5,0)),0%,VLOOKUP(A63,'Données projet'!$A$61:$I$81,5,0)*VLOOKUP('Données projet'!$B$10,Paramètres!$A$1:$I$89,7,0))</f>
        <v>0.215</v>
      </c>
      <c r="AS63" s="17">
        <f>IF(ISNA(VLOOKUP(A63,'Données projet'!$A$61:$I$81,6,0)),0%,VLOOKUP(A63,'Données projet'!$A$61:$I$81,6,0)*VLOOKUP('Données projet'!$B$10,Paramètres!$A$1:$I$89,7,0))</f>
        <v>4.3000000000000003E-2</v>
      </c>
      <c r="AT63" s="17">
        <f>IF(ISNA(VLOOKUP(A63,'Données projet'!$A$61:$I$81,7,0)),0%,VLOOKUP(A63,'Données projet'!$A$61:$I$81,7,0))</f>
        <v>0.15</v>
      </c>
      <c r="AU63" s="23">
        <f>EXP(-LN(2)/35)*AU62+(1-EXP(-LN(2)/35))/(LN(2)/35)*AQ63*AR63*VLOOKUP('Données projet'!$B$10,Paramètres!$A$1:$I$89,3,0)*0.475*44/12</f>
        <v>32.640617613826308</v>
      </c>
      <c r="AV63" s="23">
        <f>EXP(-LN(2)/25)*AV62+(1-EXP(-LN(2)/25))/(LN(2)/25)*Calculateur!AQ63*Calculateur!AS63*VLOOKUP('Données projet'!$B$10,Paramètres!$A$1:$I$89,3,0)*0.475*44/12</f>
        <v>5.9325249855306605</v>
      </c>
      <c r="AW63" s="23">
        <f>EXP(-LN(2)/2)*AW62+(1-EXP(-LN(2)/2))/(LN(2)/2)*AQ63*AT63*VLOOKUP('Données projet'!$B$10,Paramètres!$A$1:$I$89,3,0)*0.475*44/12</f>
        <v>4.914323767446156</v>
      </c>
      <c r="AX63" s="23">
        <f t="shared" si="6"/>
        <v>43.487466366803126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310</v>
      </c>
      <c r="BB63" s="13">
        <f>VLOOKUP(A63,'Données projet'!$A$87:$I$107,9,0)</f>
        <v>9.6</v>
      </c>
      <c r="BC63" s="13">
        <f t="array" ref="BC63">INDEX(BB:BB,MIN(IF(ISNUMBER(BB63:BB259),ROW(BB63:BB259),"")))</f>
        <v>9.6</v>
      </c>
      <c r="BD63" s="13">
        <f>IF('Données projet'!$A$88&gt;35,BD62+BC63-BL62,IF(A63&lt;'Données projet'!$A$88,$BA$205^A63,IF(A63='Données projet'!$A$88,'Données projet'!$B$88,BD62+BC63-BL62)))</f>
        <v>310.00000000000023</v>
      </c>
      <c r="BE63" s="14">
        <f>BD63*VLOOKUP('Données projet'!$B$11,Paramètres!$A$1:$I$89,3,0)*VLOOKUP('Données projet'!$B$11,Paramètres!$A$1:$I$89,5,0)</f>
        <v>241.80000000000018</v>
      </c>
      <c r="BF63" s="14">
        <f t="shared" si="37"/>
        <v>58.826640673484889</v>
      </c>
      <c r="BG63" s="22">
        <f t="shared" si="7"/>
        <v>523.59139917298648</v>
      </c>
      <c r="BH63" s="62">
        <f t="shared" si="8"/>
        <v>784.84710550446403</v>
      </c>
      <c r="BI63" s="62">
        <f ca="1">AVERAGE(OFFSET($BH$3,0,0,'Données projet'!$E$11+1,1))-AVERAGE(OFFSET($H$3,0,0,'Données projet'!$E$11+1,1))</f>
        <v>304.39782420428173</v>
      </c>
      <c r="BJ63" s="62">
        <f t="shared" si="38"/>
        <v>360.34132229290537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37</v>
      </c>
      <c r="BM63" s="17">
        <f>IF(ISNA(VLOOKUP(A63,'Données projet'!$A$87:$I$107,5,0)),0%,VLOOKUP(A63,'Données projet'!$A$87:$I$107,5,0)*VLOOKUP('Données projet'!$B$11,Paramètres!$A$1:$I$89,7,0))</f>
        <v>0.215</v>
      </c>
      <c r="BN63" s="17">
        <f>IF(ISNA(VLOOKUP(A63,'Données projet'!$A$87:$I$107,6,0)),0%,VLOOKUP(A63,'Données projet'!$A$87:$I$107,6,0)*VLOOKUP('Données projet'!$B$11,Paramètres!$A$1:$I$89,7,0))</f>
        <v>4.3000000000000003E-2</v>
      </c>
      <c r="BO63" s="17">
        <f>IF(ISNA(VLOOKUP(A63,'Données projet'!$A$87:$I$107,7,0)),0%,VLOOKUP(A63,'Données projet'!$A$87:$I$107,7,0))</f>
        <v>0.15</v>
      </c>
      <c r="BP63" s="23">
        <f>EXP(-LN(2)/35)*BP62+(1-EXP(-LN(2)/35))/(LN(2)/35)*BL63*BM63*VLOOKUP('Données projet'!$B$11,Paramètres!$A$1:$I$89,3,0)*0.475*44/12</f>
        <v>32.640617613826308</v>
      </c>
      <c r="BQ63" s="23">
        <f>EXP(-LN(2)/25)*BQ62+(1-EXP(-LN(2)/25))/(LN(2)/25)*Calculateur!BL63*Calculateur!BN63*VLOOKUP('Données projet'!$B$11,Paramètres!$A$1:$I$89,3,0)*0.475*44/12</f>
        <v>5.9325249855306605</v>
      </c>
      <c r="BR63" s="23">
        <f>EXP(-LN(2)/2)*BR62+(1-EXP(-LN(2)/2))/(LN(2)/2)*BL63*BO63*VLOOKUP('Données projet'!$B$11,Paramètres!$A$1:$I$89,3,0)*0.475*44/12</f>
        <v>4.914323767446156</v>
      </c>
      <c r="BS63" s="24">
        <f t="shared" si="9"/>
        <v>43.487466366803126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310</v>
      </c>
      <c r="BW63" s="13">
        <f>VLOOKUP(A63,'Données projet'!$A$113:$I$133,9,0)</f>
        <v>9.6</v>
      </c>
      <c r="BX63" s="13">
        <f t="array" ref="BX63">INDEX(BW:BW,MIN(IF(ISNUMBER(BW63:BW259),ROW(BW63:BW259),"")))</f>
        <v>9.6</v>
      </c>
      <c r="BY63" s="13">
        <f>IF('Données projet'!$A$114&gt;35,BY62+BX63-CG62,IF(A63&lt;'Données projet'!$A$114,$BV$205^A63,IF(A63='Données projet'!$A$114,'Données projet'!$B$114,BY62+BX63-CG62)))</f>
        <v>310.00000000000023</v>
      </c>
      <c r="BZ63" s="14">
        <f>BY63*VLOOKUP('Données projet'!$B$12,Paramètres!$A$1:$I$89,3,0)*VLOOKUP('Données projet'!$B$12,Paramètres!$A$1:$I$89,5,0)</f>
        <v>241.80000000000018</v>
      </c>
      <c r="CA63" s="14">
        <f t="shared" si="39"/>
        <v>58.826640673484889</v>
      </c>
      <c r="CB63" s="22">
        <f t="shared" si="10"/>
        <v>523.59139917298648</v>
      </c>
      <c r="CC63" s="62">
        <f t="shared" si="11"/>
        <v>784.84710550446403</v>
      </c>
      <c r="CD63" s="62">
        <f ca="1">AVERAGE(OFFSET($CC$3,0,0,'Données projet'!$E$12+1,1))-AVERAGE(OFFSET($H$3,0,0,'Données projet'!$E$12+1,1))</f>
        <v>304.39782420428173</v>
      </c>
      <c r="CE63" s="62">
        <f t="shared" si="40"/>
        <v>360.34132229290537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37</v>
      </c>
      <c r="CH63" s="17">
        <f>IF(ISNA(VLOOKUP(A63,'Données projet'!$A$113:$I$133,5,0)),0%,VLOOKUP(A63,'Données projet'!$A$113:$I$133,5,0)*VLOOKUP('Données projet'!$B$12,Paramètres!$A$1:$I$89,7,0))</f>
        <v>0.215</v>
      </c>
      <c r="CI63" s="17">
        <f>IF(ISNA(VLOOKUP(A63,'Données projet'!$A$113:$I$133,6,0)),0%,VLOOKUP(A63,'Données projet'!$A$113:$I$133,6,0)*VLOOKUP('Données projet'!$B$12,Paramètres!$A$1:$I$89,7,0))</f>
        <v>4.3000000000000003E-2</v>
      </c>
      <c r="CJ63" s="17">
        <f>IF(ISNA(VLOOKUP(A63,'Données projet'!$A$113:$I$133,7,0)),0%,VLOOKUP(A63,'Données projet'!$A$113:$I$133,7,0))</f>
        <v>0.15</v>
      </c>
      <c r="CK63" s="23">
        <f>EXP(-LN(2)/35)*CK62+(1-EXP(-LN(2)/35))/(LN(2)/35)*CG63*CH63*VLOOKUP('Données projet'!$B$12,Paramètres!$A$1:$I$89,3,0)*0.475*44/12</f>
        <v>32.640617613826308</v>
      </c>
      <c r="CL63" s="23">
        <f>EXP(-LN(2)/25)*CL62+(1-EXP(-LN(2)/25))/(LN(2)/25)*Calculateur!CG63*Calculateur!CI63*VLOOKUP('Données projet'!$B$12,Paramètres!$A$1:$I$89,3,0)*0.475*44/12</f>
        <v>5.9325249855306605</v>
      </c>
      <c r="CM63" s="23">
        <f>EXP(-LN(2)/2)*CM62+(1-EXP(-LN(2)/2))/(LN(2)/2)*CG63*CJ63*VLOOKUP('Données projet'!$B$12,Paramètres!$A$1:$I$89,3,0)*0.475*44/12</f>
        <v>4.914323767446156</v>
      </c>
      <c r="CN63" s="24">
        <f t="shared" si="12"/>
        <v>43.487466366803126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1.7053025658242404E-13</v>
      </c>
      <c r="O64" s="14">
        <f>N64*VLOOKUP('Données projet'!$B$9,Paramètres!$A$1:$I$89,3,0)*VLOOKUP('Données projet'!$B$9,Paramètres!$A$1:$I$89,5,0)</f>
        <v>7.9808160080574461E-14</v>
      </c>
      <c r="P64" s="14">
        <f t="shared" si="33"/>
        <v>1.2308384591775343E-12</v>
      </c>
      <c r="Q64" s="22">
        <f t="shared" si="53"/>
        <v>2.282709528541206E-12</v>
      </c>
      <c r="R64" s="62">
        <f t="shared" si="0"/>
        <v>261.81218144513161</v>
      </c>
      <c r="S64" s="62">
        <f ca="1">AVERAGE(OFFSET($R$3,0,0,'Données projet'!$E$9+1,1))-AVERAGE(OFFSET($H$3,0,0,'Données projet'!$E$9+1,1))</f>
        <v>234.81928430389272</v>
      </c>
      <c r="T64" s="62">
        <f t="shared" si="34"/>
        <v>294.47057757403411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85.498414276269628</v>
      </c>
      <c r="AA64" s="23">
        <f>EXP(-LN(2)/25)*AA63+(1-EXP(-LN(2)/25))/(LN(2)/25)*Calculateur!V64*Calculateur!X64*VLOOKUP('Données projet'!$B$9,Paramètres!$A$1:$I$89,3,0)*0.475*44/12</f>
        <v>36.614571437341951</v>
      </c>
      <c r="AB64" s="23">
        <f>EXP(-LN(2)/2)*AB63+(1-EXP(-LN(2)/2))/(LN(2)/2)*V64*Y64*VLOOKUP('Données projet'!$B$9,Paramètres!$A$1:$I$89,3,0)*0.475*44/12</f>
        <v>46.145111418762724</v>
      </c>
      <c r="AC64" s="24">
        <f t="shared" si="3"/>
        <v>168.2580971323743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273.00000000000023</v>
      </c>
      <c r="AJ64" s="14">
        <f>AI64*VLOOKUP('Données projet'!$B$10,Paramètres!$A$1:$I$89,3,0)*VLOOKUP('Données projet'!$B$10,Paramètres!$A$1:$I$89,5,0)</f>
        <v>212.9400000000002</v>
      </c>
      <c r="AK64" s="14">
        <f t="shared" si="35"/>
        <v>52.577528895212915</v>
      </c>
      <c r="AL64" s="22">
        <f t="shared" si="4"/>
        <v>462.44302949249618</v>
      </c>
      <c r="AM64" s="62">
        <f t="shared" si="5"/>
        <v>724.25521093762552</v>
      </c>
      <c r="AN64" s="62">
        <f ca="1">AVERAGE(OFFSET($AM$3,0,0,'Données projet'!$E$10+1,1))-AVERAGE(OFFSET($H$3,0,0,'Données projet'!$E$10+1,1))</f>
        <v>304.39782420428173</v>
      </c>
      <c r="AO64" s="62">
        <f t="shared" si="36"/>
        <v>360.34132229290537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32.000555011230084</v>
      </c>
      <c r="AV64" s="23">
        <f>EXP(-LN(2)/25)*AV63+(1-EXP(-LN(2)/25))/(LN(2)/25)*Calculateur!AQ64*Calculateur!AS64*VLOOKUP('Données projet'!$B$10,Paramètres!$A$1:$I$89,3,0)*0.475*44/12</f>
        <v>5.7702997778233946</v>
      </c>
      <c r="AW64" s="23">
        <f>EXP(-LN(2)/2)*AW63+(1-EXP(-LN(2)/2))/(LN(2)/2)*AQ64*AT64*VLOOKUP('Données projet'!$B$10,Paramètres!$A$1:$I$89,3,0)*0.475*44/12</f>
        <v>3.4749516609073989</v>
      </c>
      <c r="AX64" s="23">
        <f t="shared" si="6"/>
        <v>41.245806449960881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273.00000000000023</v>
      </c>
      <c r="BE64" s="14">
        <f>BD64*VLOOKUP('Données projet'!$B$11,Paramètres!$A$1:$I$89,3,0)*VLOOKUP('Données projet'!$B$11,Paramètres!$A$1:$I$89,5,0)</f>
        <v>212.9400000000002</v>
      </c>
      <c r="BF64" s="14">
        <f t="shared" si="37"/>
        <v>52.577528895212915</v>
      </c>
      <c r="BG64" s="22">
        <f t="shared" si="7"/>
        <v>462.44302949249618</v>
      </c>
      <c r="BH64" s="62">
        <f t="shared" si="8"/>
        <v>724.25521093762552</v>
      </c>
      <c r="BI64" s="62">
        <f ca="1">AVERAGE(OFFSET($BH$3,0,0,'Données projet'!$E$11+1,1))-AVERAGE(OFFSET($H$3,0,0,'Données projet'!$E$11+1,1))</f>
        <v>304.39782420428173</v>
      </c>
      <c r="BJ64" s="62">
        <f t="shared" si="38"/>
        <v>360.34132229290537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32.000555011230084</v>
      </c>
      <c r="BQ64" s="23">
        <f>EXP(-LN(2)/25)*BQ63+(1-EXP(-LN(2)/25))/(LN(2)/25)*Calculateur!BL64*Calculateur!BN64*VLOOKUP('Données projet'!$B$11,Paramètres!$A$1:$I$89,3,0)*0.475*44/12</f>
        <v>5.7702997778233946</v>
      </c>
      <c r="BR64" s="23">
        <f>EXP(-LN(2)/2)*BR63+(1-EXP(-LN(2)/2))/(LN(2)/2)*BL64*BO64*VLOOKUP('Données projet'!$B$11,Paramètres!$A$1:$I$89,3,0)*0.475*44/12</f>
        <v>3.4749516609073989</v>
      </c>
      <c r="BS64" s="24">
        <f t="shared" si="9"/>
        <v>41.245806449960881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273.00000000000023</v>
      </c>
      <c r="BZ64" s="14">
        <f>BY64*VLOOKUP('Données projet'!$B$12,Paramètres!$A$1:$I$89,3,0)*VLOOKUP('Données projet'!$B$12,Paramètres!$A$1:$I$89,5,0)</f>
        <v>212.9400000000002</v>
      </c>
      <c r="CA64" s="14">
        <f t="shared" si="39"/>
        <v>52.577528895212915</v>
      </c>
      <c r="CB64" s="22">
        <f t="shared" si="10"/>
        <v>462.44302949249618</v>
      </c>
      <c r="CC64" s="62">
        <f t="shared" si="11"/>
        <v>724.25521093762552</v>
      </c>
      <c r="CD64" s="62">
        <f ca="1">AVERAGE(OFFSET($CC$3,0,0,'Données projet'!$E$12+1,1))-AVERAGE(OFFSET($H$3,0,0,'Données projet'!$E$12+1,1))</f>
        <v>304.39782420428173</v>
      </c>
      <c r="CE64" s="62">
        <f t="shared" si="40"/>
        <v>360.34132229290537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32.000555011230084</v>
      </c>
      <c r="CL64" s="23">
        <f>EXP(-LN(2)/25)*CL63+(1-EXP(-LN(2)/25))/(LN(2)/25)*Calculateur!CG64*Calculateur!CI64*VLOOKUP('Données projet'!$B$12,Paramètres!$A$1:$I$89,3,0)*0.475*44/12</f>
        <v>5.7702997778233946</v>
      </c>
      <c r="CM64" s="23">
        <f>EXP(-LN(2)/2)*CM63+(1-EXP(-LN(2)/2))/(LN(2)/2)*CG64*CJ64*VLOOKUP('Données projet'!$B$12,Paramètres!$A$1:$I$89,3,0)*0.475*44/12</f>
        <v>3.4749516609073989</v>
      </c>
      <c r="CN64" s="24">
        <f t="shared" si="12"/>
        <v>41.245806449960881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1.7053025658242404E-13</v>
      </c>
      <c r="O65" s="14">
        <f>N65*VLOOKUP('Données projet'!$B$9,Paramètres!$A$1:$I$89,3,0)*VLOOKUP('Données projet'!$B$9,Paramètres!$A$1:$I$89,5,0)</f>
        <v>7.9808160080574461E-14</v>
      </c>
      <c r="P65" s="14">
        <f t="shared" si="33"/>
        <v>1.2308384591775343E-12</v>
      </c>
      <c r="Q65" s="22">
        <f t="shared" si="53"/>
        <v>2.282709528541206E-12</v>
      </c>
      <c r="R65" s="62">
        <f t="shared" si="0"/>
        <v>262.35900295965359</v>
      </c>
      <c r="S65" s="62">
        <f ca="1">AVERAGE(OFFSET($R$3,0,0,'Données projet'!$E$9+1,1))-AVERAGE(OFFSET($H$3,0,0,'Données projet'!$E$9+1,1))</f>
        <v>234.81928430389272</v>
      </c>
      <c r="T65" s="62">
        <f t="shared" si="34"/>
        <v>294.47057757403411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83.821842521195421</v>
      </c>
      <c r="AA65" s="23">
        <f>EXP(-LN(2)/25)*AA64+(1-EXP(-LN(2)/25))/(LN(2)/25)*Calculateur!V65*Calculateur!X65*VLOOKUP('Données projet'!$B$9,Paramètres!$A$1:$I$89,3,0)*0.475*44/12</f>
        <v>35.613344055911206</v>
      </c>
      <c r="AB65" s="23">
        <f>EXP(-LN(2)/2)*AB64+(1-EXP(-LN(2)/2))/(LN(2)/2)*V65*Y65*VLOOKUP('Données projet'!$B$9,Paramètres!$A$1:$I$89,3,0)*0.475*44/12</f>
        <v>32.629521202815909</v>
      </c>
      <c r="AC65" s="24">
        <f t="shared" si="3"/>
        <v>152.06470777992254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273.00000000000023</v>
      </c>
      <c r="AJ65" s="14">
        <f>AI65*VLOOKUP('Données projet'!$B$10,Paramètres!$A$1:$I$89,3,0)*VLOOKUP('Données projet'!$B$10,Paramètres!$A$1:$I$89,5,0)</f>
        <v>212.9400000000002</v>
      </c>
      <c r="AK65" s="14">
        <f t="shared" si="35"/>
        <v>52.577528895212915</v>
      </c>
      <c r="AL65" s="22">
        <f t="shared" si="4"/>
        <v>462.44302949249618</v>
      </c>
      <c r="AM65" s="62">
        <f t="shared" si="5"/>
        <v>724.8020324521475</v>
      </c>
      <c r="AN65" s="62">
        <f ca="1">AVERAGE(OFFSET($AM$3,0,0,'Données projet'!$E$10+1,1))-AVERAGE(OFFSET($H$3,0,0,'Données projet'!$E$10+1,1))</f>
        <v>304.39782420428173</v>
      </c>
      <c r="AO65" s="62">
        <f t="shared" si="36"/>
        <v>360.34132229290537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31.373043645871135</v>
      </c>
      <c r="AV65" s="23">
        <f>EXP(-LN(2)/25)*AV64+(1-EXP(-LN(2)/25))/(LN(2)/25)*Calculateur!AQ65*Calculateur!AS65*VLOOKUP('Données projet'!$B$10,Paramètres!$A$1:$I$89,3,0)*0.475*44/12</f>
        <v>5.6125106269519369</v>
      </c>
      <c r="AW65" s="23">
        <f>EXP(-LN(2)/2)*AW64+(1-EXP(-LN(2)/2))/(LN(2)/2)*AQ65*AT65*VLOOKUP('Données projet'!$B$10,Paramètres!$A$1:$I$89,3,0)*0.475*44/12</f>
        <v>2.457161883723078</v>
      </c>
      <c r="AX65" s="23">
        <f t="shared" si="6"/>
        <v>39.442716156546155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273.00000000000023</v>
      </c>
      <c r="BE65" s="14">
        <f>BD65*VLOOKUP('Données projet'!$B$11,Paramètres!$A$1:$I$89,3,0)*VLOOKUP('Données projet'!$B$11,Paramètres!$A$1:$I$89,5,0)</f>
        <v>212.9400000000002</v>
      </c>
      <c r="BF65" s="14">
        <f t="shared" si="37"/>
        <v>52.577528895212915</v>
      </c>
      <c r="BG65" s="22">
        <f t="shared" si="7"/>
        <v>462.44302949249618</v>
      </c>
      <c r="BH65" s="62">
        <f t="shared" si="8"/>
        <v>724.8020324521475</v>
      </c>
      <c r="BI65" s="62">
        <f ca="1">AVERAGE(OFFSET($BH$3,0,0,'Données projet'!$E$11+1,1))-AVERAGE(OFFSET($H$3,0,0,'Données projet'!$E$11+1,1))</f>
        <v>304.39782420428173</v>
      </c>
      <c r="BJ65" s="62">
        <f t="shared" si="38"/>
        <v>360.34132229290537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31.373043645871135</v>
      </c>
      <c r="BQ65" s="23">
        <f>EXP(-LN(2)/25)*BQ64+(1-EXP(-LN(2)/25))/(LN(2)/25)*Calculateur!BL65*Calculateur!BN65*VLOOKUP('Données projet'!$B$11,Paramètres!$A$1:$I$89,3,0)*0.475*44/12</f>
        <v>5.6125106269519369</v>
      </c>
      <c r="BR65" s="23">
        <f>EXP(-LN(2)/2)*BR64+(1-EXP(-LN(2)/2))/(LN(2)/2)*BL65*BO65*VLOOKUP('Données projet'!$B$11,Paramètres!$A$1:$I$89,3,0)*0.475*44/12</f>
        <v>2.457161883723078</v>
      </c>
      <c r="BS65" s="24">
        <f t="shared" si="9"/>
        <v>39.442716156546155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273.00000000000023</v>
      </c>
      <c r="BZ65" s="14">
        <f>BY65*VLOOKUP('Données projet'!$B$12,Paramètres!$A$1:$I$89,3,0)*VLOOKUP('Données projet'!$B$12,Paramètres!$A$1:$I$89,5,0)</f>
        <v>212.9400000000002</v>
      </c>
      <c r="CA65" s="14">
        <f t="shared" si="39"/>
        <v>52.577528895212915</v>
      </c>
      <c r="CB65" s="22">
        <f t="shared" si="10"/>
        <v>462.44302949249618</v>
      </c>
      <c r="CC65" s="62">
        <f t="shared" si="11"/>
        <v>724.8020324521475</v>
      </c>
      <c r="CD65" s="62">
        <f ca="1">AVERAGE(OFFSET($CC$3,0,0,'Données projet'!$E$12+1,1))-AVERAGE(OFFSET($H$3,0,0,'Données projet'!$E$12+1,1))</f>
        <v>304.39782420428173</v>
      </c>
      <c r="CE65" s="62">
        <f t="shared" si="40"/>
        <v>360.34132229290537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31.373043645871135</v>
      </c>
      <c r="CL65" s="23">
        <f>EXP(-LN(2)/25)*CL64+(1-EXP(-LN(2)/25))/(LN(2)/25)*Calculateur!CG65*Calculateur!CI65*VLOOKUP('Données projet'!$B$12,Paramètres!$A$1:$I$89,3,0)*0.475*44/12</f>
        <v>5.6125106269519369</v>
      </c>
      <c r="CM65" s="23">
        <f>EXP(-LN(2)/2)*CM64+(1-EXP(-LN(2)/2))/(LN(2)/2)*CG65*CJ65*VLOOKUP('Données projet'!$B$12,Paramètres!$A$1:$I$89,3,0)*0.475*44/12</f>
        <v>2.457161883723078</v>
      </c>
      <c r="CN65" s="24">
        <f t="shared" si="12"/>
        <v>39.442716156546155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1.7053025658242404E-13</v>
      </c>
      <c r="O66" s="14">
        <f>N66*VLOOKUP('Données projet'!$B$9,Paramètres!$A$1:$I$89,3,0)*VLOOKUP('Données projet'!$B$9,Paramètres!$A$1:$I$89,5,0)</f>
        <v>7.9808160080574461E-14</v>
      </c>
      <c r="P66" s="14">
        <f t="shared" si="33"/>
        <v>1.2308384591775343E-12</v>
      </c>
      <c r="Q66" s="22">
        <f t="shared" si="53"/>
        <v>2.282709528541206E-12</v>
      </c>
      <c r="R66" s="62">
        <f t="shared" si="0"/>
        <v>262.89633834340839</v>
      </c>
      <c r="S66" s="62">
        <f ca="1">AVERAGE(OFFSET($R$3,0,0,'Données projet'!$E$9+1,1))-AVERAGE(OFFSET($H$3,0,0,'Données projet'!$E$9+1,1))</f>
        <v>234.81928430389272</v>
      </c>
      <c r="T66" s="62">
        <f t="shared" si="34"/>
        <v>294.47057757403411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82.178147315630412</v>
      </c>
      <c r="AA66" s="23">
        <f>EXP(-LN(2)/25)*AA65+(1-EXP(-LN(2)/25))/(LN(2)/25)*Calculateur!V66*Calculateur!X66*VLOOKUP('Données projet'!$B$9,Paramètres!$A$1:$I$89,3,0)*0.475*44/12</f>
        <v>34.639495289877942</v>
      </c>
      <c r="AB66" s="23">
        <f>EXP(-LN(2)/2)*AB65+(1-EXP(-LN(2)/2))/(LN(2)/2)*V66*Y66*VLOOKUP('Données projet'!$B$9,Paramètres!$A$1:$I$89,3,0)*0.475*44/12</f>
        <v>23.072555709381362</v>
      </c>
      <c r="AC66" s="24">
        <f t="shared" si="3"/>
        <v>139.89019831488972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273.00000000000023</v>
      </c>
      <c r="AJ66" s="14">
        <f>AI66*VLOOKUP('Données projet'!$B$10,Paramètres!$A$1:$I$89,3,0)*VLOOKUP('Données projet'!$B$10,Paramètres!$A$1:$I$89,5,0)</f>
        <v>212.9400000000002</v>
      </c>
      <c r="AK66" s="14">
        <f t="shared" si="35"/>
        <v>52.577528895212915</v>
      </c>
      <c r="AL66" s="22">
        <f t="shared" si="4"/>
        <v>462.44302949249618</v>
      </c>
      <c r="AM66" s="62">
        <f t="shared" si="5"/>
        <v>725.33936783590229</v>
      </c>
      <c r="AN66" s="62">
        <f ca="1">AVERAGE(OFFSET($AM$3,0,0,'Données projet'!$E$10+1,1))-AVERAGE(OFFSET($H$3,0,0,'Données projet'!$E$10+1,1))</f>
        <v>304.39782420428173</v>
      </c>
      <c r="AO66" s="62">
        <f t="shared" si="36"/>
        <v>360.34132229290537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30.757837395642735</v>
      </c>
      <c r="AV66" s="23">
        <f>EXP(-LN(2)/25)*AV65+(1-EXP(-LN(2)/25))/(LN(2)/25)*Calculateur!AQ66*Calculateur!AS66*VLOOKUP('Données projet'!$B$10,Paramètres!$A$1:$I$89,3,0)*0.475*44/12</f>
        <v>5.4590362287088299</v>
      </c>
      <c r="AW66" s="23">
        <f>EXP(-LN(2)/2)*AW65+(1-EXP(-LN(2)/2))/(LN(2)/2)*AQ66*AT66*VLOOKUP('Données projet'!$B$10,Paramètres!$A$1:$I$89,3,0)*0.475*44/12</f>
        <v>1.7374758304536995</v>
      </c>
      <c r="AX66" s="23">
        <f t="shared" si="6"/>
        <v>37.954349454805261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273.00000000000023</v>
      </c>
      <c r="BE66" s="14">
        <f>BD66*VLOOKUP('Données projet'!$B$11,Paramètres!$A$1:$I$89,3,0)*VLOOKUP('Données projet'!$B$11,Paramètres!$A$1:$I$89,5,0)</f>
        <v>212.9400000000002</v>
      </c>
      <c r="BF66" s="14">
        <f t="shared" si="37"/>
        <v>52.577528895212915</v>
      </c>
      <c r="BG66" s="22">
        <f t="shared" si="7"/>
        <v>462.44302949249618</v>
      </c>
      <c r="BH66" s="62">
        <f t="shared" si="8"/>
        <v>725.33936783590229</v>
      </c>
      <c r="BI66" s="62">
        <f ca="1">AVERAGE(OFFSET($BH$3,0,0,'Données projet'!$E$11+1,1))-AVERAGE(OFFSET($H$3,0,0,'Données projet'!$E$11+1,1))</f>
        <v>304.39782420428173</v>
      </c>
      <c r="BJ66" s="62">
        <f t="shared" si="38"/>
        <v>360.34132229290537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30.757837395642735</v>
      </c>
      <c r="BQ66" s="23">
        <f>EXP(-LN(2)/25)*BQ65+(1-EXP(-LN(2)/25))/(LN(2)/25)*Calculateur!BL66*Calculateur!BN66*VLOOKUP('Données projet'!$B$11,Paramètres!$A$1:$I$89,3,0)*0.475*44/12</f>
        <v>5.4590362287088299</v>
      </c>
      <c r="BR66" s="23">
        <f>EXP(-LN(2)/2)*BR65+(1-EXP(-LN(2)/2))/(LN(2)/2)*BL66*BO66*VLOOKUP('Données projet'!$B$11,Paramètres!$A$1:$I$89,3,0)*0.475*44/12</f>
        <v>1.7374758304536995</v>
      </c>
      <c r="BS66" s="24">
        <f t="shared" si="9"/>
        <v>37.954349454805261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273.00000000000023</v>
      </c>
      <c r="BZ66" s="14">
        <f>BY66*VLOOKUP('Données projet'!$B$12,Paramètres!$A$1:$I$89,3,0)*VLOOKUP('Données projet'!$B$12,Paramètres!$A$1:$I$89,5,0)</f>
        <v>212.9400000000002</v>
      </c>
      <c r="CA66" s="14">
        <f t="shared" si="39"/>
        <v>52.577528895212915</v>
      </c>
      <c r="CB66" s="22">
        <f t="shared" si="10"/>
        <v>462.44302949249618</v>
      </c>
      <c r="CC66" s="62">
        <f t="shared" si="11"/>
        <v>725.33936783590229</v>
      </c>
      <c r="CD66" s="62">
        <f ca="1">AVERAGE(OFFSET($CC$3,0,0,'Données projet'!$E$12+1,1))-AVERAGE(OFFSET($H$3,0,0,'Données projet'!$E$12+1,1))</f>
        <v>304.39782420428173</v>
      </c>
      <c r="CE66" s="62">
        <f t="shared" si="40"/>
        <v>360.34132229290537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30.757837395642735</v>
      </c>
      <c r="CL66" s="23">
        <f>EXP(-LN(2)/25)*CL65+(1-EXP(-LN(2)/25))/(LN(2)/25)*Calculateur!CG66*Calculateur!CI66*VLOOKUP('Données projet'!$B$12,Paramètres!$A$1:$I$89,3,0)*0.475*44/12</f>
        <v>5.4590362287088299</v>
      </c>
      <c r="CM66" s="23">
        <f>EXP(-LN(2)/2)*CM65+(1-EXP(-LN(2)/2))/(LN(2)/2)*CG66*CJ66*VLOOKUP('Données projet'!$B$12,Paramètres!$A$1:$I$89,3,0)*0.475*44/12</f>
        <v>1.7374758304536995</v>
      </c>
      <c r="CN66" s="24">
        <f t="shared" si="12"/>
        <v>37.954349454805261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1.7053025658242404E-13</v>
      </c>
      <c r="O67" s="14">
        <f>N67*VLOOKUP('Données projet'!$B$9,Paramètres!$A$1:$I$89,3,0)*VLOOKUP('Données projet'!$B$9,Paramètres!$A$1:$I$89,5,0)</f>
        <v>7.9808160080574461E-14</v>
      </c>
      <c r="P67" s="14">
        <f t="shared" si="33"/>
        <v>1.2308384591775343E-12</v>
      </c>
      <c r="Q67" s="22">
        <f t="shared" ref="Q67:Q98" si="54">(O67+P67)*0.475*44/12</f>
        <v>2.282709528541206E-12</v>
      </c>
      <c r="R67" s="62">
        <f t="shared" ref="R67:R130" si="55">Q67+(I67+J67)*44/12</f>
        <v>263.42435215955703</v>
      </c>
      <c r="S67" s="62">
        <f ca="1">AVERAGE(OFFSET($R$3,0,0,'Données projet'!$E$9+1,1))-AVERAGE(OFFSET($H$3,0,0,'Données projet'!$E$9+1,1))</f>
        <v>234.81928430389272</v>
      </c>
      <c r="T67" s="62">
        <f t="shared" si="34"/>
        <v>294.47057757403411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80.566683970491454</v>
      </c>
      <c r="AA67" s="23">
        <f>EXP(-LN(2)/25)*AA66+(1-EXP(-LN(2)/25))/(LN(2)/25)*Calculateur!V67*Calculateur!X67*VLOOKUP('Données projet'!$B$9,Paramètres!$A$1:$I$89,3,0)*0.475*44/12</f>
        <v>33.692276469564341</v>
      </c>
      <c r="AB67" s="23">
        <f>EXP(-LN(2)/2)*AB66+(1-EXP(-LN(2)/2))/(LN(2)/2)*V67*Y67*VLOOKUP('Données projet'!$B$9,Paramètres!$A$1:$I$89,3,0)*0.475*44/12</f>
        <v>16.314760601407954</v>
      </c>
      <c r="AC67" s="24">
        <f t="shared" si="3"/>
        <v>130.57372104146376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273.00000000000023</v>
      </c>
      <c r="AJ67" s="14">
        <f>AI67*VLOOKUP('Données projet'!$B$10,Paramètres!$A$1:$I$89,3,0)*VLOOKUP('Données projet'!$B$10,Paramètres!$A$1:$I$89,5,0)</f>
        <v>212.9400000000002</v>
      </c>
      <c r="AK67" s="14">
        <f t="shared" si="35"/>
        <v>52.577528895212915</v>
      </c>
      <c r="AL67" s="22">
        <f t="shared" si="4"/>
        <v>462.44302949249618</v>
      </c>
      <c r="AM67" s="62">
        <f t="shared" si="5"/>
        <v>725.86738165205088</v>
      </c>
      <c r="AN67" s="62">
        <f ca="1">AVERAGE(OFFSET($AM$3,0,0,'Données projet'!$E$10+1,1))-AVERAGE(OFFSET($H$3,0,0,'Données projet'!$E$10+1,1))</f>
        <v>304.39782420428173</v>
      </c>
      <c r="AO67" s="62">
        <f t="shared" si="36"/>
        <v>360.34132229290537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30.154694964742554</v>
      </c>
      <c r="AV67" s="23">
        <f>EXP(-LN(2)/25)*AV66+(1-EXP(-LN(2)/25))/(LN(2)/25)*Calculateur!AQ67*Calculateur!AS67*VLOOKUP('Données projet'!$B$10,Paramètres!$A$1:$I$89,3,0)*0.475*44/12</f>
        <v>5.3097585959565485</v>
      </c>
      <c r="AW67" s="23">
        <f>EXP(-LN(2)/2)*AW66+(1-EXP(-LN(2)/2))/(LN(2)/2)*AQ67*AT67*VLOOKUP('Données projet'!$B$10,Paramètres!$A$1:$I$89,3,0)*0.475*44/12</f>
        <v>1.228580941861539</v>
      </c>
      <c r="AX67" s="23">
        <f t="shared" si="6"/>
        <v>36.693034502560636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273.00000000000023</v>
      </c>
      <c r="BE67" s="14">
        <f>BD67*VLOOKUP('Données projet'!$B$11,Paramètres!$A$1:$I$89,3,0)*VLOOKUP('Données projet'!$B$11,Paramètres!$A$1:$I$89,5,0)</f>
        <v>212.9400000000002</v>
      </c>
      <c r="BF67" s="14">
        <f t="shared" si="37"/>
        <v>52.577528895212915</v>
      </c>
      <c r="BG67" s="22">
        <f t="shared" si="7"/>
        <v>462.44302949249618</v>
      </c>
      <c r="BH67" s="62">
        <f t="shared" si="8"/>
        <v>725.86738165205088</v>
      </c>
      <c r="BI67" s="62">
        <f ca="1">AVERAGE(OFFSET($BH$3,0,0,'Données projet'!$E$11+1,1))-AVERAGE(OFFSET($H$3,0,0,'Données projet'!$E$11+1,1))</f>
        <v>304.39782420428173</v>
      </c>
      <c r="BJ67" s="62">
        <f t="shared" si="38"/>
        <v>360.34132229290537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30.154694964742554</v>
      </c>
      <c r="BQ67" s="23">
        <f>EXP(-LN(2)/25)*BQ66+(1-EXP(-LN(2)/25))/(LN(2)/25)*Calculateur!BL67*Calculateur!BN67*VLOOKUP('Données projet'!$B$11,Paramètres!$A$1:$I$89,3,0)*0.475*44/12</f>
        <v>5.3097585959565485</v>
      </c>
      <c r="BR67" s="23">
        <f>EXP(-LN(2)/2)*BR66+(1-EXP(-LN(2)/2))/(LN(2)/2)*BL67*BO67*VLOOKUP('Données projet'!$B$11,Paramètres!$A$1:$I$89,3,0)*0.475*44/12</f>
        <v>1.228580941861539</v>
      </c>
      <c r="BS67" s="24">
        <f t="shared" si="9"/>
        <v>36.693034502560636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273.00000000000023</v>
      </c>
      <c r="BZ67" s="14">
        <f>BY67*VLOOKUP('Données projet'!$B$12,Paramètres!$A$1:$I$89,3,0)*VLOOKUP('Données projet'!$B$12,Paramètres!$A$1:$I$89,5,0)</f>
        <v>212.9400000000002</v>
      </c>
      <c r="CA67" s="14">
        <f t="shared" si="39"/>
        <v>52.577528895212915</v>
      </c>
      <c r="CB67" s="22">
        <f t="shared" si="10"/>
        <v>462.44302949249618</v>
      </c>
      <c r="CC67" s="62">
        <f t="shared" si="11"/>
        <v>725.86738165205088</v>
      </c>
      <c r="CD67" s="62">
        <f ca="1">AVERAGE(OFFSET($CC$3,0,0,'Données projet'!$E$12+1,1))-AVERAGE(OFFSET($H$3,0,0,'Données projet'!$E$12+1,1))</f>
        <v>304.39782420428173</v>
      </c>
      <c r="CE67" s="62">
        <f t="shared" si="40"/>
        <v>360.34132229290537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30.154694964742554</v>
      </c>
      <c r="CL67" s="23">
        <f>EXP(-LN(2)/25)*CL66+(1-EXP(-LN(2)/25))/(LN(2)/25)*Calculateur!CG67*Calculateur!CI67*VLOOKUP('Données projet'!$B$12,Paramètres!$A$1:$I$89,3,0)*0.475*44/12</f>
        <v>5.3097585959565485</v>
      </c>
      <c r="CM67" s="23">
        <f>EXP(-LN(2)/2)*CM66+(1-EXP(-LN(2)/2))/(LN(2)/2)*CG67*CJ67*VLOOKUP('Données projet'!$B$12,Paramètres!$A$1:$I$89,3,0)*0.475*44/12</f>
        <v>1.228580941861539</v>
      </c>
      <c r="CN67" s="24">
        <f t="shared" si="12"/>
        <v>36.693034502560636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1.7053025658242404E-13</v>
      </c>
      <c r="O68" s="14">
        <f>N68*VLOOKUP('Données projet'!$B$9,Paramètres!$A$1:$I$89,3,0)*VLOOKUP('Données projet'!$B$9,Paramètres!$A$1:$I$89,5,0)</f>
        <v>7.9808160080574461E-14</v>
      </c>
      <c r="P68" s="14">
        <f t="shared" si="33"/>
        <v>1.2308384591775343E-12</v>
      </c>
      <c r="Q68" s="22">
        <f t="shared" si="54"/>
        <v>2.282709528541206E-12</v>
      </c>
      <c r="R68" s="62">
        <f t="shared" si="55"/>
        <v>263.94320611645747</v>
      </c>
      <c r="S68" s="62">
        <f ca="1">AVERAGE(OFFSET($R$3,0,0,'Données projet'!$E$9+1,1))-AVERAGE(OFFSET($H$3,0,0,'Données projet'!$E$9+1,1))</f>
        <v>234.81928430389272</v>
      </c>
      <c r="T68" s="62">
        <f t="shared" si="34"/>
        <v>294.47057757403411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78.986820438655087</v>
      </c>
      <c r="AA68" s="23">
        <f>EXP(-LN(2)/25)*AA67+(1-EXP(-LN(2)/25))/(LN(2)/25)*Calculateur!V68*Calculateur!X68*VLOOKUP('Données projet'!$B$9,Paramètres!$A$1:$I$89,3,0)*0.475*44/12</f>
        <v>32.770959397704289</v>
      </c>
      <c r="AB68" s="23">
        <f>EXP(-LN(2)/2)*AB67+(1-EXP(-LN(2)/2))/(LN(2)/2)*V68*Y68*VLOOKUP('Données projet'!$B$9,Paramètres!$A$1:$I$89,3,0)*0.475*44/12</f>
        <v>11.536277854690681</v>
      </c>
      <c r="AC68" s="24">
        <f t="shared" ref="AC68:AC131" si="57">SUM(Z68:AB68)</f>
        <v>123.29405769105006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273.00000000000023</v>
      </c>
      <c r="AJ68" s="14">
        <f>AI68*VLOOKUP('Données projet'!$B$10,Paramètres!$A$1:$I$89,3,0)*VLOOKUP('Données projet'!$B$10,Paramètres!$A$1:$I$89,5,0)</f>
        <v>212.9400000000002</v>
      </c>
      <c r="AK68" s="14">
        <f t="shared" si="35"/>
        <v>52.577528895212915</v>
      </c>
      <c r="AL68" s="22">
        <f t="shared" ref="AL68:AL131" si="58">(AJ68+AK68)*0.475*44/12</f>
        <v>462.44302949249618</v>
      </c>
      <c r="AM68" s="62">
        <f t="shared" ref="AM68:AM131" si="59">AL68+(AD68+AE68)*44/12</f>
        <v>726.38623560895144</v>
      </c>
      <c r="AN68" s="62">
        <f ca="1">AVERAGE(OFFSET($AM$3,0,0,'Données projet'!$E$10+1,1))-AVERAGE(OFFSET($H$3,0,0,'Données projet'!$E$10+1,1))</f>
        <v>304.39782420428173</v>
      </c>
      <c r="AO68" s="62">
        <f t="shared" si="36"/>
        <v>360.34132229290537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29.563379789031767</v>
      </c>
      <c r="AV68" s="23">
        <f>EXP(-LN(2)/25)*AV67+(1-EXP(-LN(2)/25))/(LN(2)/25)*Calculateur!AQ68*Calculateur!AS68*VLOOKUP('Données projet'!$B$10,Paramètres!$A$1:$I$89,3,0)*0.475*44/12</f>
        <v>5.1645629679220475</v>
      </c>
      <c r="AW68" s="23">
        <f>EXP(-LN(2)/2)*AW67+(1-EXP(-LN(2)/2))/(LN(2)/2)*AQ68*AT68*VLOOKUP('Données projet'!$B$10,Paramètres!$A$1:$I$89,3,0)*0.475*44/12</f>
        <v>0.86873791522684973</v>
      </c>
      <c r="AX68" s="23">
        <f t="shared" ref="AX68:AX131" si="60">SUM(AU68:AW68)</f>
        <v>35.596680672180668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273.00000000000023</v>
      </c>
      <c r="BE68" s="14">
        <f>BD68*VLOOKUP('Données projet'!$B$11,Paramètres!$A$1:$I$89,3,0)*VLOOKUP('Données projet'!$B$11,Paramètres!$A$1:$I$89,5,0)</f>
        <v>212.9400000000002</v>
      </c>
      <c r="BF68" s="14">
        <f t="shared" si="37"/>
        <v>52.577528895212915</v>
      </c>
      <c r="BG68" s="22">
        <f t="shared" ref="BG68:BG131" si="61">(BE68+BF68)*0.475*44/12</f>
        <v>462.44302949249618</v>
      </c>
      <c r="BH68" s="62">
        <f t="shared" ref="BH68:BH131" si="62">BG68+(AY68+AZ68)*44/12</f>
        <v>726.38623560895144</v>
      </c>
      <c r="BI68" s="62">
        <f ca="1">AVERAGE(OFFSET($BH$3,0,0,'Données projet'!$E$11+1,1))-AVERAGE(OFFSET($H$3,0,0,'Données projet'!$E$11+1,1))</f>
        <v>304.39782420428173</v>
      </c>
      <c r="BJ68" s="62">
        <f t="shared" si="38"/>
        <v>360.34132229290537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29.563379789031767</v>
      </c>
      <c r="BQ68" s="23">
        <f>EXP(-LN(2)/25)*BQ67+(1-EXP(-LN(2)/25))/(LN(2)/25)*Calculateur!BL68*Calculateur!BN68*VLOOKUP('Données projet'!$B$11,Paramètres!$A$1:$I$89,3,0)*0.475*44/12</f>
        <v>5.1645629679220475</v>
      </c>
      <c r="BR68" s="23">
        <f>EXP(-LN(2)/2)*BR67+(1-EXP(-LN(2)/2))/(LN(2)/2)*BL68*BO68*VLOOKUP('Données projet'!$B$11,Paramètres!$A$1:$I$89,3,0)*0.475*44/12</f>
        <v>0.86873791522684973</v>
      </c>
      <c r="BS68" s="24">
        <f t="shared" ref="BS68:BS131" si="63">SUM(BP68:BR68)</f>
        <v>35.596680672180668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273.00000000000023</v>
      </c>
      <c r="BZ68" s="14">
        <f>BY68*VLOOKUP('Données projet'!$B$12,Paramètres!$A$1:$I$89,3,0)*VLOOKUP('Données projet'!$B$12,Paramètres!$A$1:$I$89,5,0)</f>
        <v>212.9400000000002</v>
      </c>
      <c r="CA68" s="14">
        <f t="shared" si="39"/>
        <v>52.577528895212915</v>
      </c>
      <c r="CB68" s="22">
        <f t="shared" ref="CB68:CB131" si="64">(BZ68+CA68)*0.475*44/12</f>
        <v>462.44302949249618</v>
      </c>
      <c r="CC68" s="62">
        <f t="shared" ref="CC68:CC131" si="65">CB68+(BT68+BU68)*44/12</f>
        <v>726.38623560895144</v>
      </c>
      <c r="CD68" s="62">
        <f ca="1">AVERAGE(OFFSET($CC$3,0,0,'Données projet'!$E$12+1,1))-AVERAGE(OFFSET($H$3,0,0,'Données projet'!$E$12+1,1))</f>
        <v>304.39782420428173</v>
      </c>
      <c r="CE68" s="62">
        <f t="shared" si="40"/>
        <v>360.34132229290537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29.563379789031767</v>
      </c>
      <c r="CL68" s="23">
        <f>EXP(-LN(2)/25)*CL67+(1-EXP(-LN(2)/25))/(LN(2)/25)*Calculateur!CG68*Calculateur!CI68*VLOOKUP('Données projet'!$B$12,Paramètres!$A$1:$I$89,3,0)*0.475*44/12</f>
        <v>5.1645629679220475</v>
      </c>
      <c r="CM68" s="23">
        <f>EXP(-LN(2)/2)*CM67+(1-EXP(-LN(2)/2))/(LN(2)/2)*CG68*CJ68*VLOOKUP('Données projet'!$B$12,Paramètres!$A$1:$I$89,3,0)*0.475*44/12</f>
        <v>0.86873791522684973</v>
      </c>
      <c r="CN68" s="24">
        <f t="shared" ref="CN68:CN131" si="66">SUM(CK68:CM68)</f>
        <v>35.596680672180668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1.7053025658242404E-13</v>
      </c>
      <c r="O69" s="14">
        <f>N69*VLOOKUP('Données projet'!$B$9,Paramètres!$A$1:$I$89,3,0)*VLOOKUP('Données projet'!$B$9,Paramètres!$A$1:$I$89,5,0)</f>
        <v>7.9808160080574461E-14</v>
      </c>
      <c r="P69" s="14">
        <f t="shared" ref="P69:P132" si="87">EXP(-1.0587+0.8836*LN(O69)+0.284)</f>
        <v>1.2308384591775343E-12</v>
      </c>
      <c r="Q69" s="22">
        <f t="shared" si="54"/>
        <v>2.282709528541206E-12</v>
      </c>
      <c r="R69" s="62">
        <f t="shared" si="55"/>
        <v>264.45305911718935</v>
      </c>
      <c r="S69" s="62">
        <f ca="1">AVERAGE(OFFSET($R$3,0,0,'Données projet'!$E$9+1,1))-AVERAGE(OFFSET($H$3,0,0,'Données projet'!$E$9+1,1))</f>
        <v>234.81928430389272</v>
      </c>
      <c r="T69" s="62">
        <f t="shared" ref="T69:T132" si="88">$T$3</f>
        <v>294.47057757403411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77.437937067056424</v>
      </c>
      <c r="AA69" s="23">
        <f>EXP(-LN(2)/25)*AA68+(1-EXP(-LN(2)/25))/(LN(2)/25)*Calculateur!V69*Calculateur!X69*VLOOKUP('Données projet'!$B$9,Paramètres!$A$1:$I$89,3,0)*0.475*44/12</f>
        <v>31.87483578962421</v>
      </c>
      <c r="AB69" s="23">
        <f>EXP(-LN(2)/2)*AB68+(1-EXP(-LN(2)/2))/(LN(2)/2)*V69*Y69*VLOOKUP('Données projet'!$B$9,Paramètres!$A$1:$I$89,3,0)*0.475*44/12</f>
        <v>8.1573803007039771</v>
      </c>
      <c r="AC69" s="24">
        <f t="shared" si="57"/>
        <v>117.47015315738462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273.00000000000023</v>
      </c>
      <c r="AJ69" s="14">
        <f>AI69*VLOOKUP('Données projet'!$B$10,Paramètres!$A$1:$I$89,3,0)*VLOOKUP('Données projet'!$B$10,Paramètres!$A$1:$I$89,5,0)</f>
        <v>212.9400000000002</v>
      </c>
      <c r="AK69" s="14">
        <f t="shared" ref="AK69:AK132" si="89">EXP(-1.0587+0.8836*LN(AJ69)+0.284)</f>
        <v>52.577528895212915</v>
      </c>
      <c r="AL69" s="22">
        <f t="shared" si="58"/>
        <v>462.44302949249618</v>
      </c>
      <c r="AM69" s="62">
        <f t="shared" si="59"/>
        <v>726.89608860968326</v>
      </c>
      <c r="AN69" s="62">
        <f ca="1">AVERAGE(OFFSET($AM$3,0,0,'Données projet'!$E$10+1,1))-AVERAGE(OFFSET($H$3,0,0,'Données projet'!$E$10+1,1))</f>
        <v>304.39782420428173</v>
      </c>
      <c r="AO69" s="62">
        <f t="shared" ref="AO69:AO132" si="90">$AO$3</f>
        <v>360.34132229290537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28.983659943250025</v>
      </c>
      <c r="AV69" s="23">
        <f>EXP(-LN(2)/25)*AV68+(1-EXP(-LN(2)/25))/(LN(2)/25)*Calculateur!AQ69*Calculateur!AS69*VLOOKUP('Données projet'!$B$10,Paramètres!$A$1:$I$89,3,0)*0.475*44/12</f>
        <v>5.0233377219716564</v>
      </c>
      <c r="AW69" s="23">
        <f>EXP(-LN(2)/2)*AW68+(1-EXP(-LN(2)/2))/(LN(2)/2)*AQ69*AT69*VLOOKUP('Données projet'!$B$10,Paramètres!$A$1:$I$89,3,0)*0.475*44/12</f>
        <v>0.61429047093076949</v>
      </c>
      <c r="AX69" s="23">
        <f t="shared" si="60"/>
        <v>34.621288136152451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273.00000000000023</v>
      </c>
      <c r="BE69" s="14">
        <f>BD69*VLOOKUP('Données projet'!$B$11,Paramètres!$A$1:$I$89,3,0)*VLOOKUP('Données projet'!$B$11,Paramètres!$A$1:$I$89,5,0)</f>
        <v>212.9400000000002</v>
      </c>
      <c r="BF69" s="14">
        <f t="shared" ref="BF69:BF132" si="91">EXP(-1.0587+0.8836*LN(BE69)+0.284)</f>
        <v>52.577528895212915</v>
      </c>
      <c r="BG69" s="22">
        <f t="shared" si="61"/>
        <v>462.44302949249618</v>
      </c>
      <c r="BH69" s="62">
        <f t="shared" si="62"/>
        <v>726.89608860968326</v>
      </c>
      <c r="BI69" s="62">
        <f ca="1">AVERAGE(OFFSET($BH$3,0,0,'Données projet'!$E$11+1,1))-AVERAGE(OFFSET($H$3,0,0,'Données projet'!$E$11+1,1))</f>
        <v>304.39782420428173</v>
      </c>
      <c r="BJ69" s="62">
        <f t="shared" ref="BJ69:BJ132" si="92">$BJ$3</f>
        <v>360.34132229290537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28.983659943250025</v>
      </c>
      <c r="BQ69" s="23">
        <f>EXP(-LN(2)/25)*BQ68+(1-EXP(-LN(2)/25))/(LN(2)/25)*Calculateur!BL69*Calculateur!BN69*VLOOKUP('Données projet'!$B$11,Paramètres!$A$1:$I$89,3,0)*0.475*44/12</f>
        <v>5.0233377219716564</v>
      </c>
      <c r="BR69" s="23">
        <f>EXP(-LN(2)/2)*BR68+(1-EXP(-LN(2)/2))/(LN(2)/2)*BL69*BO69*VLOOKUP('Données projet'!$B$11,Paramètres!$A$1:$I$89,3,0)*0.475*44/12</f>
        <v>0.61429047093076949</v>
      </c>
      <c r="BS69" s="24">
        <f t="shared" si="63"/>
        <v>34.621288136152451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273.00000000000023</v>
      </c>
      <c r="BZ69" s="14">
        <f>BY69*VLOOKUP('Données projet'!$B$12,Paramètres!$A$1:$I$89,3,0)*VLOOKUP('Données projet'!$B$12,Paramètres!$A$1:$I$89,5,0)</f>
        <v>212.9400000000002</v>
      </c>
      <c r="CA69" s="14">
        <f t="shared" ref="CA69:CA132" si="93">EXP(-1.0587+0.8836*LN(BZ69)+0.284)</f>
        <v>52.577528895212915</v>
      </c>
      <c r="CB69" s="22">
        <f t="shared" si="64"/>
        <v>462.44302949249618</v>
      </c>
      <c r="CC69" s="62">
        <f t="shared" si="65"/>
        <v>726.89608860968326</v>
      </c>
      <c r="CD69" s="62">
        <f ca="1">AVERAGE(OFFSET($CC$3,0,0,'Données projet'!$E$12+1,1))-AVERAGE(OFFSET($H$3,0,0,'Données projet'!$E$12+1,1))</f>
        <v>304.39782420428173</v>
      </c>
      <c r="CE69" s="62">
        <f t="shared" ref="CE69:CE132" si="94">$CE$3</f>
        <v>360.34132229290537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28.983659943250025</v>
      </c>
      <c r="CL69" s="23">
        <f>EXP(-LN(2)/25)*CL68+(1-EXP(-LN(2)/25))/(LN(2)/25)*Calculateur!CG69*Calculateur!CI69*VLOOKUP('Données projet'!$B$12,Paramètres!$A$1:$I$89,3,0)*0.475*44/12</f>
        <v>5.0233377219716564</v>
      </c>
      <c r="CM69" s="23">
        <f>EXP(-LN(2)/2)*CM68+(1-EXP(-LN(2)/2))/(LN(2)/2)*CG69*CJ69*VLOOKUP('Données projet'!$B$12,Paramètres!$A$1:$I$89,3,0)*0.475*44/12</f>
        <v>0.61429047093076949</v>
      </c>
      <c r="CN69" s="24">
        <f t="shared" si="66"/>
        <v>34.621288136152451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1.7053025658242404E-13</v>
      </c>
      <c r="O70" s="14">
        <f>N70*VLOOKUP('Données projet'!$B$9,Paramètres!$A$1:$I$89,3,0)*VLOOKUP('Données projet'!$B$9,Paramètres!$A$1:$I$89,5,0)</f>
        <v>7.9808160080574461E-14</v>
      </c>
      <c r="P70" s="14">
        <f t="shared" si="87"/>
        <v>1.2308384591775343E-12</v>
      </c>
      <c r="Q70" s="22">
        <f t="shared" si="54"/>
        <v>2.282709528541206E-12</v>
      </c>
      <c r="R70" s="62">
        <f t="shared" si="55"/>
        <v>264.95406730821918</v>
      </c>
      <c r="S70" s="62">
        <f ca="1">AVERAGE(OFFSET($R$3,0,0,'Données projet'!$E$9+1,1))-AVERAGE(OFFSET($H$3,0,0,'Données projet'!$E$9+1,1))</f>
        <v>234.81928430389272</v>
      </c>
      <c r="T70" s="62">
        <f t="shared" si="88"/>
        <v>294.47057757403411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75.919426353649243</v>
      </c>
      <c r="AA70" s="23">
        <f>EXP(-LN(2)/25)*AA69+(1-EXP(-LN(2)/25))/(LN(2)/25)*Calculateur!V70*Calculateur!X70*VLOOKUP('Données projet'!$B$9,Paramètres!$A$1:$I$89,3,0)*0.475*44/12</f>
        <v>31.003216728732173</v>
      </c>
      <c r="AB70" s="23">
        <f>EXP(-LN(2)/2)*AB69+(1-EXP(-LN(2)/2))/(LN(2)/2)*V70*Y70*VLOOKUP('Données projet'!$B$9,Paramètres!$A$1:$I$89,3,0)*0.475*44/12</f>
        <v>5.7681389273453405</v>
      </c>
      <c r="AC70" s="24">
        <f t="shared" si="57"/>
        <v>112.69078200972675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273.00000000000023</v>
      </c>
      <c r="AJ70" s="14">
        <f>AI70*VLOOKUP('Données projet'!$B$10,Paramètres!$A$1:$I$89,3,0)*VLOOKUP('Données projet'!$B$10,Paramètres!$A$1:$I$89,5,0)</f>
        <v>212.9400000000002</v>
      </c>
      <c r="AK70" s="14">
        <f t="shared" si="89"/>
        <v>52.577528895212915</v>
      </c>
      <c r="AL70" s="22">
        <f t="shared" si="58"/>
        <v>462.44302949249618</v>
      </c>
      <c r="AM70" s="62">
        <f t="shared" si="59"/>
        <v>727.39709680071314</v>
      </c>
      <c r="AN70" s="62">
        <f ca="1">AVERAGE(OFFSET($AM$3,0,0,'Données projet'!$E$10+1,1))-AVERAGE(OFFSET($H$3,0,0,'Données projet'!$E$10+1,1))</f>
        <v>304.39782420428173</v>
      </c>
      <c r="AO70" s="62">
        <f t="shared" si="90"/>
        <v>360.34132229290537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28.415308050049873</v>
      </c>
      <c r="AV70" s="23">
        <f>EXP(-LN(2)/25)*AV69+(1-EXP(-LN(2)/25))/(LN(2)/25)*Calculateur!AQ70*Calculateur!AS70*VLOOKUP('Données projet'!$B$10,Paramètres!$A$1:$I$89,3,0)*0.475*44/12</f>
        <v>4.8859742877984917</v>
      </c>
      <c r="AW70" s="23">
        <f>EXP(-LN(2)/2)*AW69+(1-EXP(-LN(2)/2))/(LN(2)/2)*AQ70*AT70*VLOOKUP('Données projet'!$B$10,Paramètres!$A$1:$I$89,3,0)*0.475*44/12</f>
        <v>0.43436895761342487</v>
      </c>
      <c r="AX70" s="23">
        <f t="shared" si="60"/>
        <v>33.735651295461786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273.00000000000023</v>
      </c>
      <c r="BE70" s="14">
        <f>BD70*VLOOKUP('Données projet'!$B$11,Paramètres!$A$1:$I$89,3,0)*VLOOKUP('Données projet'!$B$11,Paramètres!$A$1:$I$89,5,0)</f>
        <v>212.9400000000002</v>
      </c>
      <c r="BF70" s="14">
        <f t="shared" si="91"/>
        <v>52.577528895212915</v>
      </c>
      <c r="BG70" s="22">
        <f t="shared" si="61"/>
        <v>462.44302949249618</v>
      </c>
      <c r="BH70" s="62">
        <f t="shared" si="62"/>
        <v>727.39709680071314</v>
      </c>
      <c r="BI70" s="62">
        <f ca="1">AVERAGE(OFFSET($BH$3,0,0,'Données projet'!$E$11+1,1))-AVERAGE(OFFSET($H$3,0,0,'Données projet'!$E$11+1,1))</f>
        <v>304.39782420428173</v>
      </c>
      <c r="BJ70" s="62">
        <f t="shared" si="92"/>
        <v>360.34132229290537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28.415308050049873</v>
      </c>
      <c r="BQ70" s="23">
        <f>EXP(-LN(2)/25)*BQ69+(1-EXP(-LN(2)/25))/(LN(2)/25)*Calculateur!BL70*Calculateur!BN70*VLOOKUP('Données projet'!$B$11,Paramètres!$A$1:$I$89,3,0)*0.475*44/12</f>
        <v>4.8859742877984917</v>
      </c>
      <c r="BR70" s="23">
        <f>EXP(-LN(2)/2)*BR69+(1-EXP(-LN(2)/2))/(LN(2)/2)*BL70*BO70*VLOOKUP('Données projet'!$B$11,Paramètres!$A$1:$I$89,3,0)*0.475*44/12</f>
        <v>0.43436895761342487</v>
      </c>
      <c r="BS70" s="24">
        <f t="shared" si="63"/>
        <v>33.735651295461786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273.00000000000023</v>
      </c>
      <c r="BZ70" s="14">
        <f>BY70*VLOOKUP('Données projet'!$B$12,Paramètres!$A$1:$I$89,3,0)*VLOOKUP('Données projet'!$B$12,Paramètres!$A$1:$I$89,5,0)</f>
        <v>212.9400000000002</v>
      </c>
      <c r="CA70" s="14">
        <f t="shared" si="93"/>
        <v>52.577528895212915</v>
      </c>
      <c r="CB70" s="22">
        <f t="shared" si="64"/>
        <v>462.44302949249618</v>
      </c>
      <c r="CC70" s="62">
        <f t="shared" si="65"/>
        <v>727.39709680071314</v>
      </c>
      <c r="CD70" s="62">
        <f ca="1">AVERAGE(OFFSET($CC$3,0,0,'Données projet'!$E$12+1,1))-AVERAGE(OFFSET($H$3,0,0,'Données projet'!$E$12+1,1))</f>
        <v>304.39782420428173</v>
      </c>
      <c r="CE70" s="62">
        <f t="shared" si="94"/>
        <v>360.34132229290537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28.415308050049873</v>
      </c>
      <c r="CL70" s="23">
        <f>EXP(-LN(2)/25)*CL69+(1-EXP(-LN(2)/25))/(LN(2)/25)*Calculateur!CG70*Calculateur!CI70*VLOOKUP('Données projet'!$B$12,Paramètres!$A$1:$I$89,3,0)*0.475*44/12</f>
        <v>4.8859742877984917</v>
      </c>
      <c r="CM70" s="23">
        <f>EXP(-LN(2)/2)*CM69+(1-EXP(-LN(2)/2))/(LN(2)/2)*CG70*CJ70*VLOOKUP('Données projet'!$B$12,Paramètres!$A$1:$I$89,3,0)*0.475*44/12</f>
        <v>0.43436895761342487</v>
      </c>
      <c r="CN70" s="24">
        <f t="shared" si="66"/>
        <v>33.735651295461786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1.7053025658242404E-13</v>
      </c>
      <c r="O71" s="14">
        <f>N71*VLOOKUP('Données projet'!$B$9,Paramètres!$A$1:$I$89,3,0)*VLOOKUP('Données projet'!$B$9,Paramètres!$A$1:$I$89,5,0)</f>
        <v>7.9808160080574461E-14</v>
      </c>
      <c r="P71" s="14">
        <f t="shared" si="87"/>
        <v>1.2308384591775343E-12</v>
      </c>
      <c r="Q71" s="22">
        <f t="shared" si="54"/>
        <v>2.282709528541206E-12</v>
      </c>
      <c r="R71" s="62">
        <f t="shared" si="55"/>
        <v>265.44638412722111</v>
      </c>
      <c r="S71" s="62">
        <f ca="1">AVERAGE(OFFSET($R$3,0,0,'Données projet'!$E$9+1,1))-AVERAGE(OFFSET($H$3,0,0,'Données projet'!$E$9+1,1))</f>
        <v>234.81928430389272</v>
      </c>
      <c r="T71" s="62">
        <f t="shared" si="88"/>
        <v>294.47057757403411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74.43069270913189</v>
      </c>
      <c r="AA71" s="23">
        <f>EXP(-LN(2)/25)*AA70+(1-EXP(-LN(2)/25))/(LN(2)/25)*Calculateur!V71*Calculateur!X71*VLOOKUP('Données projet'!$B$9,Paramètres!$A$1:$I$89,3,0)*0.475*44/12</f>
        <v>30.155432136896682</v>
      </c>
      <c r="AB71" s="23">
        <f>EXP(-LN(2)/2)*AB70+(1-EXP(-LN(2)/2))/(LN(2)/2)*V71*Y71*VLOOKUP('Données projet'!$B$9,Paramètres!$A$1:$I$89,3,0)*0.475*44/12</f>
        <v>4.0786901503519886</v>
      </c>
      <c r="AC71" s="24">
        <f t="shared" si="57"/>
        <v>108.66481499638056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273.00000000000023</v>
      </c>
      <c r="AJ71" s="14">
        <f>AI71*VLOOKUP('Données projet'!$B$10,Paramètres!$A$1:$I$89,3,0)*VLOOKUP('Données projet'!$B$10,Paramètres!$A$1:$I$89,5,0)</f>
        <v>212.9400000000002</v>
      </c>
      <c r="AK71" s="14">
        <f t="shared" si="89"/>
        <v>52.577528895212915</v>
      </c>
      <c r="AL71" s="22">
        <f t="shared" si="58"/>
        <v>462.44302949249618</v>
      </c>
      <c r="AM71" s="62">
        <f t="shared" si="59"/>
        <v>727.88941361971501</v>
      </c>
      <c r="AN71" s="62">
        <f ca="1">AVERAGE(OFFSET($AM$3,0,0,'Données projet'!$E$10+1,1))-AVERAGE(OFFSET($H$3,0,0,'Données projet'!$E$10+1,1))</f>
        <v>304.39782420428173</v>
      </c>
      <c r="AO71" s="62">
        <f t="shared" si="90"/>
        <v>360.34132229290537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27.858101190814949</v>
      </c>
      <c r="AV71" s="23">
        <f>EXP(-LN(2)/25)*AV70+(1-EXP(-LN(2)/25))/(LN(2)/25)*Calculateur!AQ71*Calculateur!AS71*VLOOKUP('Données projet'!$B$10,Paramètres!$A$1:$I$89,3,0)*0.475*44/12</f>
        <v>4.7523670639564211</v>
      </c>
      <c r="AW71" s="23">
        <f>EXP(-LN(2)/2)*AW70+(1-EXP(-LN(2)/2))/(LN(2)/2)*AQ71*AT71*VLOOKUP('Données projet'!$B$10,Paramètres!$A$1:$I$89,3,0)*0.475*44/12</f>
        <v>0.30714523546538475</v>
      </c>
      <c r="AX71" s="23">
        <f t="shared" si="60"/>
        <v>32.917613490236754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273.00000000000023</v>
      </c>
      <c r="BE71" s="14">
        <f>BD71*VLOOKUP('Données projet'!$B$11,Paramètres!$A$1:$I$89,3,0)*VLOOKUP('Données projet'!$B$11,Paramètres!$A$1:$I$89,5,0)</f>
        <v>212.9400000000002</v>
      </c>
      <c r="BF71" s="14">
        <f t="shared" si="91"/>
        <v>52.577528895212915</v>
      </c>
      <c r="BG71" s="22">
        <f t="shared" si="61"/>
        <v>462.44302949249618</v>
      </c>
      <c r="BH71" s="62">
        <f t="shared" si="62"/>
        <v>727.88941361971501</v>
      </c>
      <c r="BI71" s="62">
        <f ca="1">AVERAGE(OFFSET($BH$3,0,0,'Données projet'!$E$11+1,1))-AVERAGE(OFFSET($H$3,0,0,'Données projet'!$E$11+1,1))</f>
        <v>304.39782420428173</v>
      </c>
      <c r="BJ71" s="62">
        <f t="shared" si="92"/>
        <v>360.34132229290537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27.858101190814949</v>
      </c>
      <c r="BQ71" s="23">
        <f>EXP(-LN(2)/25)*BQ70+(1-EXP(-LN(2)/25))/(LN(2)/25)*Calculateur!BL71*Calculateur!BN71*VLOOKUP('Données projet'!$B$11,Paramètres!$A$1:$I$89,3,0)*0.475*44/12</f>
        <v>4.7523670639564211</v>
      </c>
      <c r="BR71" s="23">
        <f>EXP(-LN(2)/2)*BR70+(1-EXP(-LN(2)/2))/(LN(2)/2)*BL71*BO71*VLOOKUP('Données projet'!$B$11,Paramètres!$A$1:$I$89,3,0)*0.475*44/12</f>
        <v>0.30714523546538475</v>
      </c>
      <c r="BS71" s="24">
        <f t="shared" si="63"/>
        <v>32.917613490236754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273.00000000000023</v>
      </c>
      <c r="BZ71" s="14">
        <f>BY71*VLOOKUP('Données projet'!$B$12,Paramètres!$A$1:$I$89,3,0)*VLOOKUP('Données projet'!$B$12,Paramètres!$A$1:$I$89,5,0)</f>
        <v>212.9400000000002</v>
      </c>
      <c r="CA71" s="14">
        <f t="shared" si="93"/>
        <v>52.577528895212915</v>
      </c>
      <c r="CB71" s="22">
        <f t="shared" si="64"/>
        <v>462.44302949249618</v>
      </c>
      <c r="CC71" s="62">
        <f t="shared" si="65"/>
        <v>727.88941361971501</v>
      </c>
      <c r="CD71" s="62">
        <f ca="1">AVERAGE(OFFSET($CC$3,0,0,'Données projet'!$E$12+1,1))-AVERAGE(OFFSET($H$3,0,0,'Données projet'!$E$12+1,1))</f>
        <v>304.39782420428173</v>
      </c>
      <c r="CE71" s="62">
        <f t="shared" si="94"/>
        <v>360.34132229290537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27.858101190814949</v>
      </c>
      <c r="CL71" s="23">
        <f>EXP(-LN(2)/25)*CL70+(1-EXP(-LN(2)/25))/(LN(2)/25)*Calculateur!CG71*Calculateur!CI71*VLOOKUP('Données projet'!$B$12,Paramètres!$A$1:$I$89,3,0)*0.475*44/12</f>
        <v>4.7523670639564211</v>
      </c>
      <c r="CM71" s="23">
        <f>EXP(-LN(2)/2)*CM70+(1-EXP(-LN(2)/2))/(LN(2)/2)*CG71*CJ71*VLOOKUP('Données projet'!$B$12,Paramètres!$A$1:$I$89,3,0)*0.475*44/12</f>
        <v>0.30714523546538475</v>
      </c>
      <c r="CN71" s="24">
        <f t="shared" si="66"/>
        <v>32.917613490236754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1.7053025658242404E-13</v>
      </c>
      <c r="O72" s="14">
        <f>N72*VLOOKUP('Données projet'!$B$9,Paramètres!$A$1:$I$89,3,0)*VLOOKUP('Données projet'!$B$9,Paramètres!$A$1:$I$89,5,0)</f>
        <v>7.9808160080574461E-14</v>
      </c>
      <c r="P72" s="14">
        <f t="shared" si="87"/>
        <v>1.2308384591775343E-12</v>
      </c>
      <c r="Q72" s="22">
        <f t="shared" si="54"/>
        <v>2.282709528541206E-12</v>
      </c>
      <c r="R72" s="62">
        <f t="shared" si="55"/>
        <v>265.93016035006883</v>
      </c>
      <c r="S72" s="62">
        <f ca="1">AVERAGE(OFFSET($R$3,0,0,'Données projet'!$E$9+1,1))-AVERAGE(OFFSET($H$3,0,0,'Données projet'!$E$9+1,1))</f>
        <v>234.81928430389272</v>
      </c>
      <c r="T72" s="62">
        <f t="shared" si="88"/>
        <v>294.47057757403411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72.971152223345669</v>
      </c>
      <c r="AA72" s="23">
        <f>EXP(-LN(2)/25)*AA71+(1-EXP(-LN(2)/25))/(LN(2)/25)*Calculateur!V72*Calculateur!X72*VLOOKUP('Données projet'!$B$9,Paramètres!$A$1:$I$89,3,0)*0.475*44/12</f>
        <v>29.330830259307987</v>
      </c>
      <c r="AB72" s="23">
        <f>EXP(-LN(2)/2)*AB71+(1-EXP(-LN(2)/2))/(LN(2)/2)*V72*Y72*VLOOKUP('Données projet'!$B$9,Paramètres!$A$1:$I$89,3,0)*0.475*44/12</f>
        <v>2.8840694636726703</v>
      </c>
      <c r="AC72" s="24">
        <f t="shared" si="57"/>
        <v>105.18605194632633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273.00000000000023</v>
      </c>
      <c r="AJ72" s="14">
        <f>AI72*VLOOKUP('Données projet'!$B$10,Paramètres!$A$1:$I$89,3,0)*VLOOKUP('Données projet'!$B$10,Paramètres!$A$1:$I$89,5,0)</f>
        <v>212.9400000000002</v>
      </c>
      <c r="AK72" s="14">
        <f t="shared" si="89"/>
        <v>52.577528895212915</v>
      </c>
      <c r="AL72" s="22">
        <f t="shared" si="58"/>
        <v>462.44302949249618</v>
      </c>
      <c r="AM72" s="62">
        <f t="shared" si="59"/>
        <v>728.37318984256274</v>
      </c>
      <c r="AN72" s="62">
        <f ca="1">AVERAGE(OFFSET($AM$3,0,0,'Données projet'!$E$10+1,1))-AVERAGE(OFFSET($H$3,0,0,'Données projet'!$E$10+1,1))</f>
        <v>304.39782420428173</v>
      </c>
      <c r="AO72" s="62">
        <f t="shared" si="90"/>
        <v>360.34132229290537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27.311820818226998</v>
      </c>
      <c r="AV72" s="23">
        <f>EXP(-LN(2)/25)*AV71+(1-EXP(-LN(2)/25))/(LN(2)/25)*Calculateur!AQ72*Calculateur!AS72*VLOOKUP('Données projet'!$B$10,Paramètres!$A$1:$I$89,3,0)*0.475*44/12</f>
        <v>4.6224133366764102</v>
      </c>
      <c r="AW72" s="23">
        <f>EXP(-LN(2)/2)*AW71+(1-EXP(-LN(2)/2))/(LN(2)/2)*AQ72*AT72*VLOOKUP('Données projet'!$B$10,Paramètres!$A$1:$I$89,3,0)*0.475*44/12</f>
        <v>0.21718447880671243</v>
      </c>
      <c r="AX72" s="23">
        <f t="shared" si="60"/>
        <v>32.151418633710122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273.00000000000023</v>
      </c>
      <c r="BE72" s="14">
        <f>BD72*VLOOKUP('Données projet'!$B$11,Paramètres!$A$1:$I$89,3,0)*VLOOKUP('Données projet'!$B$11,Paramètres!$A$1:$I$89,5,0)</f>
        <v>212.9400000000002</v>
      </c>
      <c r="BF72" s="14">
        <f t="shared" si="91"/>
        <v>52.577528895212915</v>
      </c>
      <c r="BG72" s="22">
        <f t="shared" si="61"/>
        <v>462.44302949249618</v>
      </c>
      <c r="BH72" s="62">
        <f t="shared" si="62"/>
        <v>728.37318984256274</v>
      </c>
      <c r="BI72" s="62">
        <f ca="1">AVERAGE(OFFSET($BH$3,0,0,'Données projet'!$E$11+1,1))-AVERAGE(OFFSET($H$3,0,0,'Données projet'!$E$11+1,1))</f>
        <v>304.39782420428173</v>
      </c>
      <c r="BJ72" s="62">
        <f t="shared" si="92"/>
        <v>360.34132229290537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27.311820818226998</v>
      </c>
      <c r="BQ72" s="23">
        <f>EXP(-LN(2)/25)*BQ71+(1-EXP(-LN(2)/25))/(LN(2)/25)*Calculateur!BL72*Calculateur!BN72*VLOOKUP('Données projet'!$B$11,Paramètres!$A$1:$I$89,3,0)*0.475*44/12</f>
        <v>4.6224133366764102</v>
      </c>
      <c r="BR72" s="23">
        <f>EXP(-LN(2)/2)*BR71+(1-EXP(-LN(2)/2))/(LN(2)/2)*BL72*BO72*VLOOKUP('Données projet'!$B$11,Paramètres!$A$1:$I$89,3,0)*0.475*44/12</f>
        <v>0.21718447880671243</v>
      </c>
      <c r="BS72" s="24">
        <f t="shared" si="63"/>
        <v>32.151418633710122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273.00000000000023</v>
      </c>
      <c r="BZ72" s="14">
        <f>BY72*VLOOKUP('Données projet'!$B$12,Paramètres!$A$1:$I$89,3,0)*VLOOKUP('Données projet'!$B$12,Paramètres!$A$1:$I$89,5,0)</f>
        <v>212.9400000000002</v>
      </c>
      <c r="CA72" s="14">
        <f t="shared" si="93"/>
        <v>52.577528895212915</v>
      </c>
      <c r="CB72" s="22">
        <f t="shared" si="64"/>
        <v>462.44302949249618</v>
      </c>
      <c r="CC72" s="62">
        <f t="shared" si="65"/>
        <v>728.37318984256274</v>
      </c>
      <c r="CD72" s="62">
        <f ca="1">AVERAGE(OFFSET($CC$3,0,0,'Données projet'!$E$12+1,1))-AVERAGE(OFFSET($H$3,0,0,'Données projet'!$E$12+1,1))</f>
        <v>304.39782420428173</v>
      </c>
      <c r="CE72" s="62">
        <f t="shared" si="94"/>
        <v>360.34132229290537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27.311820818226998</v>
      </c>
      <c r="CL72" s="23">
        <f>EXP(-LN(2)/25)*CL71+(1-EXP(-LN(2)/25))/(LN(2)/25)*Calculateur!CG72*Calculateur!CI72*VLOOKUP('Données projet'!$B$12,Paramètres!$A$1:$I$89,3,0)*0.475*44/12</f>
        <v>4.6224133366764102</v>
      </c>
      <c r="CM72" s="23">
        <f>EXP(-LN(2)/2)*CM71+(1-EXP(-LN(2)/2))/(LN(2)/2)*CG72*CJ72*VLOOKUP('Données projet'!$B$12,Paramètres!$A$1:$I$89,3,0)*0.475*44/12</f>
        <v>0.21718447880671243</v>
      </c>
      <c r="CN72" s="24">
        <f t="shared" si="66"/>
        <v>32.151418633710122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1.7053025658242404E-13</v>
      </c>
      <c r="O73" s="14">
        <f>N73*VLOOKUP('Données projet'!$B$9,Paramètres!$A$1:$I$89,3,0)*VLOOKUP('Données projet'!$B$9,Paramètres!$A$1:$I$89,5,0)</f>
        <v>7.9808160080574461E-14</v>
      </c>
      <c r="P73" s="14">
        <f t="shared" si="87"/>
        <v>1.2308384591775343E-12</v>
      </c>
      <c r="Q73" s="22">
        <f t="shared" si="54"/>
        <v>2.282709528541206E-12</v>
      </c>
      <c r="R73" s="62">
        <f t="shared" si="55"/>
        <v>266.40554413701176</v>
      </c>
      <c r="S73" s="62">
        <f ca="1">AVERAGE(OFFSET($R$3,0,0,'Données projet'!$E$9+1,1))-AVERAGE(OFFSET($H$3,0,0,'Données projet'!$E$9+1,1))</f>
        <v>234.81928430389272</v>
      </c>
      <c r="T73" s="62">
        <f t="shared" si="88"/>
        <v>294.47057757403411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71.540232436253916</v>
      </c>
      <c r="AA73" s="23">
        <f>EXP(-LN(2)/25)*AA72+(1-EXP(-LN(2)/25))/(LN(2)/25)*Calculateur!V73*Calculateur!X73*VLOOKUP('Données projet'!$B$9,Paramètres!$A$1:$I$89,3,0)*0.475*44/12</f>
        <v>28.528777163425882</v>
      </c>
      <c r="AB73" s="23">
        <f>EXP(-LN(2)/2)*AB72+(1-EXP(-LN(2)/2))/(LN(2)/2)*V73*Y73*VLOOKUP('Données projet'!$B$9,Paramètres!$A$1:$I$89,3,0)*0.475*44/12</f>
        <v>2.0393450751759943</v>
      </c>
      <c r="AC73" s="24">
        <f t="shared" si="57"/>
        <v>102.1083546748558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273.00000000000023</v>
      </c>
      <c r="AJ73" s="14">
        <f>AI73*VLOOKUP('Données projet'!$B$10,Paramètres!$A$1:$I$89,3,0)*VLOOKUP('Données projet'!$B$10,Paramètres!$A$1:$I$89,5,0)</f>
        <v>212.9400000000002</v>
      </c>
      <c r="AK73" s="14">
        <f t="shared" si="89"/>
        <v>52.577528895212915</v>
      </c>
      <c r="AL73" s="22">
        <f t="shared" si="58"/>
        <v>462.44302949249618</v>
      </c>
      <c r="AM73" s="62">
        <f t="shared" si="59"/>
        <v>728.84857362950561</v>
      </c>
      <c r="AN73" s="62">
        <f ca="1">AVERAGE(OFFSET($AM$3,0,0,'Données projet'!$E$10+1,1))-AVERAGE(OFFSET($H$3,0,0,'Données projet'!$E$10+1,1))</f>
        <v>304.39782420428173</v>
      </c>
      <c r="AO73" s="62">
        <f t="shared" si="90"/>
        <v>360.34132229290537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26.776252670547368</v>
      </c>
      <c r="AV73" s="23">
        <f>EXP(-LN(2)/25)*AV72+(1-EXP(-LN(2)/25))/(LN(2)/25)*Calculateur!AQ73*Calculateur!AS73*VLOOKUP('Données projet'!$B$10,Paramètres!$A$1:$I$89,3,0)*0.475*44/12</f>
        <v>4.4960132009028406</v>
      </c>
      <c r="AW73" s="23">
        <f>EXP(-LN(2)/2)*AW72+(1-EXP(-LN(2)/2))/(LN(2)/2)*AQ73*AT73*VLOOKUP('Données projet'!$B$10,Paramètres!$A$1:$I$89,3,0)*0.475*44/12</f>
        <v>0.15357261773269237</v>
      </c>
      <c r="AX73" s="23">
        <f t="shared" si="60"/>
        <v>31.425838489182901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273.00000000000023</v>
      </c>
      <c r="BE73" s="14">
        <f>BD73*VLOOKUP('Données projet'!$B$11,Paramètres!$A$1:$I$89,3,0)*VLOOKUP('Données projet'!$B$11,Paramètres!$A$1:$I$89,5,0)</f>
        <v>212.9400000000002</v>
      </c>
      <c r="BF73" s="14">
        <f t="shared" si="91"/>
        <v>52.577528895212915</v>
      </c>
      <c r="BG73" s="22">
        <f t="shared" si="61"/>
        <v>462.44302949249618</v>
      </c>
      <c r="BH73" s="62">
        <f t="shared" si="62"/>
        <v>728.84857362950561</v>
      </c>
      <c r="BI73" s="62">
        <f ca="1">AVERAGE(OFFSET($BH$3,0,0,'Données projet'!$E$11+1,1))-AVERAGE(OFFSET($H$3,0,0,'Données projet'!$E$11+1,1))</f>
        <v>304.39782420428173</v>
      </c>
      <c r="BJ73" s="62">
        <f t="shared" si="92"/>
        <v>360.34132229290537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26.776252670547368</v>
      </c>
      <c r="BQ73" s="23">
        <f>EXP(-LN(2)/25)*BQ72+(1-EXP(-LN(2)/25))/(LN(2)/25)*Calculateur!BL73*Calculateur!BN73*VLOOKUP('Données projet'!$B$11,Paramètres!$A$1:$I$89,3,0)*0.475*44/12</f>
        <v>4.4960132009028406</v>
      </c>
      <c r="BR73" s="23">
        <f>EXP(-LN(2)/2)*BR72+(1-EXP(-LN(2)/2))/(LN(2)/2)*BL73*BO73*VLOOKUP('Données projet'!$B$11,Paramètres!$A$1:$I$89,3,0)*0.475*44/12</f>
        <v>0.15357261773269237</v>
      </c>
      <c r="BS73" s="24">
        <f t="shared" si="63"/>
        <v>31.425838489182901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273.00000000000023</v>
      </c>
      <c r="BZ73" s="14">
        <f>BY73*VLOOKUP('Données projet'!$B$12,Paramètres!$A$1:$I$89,3,0)*VLOOKUP('Données projet'!$B$12,Paramètres!$A$1:$I$89,5,0)</f>
        <v>212.9400000000002</v>
      </c>
      <c r="CA73" s="14">
        <f t="shared" si="93"/>
        <v>52.577528895212915</v>
      </c>
      <c r="CB73" s="22">
        <f t="shared" si="64"/>
        <v>462.44302949249618</v>
      </c>
      <c r="CC73" s="62">
        <f t="shared" si="65"/>
        <v>728.84857362950561</v>
      </c>
      <c r="CD73" s="62">
        <f ca="1">AVERAGE(OFFSET($CC$3,0,0,'Données projet'!$E$12+1,1))-AVERAGE(OFFSET($H$3,0,0,'Données projet'!$E$12+1,1))</f>
        <v>304.39782420428173</v>
      </c>
      <c r="CE73" s="62">
        <f t="shared" si="94"/>
        <v>360.34132229290537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26.776252670547368</v>
      </c>
      <c r="CL73" s="23">
        <f>EXP(-LN(2)/25)*CL72+(1-EXP(-LN(2)/25))/(LN(2)/25)*Calculateur!CG73*Calculateur!CI73*VLOOKUP('Données projet'!$B$12,Paramètres!$A$1:$I$89,3,0)*0.475*44/12</f>
        <v>4.4960132009028406</v>
      </c>
      <c r="CM73" s="23">
        <f>EXP(-LN(2)/2)*CM72+(1-EXP(-LN(2)/2))/(LN(2)/2)*CG73*CJ73*VLOOKUP('Données projet'!$B$12,Paramètres!$A$1:$I$89,3,0)*0.475*44/12</f>
        <v>0.15357261773269237</v>
      </c>
      <c r="CN73" s="24">
        <f t="shared" si="66"/>
        <v>31.425838489182901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1.7053025658242404E-13</v>
      </c>
      <c r="O74" s="14">
        <f>N74*VLOOKUP('Données projet'!$B$9,Paramètres!$A$1:$I$89,3,0)*VLOOKUP('Données projet'!$B$9,Paramètres!$A$1:$I$89,5,0)</f>
        <v>7.9808160080574461E-14</v>
      </c>
      <c r="P74" s="14">
        <f t="shared" si="87"/>
        <v>1.2308384591775343E-12</v>
      </c>
      <c r="Q74" s="22">
        <f t="shared" si="54"/>
        <v>2.282709528541206E-12</v>
      </c>
      <c r="R74" s="62">
        <f t="shared" si="55"/>
        <v>266.87268107805022</v>
      </c>
      <c r="S74" s="62">
        <f ca="1">AVERAGE(OFFSET($R$3,0,0,'Données projet'!$E$9+1,1))-AVERAGE(OFFSET($H$3,0,0,'Données projet'!$E$9+1,1))</f>
        <v>234.81928430389272</v>
      </c>
      <c r="T74" s="62">
        <f t="shared" si="88"/>
        <v>294.47057757403411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70.137372113412141</v>
      </c>
      <c r="AA74" s="23">
        <f>EXP(-LN(2)/25)*AA73+(1-EXP(-LN(2)/25))/(LN(2)/25)*Calculateur!V74*Calculateur!X74*VLOOKUP('Données projet'!$B$9,Paramètres!$A$1:$I$89,3,0)*0.475*44/12</f>
        <v>27.748656251628812</v>
      </c>
      <c r="AB74" s="23">
        <f>EXP(-LN(2)/2)*AB73+(1-EXP(-LN(2)/2))/(LN(2)/2)*V74*Y74*VLOOKUP('Données projet'!$B$9,Paramètres!$A$1:$I$89,3,0)*0.475*44/12</f>
        <v>1.4420347318363351</v>
      </c>
      <c r="AC74" s="24">
        <f t="shared" si="57"/>
        <v>99.328063096877287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273.00000000000023</v>
      </c>
      <c r="AJ74" s="14">
        <f>AI74*VLOOKUP('Données projet'!$B$10,Paramètres!$A$1:$I$89,3,0)*VLOOKUP('Données projet'!$B$10,Paramètres!$A$1:$I$89,5,0)</f>
        <v>212.9400000000002</v>
      </c>
      <c r="AK74" s="14">
        <f t="shared" si="89"/>
        <v>52.577528895212915</v>
      </c>
      <c r="AL74" s="22">
        <f t="shared" si="58"/>
        <v>462.44302949249618</v>
      </c>
      <c r="AM74" s="62">
        <f t="shared" si="59"/>
        <v>729.31571057054407</v>
      </c>
      <c r="AN74" s="62">
        <f ca="1">AVERAGE(OFFSET($AM$3,0,0,'Données projet'!$E$10+1,1))-AVERAGE(OFFSET($H$3,0,0,'Données projet'!$E$10+1,1))</f>
        <v>304.39782420428173</v>
      </c>
      <c r="AO74" s="62">
        <f t="shared" si="90"/>
        <v>360.34132229290537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26.251186687579423</v>
      </c>
      <c r="AV74" s="23">
        <f>EXP(-LN(2)/25)*AV73+(1-EXP(-LN(2)/25))/(LN(2)/25)*Calculateur!AQ74*Calculateur!AS74*VLOOKUP('Données projet'!$B$10,Paramètres!$A$1:$I$89,3,0)*0.475*44/12</f>
        <v>4.3730694834890942</v>
      </c>
      <c r="AW74" s="23">
        <f>EXP(-LN(2)/2)*AW73+(1-EXP(-LN(2)/2))/(LN(2)/2)*AQ74*AT74*VLOOKUP('Données projet'!$B$10,Paramètres!$A$1:$I$89,3,0)*0.475*44/12</f>
        <v>0.10859223940335622</v>
      </c>
      <c r="AX74" s="23">
        <f t="shared" si="60"/>
        <v>30.732848410471874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273.00000000000023</v>
      </c>
      <c r="BE74" s="14">
        <f>BD74*VLOOKUP('Données projet'!$B$11,Paramètres!$A$1:$I$89,3,0)*VLOOKUP('Données projet'!$B$11,Paramètres!$A$1:$I$89,5,0)</f>
        <v>212.9400000000002</v>
      </c>
      <c r="BF74" s="14">
        <f t="shared" si="91"/>
        <v>52.577528895212915</v>
      </c>
      <c r="BG74" s="22">
        <f t="shared" si="61"/>
        <v>462.44302949249618</v>
      </c>
      <c r="BH74" s="62">
        <f t="shared" si="62"/>
        <v>729.31571057054407</v>
      </c>
      <c r="BI74" s="62">
        <f ca="1">AVERAGE(OFFSET($BH$3,0,0,'Données projet'!$E$11+1,1))-AVERAGE(OFFSET($H$3,0,0,'Données projet'!$E$11+1,1))</f>
        <v>304.39782420428173</v>
      </c>
      <c r="BJ74" s="62">
        <f t="shared" si="92"/>
        <v>360.34132229290537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26.251186687579423</v>
      </c>
      <c r="BQ74" s="23">
        <f>EXP(-LN(2)/25)*BQ73+(1-EXP(-LN(2)/25))/(LN(2)/25)*Calculateur!BL74*Calculateur!BN74*VLOOKUP('Données projet'!$B$11,Paramètres!$A$1:$I$89,3,0)*0.475*44/12</f>
        <v>4.3730694834890942</v>
      </c>
      <c r="BR74" s="23">
        <f>EXP(-LN(2)/2)*BR73+(1-EXP(-LN(2)/2))/(LN(2)/2)*BL74*BO74*VLOOKUP('Données projet'!$B$11,Paramètres!$A$1:$I$89,3,0)*0.475*44/12</f>
        <v>0.10859223940335622</v>
      </c>
      <c r="BS74" s="24">
        <f t="shared" si="63"/>
        <v>30.732848410471874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273.00000000000023</v>
      </c>
      <c r="BZ74" s="14">
        <f>BY74*VLOOKUP('Données projet'!$B$12,Paramètres!$A$1:$I$89,3,0)*VLOOKUP('Données projet'!$B$12,Paramètres!$A$1:$I$89,5,0)</f>
        <v>212.9400000000002</v>
      </c>
      <c r="CA74" s="14">
        <f t="shared" si="93"/>
        <v>52.577528895212915</v>
      </c>
      <c r="CB74" s="22">
        <f t="shared" si="64"/>
        <v>462.44302949249618</v>
      </c>
      <c r="CC74" s="62">
        <f t="shared" si="65"/>
        <v>729.31571057054407</v>
      </c>
      <c r="CD74" s="62">
        <f ca="1">AVERAGE(OFFSET($CC$3,0,0,'Données projet'!$E$12+1,1))-AVERAGE(OFFSET($H$3,0,0,'Données projet'!$E$12+1,1))</f>
        <v>304.39782420428173</v>
      </c>
      <c r="CE74" s="62">
        <f t="shared" si="94"/>
        <v>360.34132229290537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26.251186687579423</v>
      </c>
      <c r="CL74" s="23">
        <f>EXP(-LN(2)/25)*CL73+(1-EXP(-LN(2)/25))/(LN(2)/25)*Calculateur!CG74*Calculateur!CI74*VLOOKUP('Données projet'!$B$12,Paramètres!$A$1:$I$89,3,0)*0.475*44/12</f>
        <v>4.3730694834890942</v>
      </c>
      <c r="CM74" s="23">
        <f>EXP(-LN(2)/2)*CM73+(1-EXP(-LN(2)/2))/(LN(2)/2)*CG74*CJ74*VLOOKUP('Données projet'!$B$12,Paramètres!$A$1:$I$89,3,0)*0.475*44/12</f>
        <v>0.10859223940335622</v>
      </c>
      <c r="CN74" s="24">
        <f t="shared" si="66"/>
        <v>30.732848410471874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1.7053025658242404E-13</v>
      </c>
      <c r="O75" s="14">
        <f>N75*VLOOKUP('Données projet'!$B$9,Paramètres!$A$1:$I$89,3,0)*VLOOKUP('Données projet'!$B$9,Paramètres!$A$1:$I$89,5,0)</f>
        <v>7.9808160080574461E-14</v>
      </c>
      <c r="P75" s="14">
        <f t="shared" si="87"/>
        <v>1.2308384591775343E-12</v>
      </c>
      <c r="Q75" s="22">
        <f t="shared" si="54"/>
        <v>2.282709528541206E-12</v>
      </c>
      <c r="R75" s="62">
        <f t="shared" si="55"/>
        <v>267.33171423752339</v>
      </c>
      <c r="S75" s="62">
        <f ca="1">AVERAGE(OFFSET($R$3,0,0,'Données projet'!$E$9+1,1))-AVERAGE(OFFSET($H$3,0,0,'Données projet'!$E$9+1,1))</f>
        <v>234.81928430389272</v>
      </c>
      <c r="T75" s="62">
        <f t="shared" si="88"/>
        <v>294.47057757403411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68.76202102584098</v>
      </c>
      <c r="AA75" s="23">
        <f>EXP(-LN(2)/25)*AA74+(1-EXP(-LN(2)/25))/(LN(2)/25)*Calculateur!V75*Calculateur!X75*VLOOKUP('Données projet'!$B$9,Paramètres!$A$1:$I$89,3,0)*0.475*44/12</f>
        <v>26.98986778718961</v>
      </c>
      <c r="AB75" s="23">
        <f>EXP(-LN(2)/2)*AB74+(1-EXP(-LN(2)/2))/(LN(2)/2)*V75*Y75*VLOOKUP('Données projet'!$B$9,Paramètres!$A$1:$I$89,3,0)*0.475*44/12</f>
        <v>1.0196725375879971</v>
      </c>
      <c r="AC75" s="24">
        <f t="shared" si="57"/>
        <v>96.771561350618583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273.00000000000023</v>
      </c>
      <c r="AJ75" s="14">
        <f>AI75*VLOOKUP('Données projet'!$B$10,Paramètres!$A$1:$I$89,3,0)*VLOOKUP('Données projet'!$B$10,Paramètres!$A$1:$I$89,5,0)</f>
        <v>212.9400000000002</v>
      </c>
      <c r="AK75" s="14">
        <f t="shared" si="89"/>
        <v>52.577528895212915</v>
      </c>
      <c r="AL75" s="22">
        <f t="shared" si="58"/>
        <v>462.44302949249618</v>
      </c>
      <c r="AM75" s="62">
        <f t="shared" si="59"/>
        <v>729.77474373001724</v>
      </c>
      <c r="AN75" s="62">
        <f ca="1">AVERAGE(OFFSET($AM$3,0,0,'Données projet'!$E$10+1,1))-AVERAGE(OFFSET($H$3,0,0,'Données projet'!$E$10+1,1))</f>
        <v>304.39782420428173</v>
      </c>
      <c r="AO75" s="62">
        <f t="shared" si="90"/>
        <v>360.34132229290537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25.736416928278853</v>
      </c>
      <c r="AV75" s="23">
        <f>EXP(-LN(2)/25)*AV74+(1-EXP(-LN(2)/25))/(LN(2)/25)*Calculateur!AQ75*Calculateur!AS75*VLOOKUP('Données projet'!$B$10,Paramètres!$A$1:$I$89,3,0)*0.475*44/12</f>
        <v>4.2534876684933556</v>
      </c>
      <c r="AW75" s="23">
        <f>EXP(-LN(2)/2)*AW74+(1-EXP(-LN(2)/2))/(LN(2)/2)*AQ75*AT75*VLOOKUP('Données projet'!$B$10,Paramètres!$A$1:$I$89,3,0)*0.475*44/12</f>
        <v>7.6786308866346187E-2</v>
      </c>
      <c r="AX75" s="23">
        <f t="shared" si="60"/>
        <v>30.066690905638556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273.00000000000023</v>
      </c>
      <c r="BE75" s="14">
        <f>BD75*VLOOKUP('Données projet'!$B$11,Paramètres!$A$1:$I$89,3,0)*VLOOKUP('Données projet'!$B$11,Paramètres!$A$1:$I$89,5,0)</f>
        <v>212.9400000000002</v>
      </c>
      <c r="BF75" s="14">
        <f t="shared" si="91"/>
        <v>52.577528895212915</v>
      </c>
      <c r="BG75" s="22">
        <f t="shared" si="61"/>
        <v>462.44302949249618</v>
      </c>
      <c r="BH75" s="62">
        <f t="shared" si="62"/>
        <v>729.77474373001724</v>
      </c>
      <c r="BI75" s="62">
        <f ca="1">AVERAGE(OFFSET($BH$3,0,0,'Données projet'!$E$11+1,1))-AVERAGE(OFFSET($H$3,0,0,'Données projet'!$E$11+1,1))</f>
        <v>304.39782420428173</v>
      </c>
      <c r="BJ75" s="62">
        <f t="shared" si="92"/>
        <v>360.34132229290537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25.736416928278853</v>
      </c>
      <c r="BQ75" s="23">
        <f>EXP(-LN(2)/25)*BQ74+(1-EXP(-LN(2)/25))/(LN(2)/25)*Calculateur!BL75*Calculateur!BN75*VLOOKUP('Données projet'!$B$11,Paramètres!$A$1:$I$89,3,0)*0.475*44/12</f>
        <v>4.2534876684933556</v>
      </c>
      <c r="BR75" s="23">
        <f>EXP(-LN(2)/2)*BR74+(1-EXP(-LN(2)/2))/(LN(2)/2)*BL75*BO75*VLOOKUP('Données projet'!$B$11,Paramètres!$A$1:$I$89,3,0)*0.475*44/12</f>
        <v>7.6786308866346187E-2</v>
      </c>
      <c r="BS75" s="24">
        <f t="shared" si="63"/>
        <v>30.066690905638556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273.00000000000023</v>
      </c>
      <c r="BZ75" s="14">
        <f>BY75*VLOOKUP('Données projet'!$B$12,Paramètres!$A$1:$I$89,3,0)*VLOOKUP('Données projet'!$B$12,Paramètres!$A$1:$I$89,5,0)</f>
        <v>212.9400000000002</v>
      </c>
      <c r="CA75" s="14">
        <f t="shared" si="93"/>
        <v>52.577528895212915</v>
      </c>
      <c r="CB75" s="22">
        <f t="shared" si="64"/>
        <v>462.44302949249618</v>
      </c>
      <c r="CC75" s="62">
        <f t="shared" si="65"/>
        <v>729.77474373001724</v>
      </c>
      <c r="CD75" s="62">
        <f ca="1">AVERAGE(OFFSET($CC$3,0,0,'Données projet'!$E$12+1,1))-AVERAGE(OFFSET($H$3,0,0,'Données projet'!$E$12+1,1))</f>
        <v>304.39782420428173</v>
      </c>
      <c r="CE75" s="62">
        <f t="shared" si="94"/>
        <v>360.34132229290537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25.736416928278853</v>
      </c>
      <c r="CL75" s="23">
        <f>EXP(-LN(2)/25)*CL74+(1-EXP(-LN(2)/25))/(LN(2)/25)*Calculateur!CG75*Calculateur!CI75*VLOOKUP('Données projet'!$B$12,Paramètres!$A$1:$I$89,3,0)*0.475*44/12</f>
        <v>4.2534876684933556</v>
      </c>
      <c r="CM75" s="23">
        <f>EXP(-LN(2)/2)*CM74+(1-EXP(-LN(2)/2))/(LN(2)/2)*CG75*CJ75*VLOOKUP('Données projet'!$B$12,Paramètres!$A$1:$I$89,3,0)*0.475*44/12</f>
        <v>7.6786308866346187E-2</v>
      </c>
      <c r="CN75" s="24">
        <f t="shared" si="66"/>
        <v>30.066690905638556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1.7053025658242404E-13</v>
      </c>
      <c r="O76" s="14">
        <f>N76*VLOOKUP('Données projet'!$B$9,Paramètres!$A$1:$I$89,3,0)*VLOOKUP('Données projet'!$B$9,Paramètres!$A$1:$I$89,5,0)</f>
        <v>7.9808160080574461E-14</v>
      </c>
      <c r="P76" s="14">
        <f t="shared" si="87"/>
        <v>1.2308384591775343E-12</v>
      </c>
      <c r="Q76" s="22">
        <f t="shared" si="54"/>
        <v>2.282709528541206E-12</v>
      </c>
      <c r="R76" s="62">
        <f t="shared" si="55"/>
        <v>267.78278419792406</v>
      </c>
      <c r="S76" s="62">
        <f ca="1">AVERAGE(OFFSET($R$3,0,0,'Données projet'!$E$9+1,1))-AVERAGE(OFFSET($H$3,0,0,'Données projet'!$E$9+1,1))</f>
        <v>234.81928430389272</v>
      </c>
      <c r="T76" s="62">
        <f t="shared" si="88"/>
        <v>294.47057757403411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67.413639734215764</v>
      </c>
      <c r="AA76" s="23">
        <f>EXP(-LN(2)/25)*AA75+(1-EXP(-LN(2)/25))/(LN(2)/25)*Calculateur!V76*Calculateur!X76*VLOOKUP('Données projet'!$B$9,Paramètres!$A$1:$I$89,3,0)*0.475*44/12</f>
        <v>26.251828433213451</v>
      </c>
      <c r="AB76" s="23">
        <f>EXP(-LN(2)/2)*AB75+(1-EXP(-LN(2)/2))/(LN(2)/2)*V76*Y76*VLOOKUP('Données projet'!$B$9,Paramètres!$A$1:$I$89,3,0)*0.475*44/12</f>
        <v>0.72101736591816756</v>
      </c>
      <c r="AC76" s="24">
        <f t="shared" si="57"/>
        <v>94.386485533347383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273.00000000000023</v>
      </c>
      <c r="AJ76" s="14">
        <f>AI76*VLOOKUP('Données projet'!$B$10,Paramètres!$A$1:$I$89,3,0)*VLOOKUP('Données projet'!$B$10,Paramètres!$A$1:$I$89,5,0)</f>
        <v>212.9400000000002</v>
      </c>
      <c r="AK76" s="14">
        <f t="shared" si="89"/>
        <v>52.577528895212915</v>
      </c>
      <c r="AL76" s="22">
        <f t="shared" si="58"/>
        <v>462.44302949249618</v>
      </c>
      <c r="AM76" s="62">
        <f t="shared" si="59"/>
        <v>730.22581369041791</v>
      </c>
      <c r="AN76" s="62">
        <f ca="1">AVERAGE(OFFSET($AM$3,0,0,'Données projet'!$E$10+1,1))-AVERAGE(OFFSET($H$3,0,0,'Données projet'!$E$10+1,1))</f>
        <v>304.39782420428173</v>
      </c>
      <c r="AO76" s="62">
        <f t="shared" si="90"/>
        <v>360.34132229290537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25.231741489979616</v>
      </c>
      <c r="AV76" s="23">
        <f>EXP(-LN(2)/25)*AV75+(1-EXP(-LN(2)/25))/(LN(2)/25)*Calculateur!AQ76*Calculateur!AS76*VLOOKUP('Données projet'!$B$10,Paramètres!$A$1:$I$89,3,0)*0.475*44/12</f>
        <v>4.1371758245172101</v>
      </c>
      <c r="AW76" s="23">
        <f>EXP(-LN(2)/2)*AW75+(1-EXP(-LN(2)/2))/(LN(2)/2)*AQ76*AT76*VLOOKUP('Données projet'!$B$10,Paramètres!$A$1:$I$89,3,0)*0.475*44/12</f>
        <v>5.4296119701678108E-2</v>
      </c>
      <c r="AX76" s="23">
        <f t="shared" si="60"/>
        <v>29.423213434198505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273.00000000000023</v>
      </c>
      <c r="BE76" s="14">
        <f>BD76*VLOOKUP('Données projet'!$B$11,Paramètres!$A$1:$I$89,3,0)*VLOOKUP('Données projet'!$B$11,Paramètres!$A$1:$I$89,5,0)</f>
        <v>212.9400000000002</v>
      </c>
      <c r="BF76" s="14">
        <f t="shared" si="91"/>
        <v>52.577528895212915</v>
      </c>
      <c r="BG76" s="22">
        <f t="shared" si="61"/>
        <v>462.44302949249618</v>
      </c>
      <c r="BH76" s="62">
        <f t="shared" si="62"/>
        <v>730.22581369041791</v>
      </c>
      <c r="BI76" s="62">
        <f ca="1">AVERAGE(OFFSET($BH$3,0,0,'Données projet'!$E$11+1,1))-AVERAGE(OFFSET($H$3,0,0,'Données projet'!$E$11+1,1))</f>
        <v>304.39782420428173</v>
      </c>
      <c r="BJ76" s="62">
        <f t="shared" si="92"/>
        <v>360.34132229290537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25.231741489979616</v>
      </c>
      <c r="BQ76" s="23">
        <f>EXP(-LN(2)/25)*BQ75+(1-EXP(-LN(2)/25))/(LN(2)/25)*Calculateur!BL76*Calculateur!BN76*VLOOKUP('Données projet'!$B$11,Paramètres!$A$1:$I$89,3,0)*0.475*44/12</f>
        <v>4.1371758245172101</v>
      </c>
      <c r="BR76" s="23">
        <f>EXP(-LN(2)/2)*BR75+(1-EXP(-LN(2)/2))/(LN(2)/2)*BL76*BO76*VLOOKUP('Données projet'!$B$11,Paramètres!$A$1:$I$89,3,0)*0.475*44/12</f>
        <v>5.4296119701678108E-2</v>
      </c>
      <c r="BS76" s="24">
        <f t="shared" si="63"/>
        <v>29.423213434198505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273.00000000000023</v>
      </c>
      <c r="BZ76" s="14">
        <f>BY76*VLOOKUP('Données projet'!$B$12,Paramètres!$A$1:$I$89,3,0)*VLOOKUP('Données projet'!$B$12,Paramètres!$A$1:$I$89,5,0)</f>
        <v>212.9400000000002</v>
      </c>
      <c r="CA76" s="14">
        <f t="shared" si="93"/>
        <v>52.577528895212915</v>
      </c>
      <c r="CB76" s="22">
        <f t="shared" si="64"/>
        <v>462.44302949249618</v>
      </c>
      <c r="CC76" s="62">
        <f t="shared" si="65"/>
        <v>730.22581369041791</v>
      </c>
      <c r="CD76" s="62">
        <f ca="1">AVERAGE(OFFSET($CC$3,0,0,'Données projet'!$E$12+1,1))-AVERAGE(OFFSET($H$3,0,0,'Données projet'!$E$12+1,1))</f>
        <v>304.39782420428173</v>
      </c>
      <c r="CE76" s="62">
        <f t="shared" si="94"/>
        <v>360.34132229290537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25.231741489979616</v>
      </c>
      <c r="CL76" s="23">
        <f>EXP(-LN(2)/25)*CL75+(1-EXP(-LN(2)/25))/(LN(2)/25)*Calculateur!CG76*Calculateur!CI76*VLOOKUP('Données projet'!$B$12,Paramètres!$A$1:$I$89,3,0)*0.475*44/12</f>
        <v>4.1371758245172101</v>
      </c>
      <c r="CM76" s="23">
        <f>EXP(-LN(2)/2)*CM75+(1-EXP(-LN(2)/2))/(LN(2)/2)*CG76*CJ76*VLOOKUP('Données projet'!$B$12,Paramètres!$A$1:$I$89,3,0)*0.475*44/12</f>
        <v>5.4296119701678108E-2</v>
      </c>
      <c r="CN76" s="24">
        <f t="shared" si="66"/>
        <v>29.423213434198505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1.7053025658242404E-13</v>
      </c>
      <c r="O77" s="14">
        <f>N77*VLOOKUP('Données projet'!$B$9,Paramètres!$A$1:$I$89,3,0)*VLOOKUP('Données projet'!$B$9,Paramètres!$A$1:$I$89,5,0)</f>
        <v>7.9808160080574461E-14</v>
      </c>
      <c r="P77" s="14">
        <f t="shared" si="87"/>
        <v>1.2308384591775343E-12</v>
      </c>
      <c r="Q77" s="22">
        <f t="shared" si="54"/>
        <v>2.282709528541206E-12</v>
      </c>
      <c r="R77" s="62">
        <f t="shared" si="55"/>
        <v>268.22602910295313</v>
      </c>
      <c r="S77" s="62">
        <f ca="1">AVERAGE(OFFSET($R$3,0,0,'Données projet'!$E$9+1,1))-AVERAGE(OFFSET($H$3,0,0,'Données projet'!$E$9+1,1))</f>
        <v>234.81928430389272</v>
      </c>
      <c r="T77" s="62">
        <f t="shared" si="88"/>
        <v>294.47057757403411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66.091699377287938</v>
      </c>
      <c r="AA77" s="23">
        <f>EXP(-LN(2)/25)*AA76+(1-EXP(-LN(2)/25))/(LN(2)/25)*Calculateur!V77*Calculateur!X77*VLOOKUP('Données projet'!$B$9,Paramètres!$A$1:$I$89,3,0)*0.475*44/12</f>
        <v>25.533970804183571</v>
      </c>
      <c r="AB77" s="23">
        <f>EXP(-LN(2)/2)*AB76+(1-EXP(-LN(2)/2))/(LN(2)/2)*V77*Y77*VLOOKUP('Données projet'!$B$9,Paramètres!$A$1:$I$89,3,0)*0.475*44/12</f>
        <v>0.50983626879399857</v>
      </c>
      <c r="AC77" s="24">
        <f t="shared" si="57"/>
        <v>92.13550645026551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273.00000000000023</v>
      </c>
      <c r="AJ77" s="14">
        <f>AI77*VLOOKUP('Données projet'!$B$10,Paramètres!$A$1:$I$89,3,0)*VLOOKUP('Données projet'!$B$10,Paramètres!$A$1:$I$89,5,0)</f>
        <v>212.9400000000002</v>
      </c>
      <c r="AK77" s="14">
        <f t="shared" si="89"/>
        <v>52.577528895212915</v>
      </c>
      <c r="AL77" s="22">
        <f t="shared" si="58"/>
        <v>462.44302949249618</v>
      </c>
      <c r="AM77" s="62">
        <f t="shared" si="59"/>
        <v>730.66905859544704</v>
      </c>
      <c r="AN77" s="62">
        <f ca="1">AVERAGE(OFFSET($AM$3,0,0,'Données projet'!$E$10+1,1))-AVERAGE(OFFSET($H$3,0,0,'Données projet'!$E$10+1,1))</f>
        <v>304.39782420428173</v>
      </c>
      <c r="AO77" s="62">
        <f t="shared" si="90"/>
        <v>360.34132229290537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24.736962429203803</v>
      </c>
      <c r="AV77" s="23">
        <f>EXP(-LN(2)/25)*AV76+(1-EXP(-LN(2)/25))/(LN(2)/25)*Calculateur!AQ77*Calculateur!AS77*VLOOKUP('Données projet'!$B$10,Paramètres!$A$1:$I$89,3,0)*0.475*44/12</f>
        <v>4.0240445340311659</v>
      </c>
      <c r="AW77" s="23">
        <f>EXP(-LN(2)/2)*AW76+(1-EXP(-LN(2)/2))/(LN(2)/2)*AQ77*AT77*VLOOKUP('Données projet'!$B$10,Paramètres!$A$1:$I$89,3,0)*0.475*44/12</f>
        <v>3.8393154433173093E-2</v>
      </c>
      <c r="AX77" s="23">
        <f t="shared" si="60"/>
        <v>28.799400117668142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273.00000000000023</v>
      </c>
      <c r="BE77" s="14">
        <f>BD77*VLOOKUP('Données projet'!$B$11,Paramètres!$A$1:$I$89,3,0)*VLOOKUP('Données projet'!$B$11,Paramètres!$A$1:$I$89,5,0)</f>
        <v>212.9400000000002</v>
      </c>
      <c r="BF77" s="14">
        <f t="shared" si="91"/>
        <v>52.577528895212915</v>
      </c>
      <c r="BG77" s="22">
        <f t="shared" si="61"/>
        <v>462.44302949249618</v>
      </c>
      <c r="BH77" s="62">
        <f t="shared" si="62"/>
        <v>730.66905859544704</v>
      </c>
      <c r="BI77" s="62">
        <f ca="1">AVERAGE(OFFSET($BH$3,0,0,'Données projet'!$E$11+1,1))-AVERAGE(OFFSET($H$3,0,0,'Données projet'!$E$11+1,1))</f>
        <v>304.39782420428173</v>
      </c>
      <c r="BJ77" s="62">
        <f t="shared" si="92"/>
        <v>360.34132229290537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24.736962429203803</v>
      </c>
      <c r="BQ77" s="23">
        <f>EXP(-LN(2)/25)*BQ76+(1-EXP(-LN(2)/25))/(LN(2)/25)*Calculateur!BL77*Calculateur!BN77*VLOOKUP('Données projet'!$B$11,Paramètres!$A$1:$I$89,3,0)*0.475*44/12</f>
        <v>4.0240445340311659</v>
      </c>
      <c r="BR77" s="23">
        <f>EXP(-LN(2)/2)*BR76+(1-EXP(-LN(2)/2))/(LN(2)/2)*BL77*BO77*VLOOKUP('Données projet'!$B$11,Paramètres!$A$1:$I$89,3,0)*0.475*44/12</f>
        <v>3.8393154433173093E-2</v>
      </c>
      <c r="BS77" s="24">
        <f t="shared" si="63"/>
        <v>28.799400117668142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273.00000000000023</v>
      </c>
      <c r="BZ77" s="14">
        <f>BY77*VLOOKUP('Données projet'!$B$12,Paramètres!$A$1:$I$89,3,0)*VLOOKUP('Données projet'!$B$12,Paramètres!$A$1:$I$89,5,0)</f>
        <v>212.9400000000002</v>
      </c>
      <c r="CA77" s="14">
        <f t="shared" si="93"/>
        <v>52.577528895212915</v>
      </c>
      <c r="CB77" s="22">
        <f t="shared" si="64"/>
        <v>462.44302949249618</v>
      </c>
      <c r="CC77" s="62">
        <f t="shared" si="65"/>
        <v>730.66905859544704</v>
      </c>
      <c r="CD77" s="62">
        <f ca="1">AVERAGE(OFFSET($CC$3,0,0,'Données projet'!$E$12+1,1))-AVERAGE(OFFSET($H$3,0,0,'Données projet'!$E$12+1,1))</f>
        <v>304.39782420428173</v>
      </c>
      <c r="CE77" s="62">
        <f t="shared" si="94"/>
        <v>360.34132229290537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24.736962429203803</v>
      </c>
      <c r="CL77" s="23">
        <f>EXP(-LN(2)/25)*CL76+(1-EXP(-LN(2)/25))/(LN(2)/25)*Calculateur!CG77*Calculateur!CI77*VLOOKUP('Données projet'!$B$12,Paramètres!$A$1:$I$89,3,0)*0.475*44/12</f>
        <v>4.0240445340311659</v>
      </c>
      <c r="CM77" s="23">
        <f>EXP(-LN(2)/2)*CM76+(1-EXP(-LN(2)/2))/(LN(2)/2)*CG77*CJ77*VLOOKUP('Données projet'!$B$12,Paramètres!$A$1:$I$89,3,0)*0.475*44/12</f>
        <v>3.8393154433173093E-2</v>
      </c>
      <c r="CN77" s="24">
        <f t="shared" si="66"/>
        <v>28.799400117668142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1.7053025658242404E-13</v>
      </c>
      <c r="O78" s="14">
        <f>N78*VLOOKUP('Données projet'!$B$9,Paramètres!$A$1:$I$89,3,0)*VLOOKUP('Données projet'!$B$9,Paramètres!$A$1:$I$89,5,0)</f>
        <v>7.9808160080574461E-14</v>
      </c>
      <c r="P78" s="14">
        <f t="shared" si="87"/>
        <v>1.2308384591775343E-12</v>
      </c>
      <c r="Q78" s="22">
        <f t="shared" si="54"/>
        <v>2.282709528541206E-12</v>
      </c>
      <c r="R78" s="62">
        <f t="shared" si="55"/>
        <v>268.66158469982707</v>
      </c>
      <c r="S78" s="62">
        <f ca="1">AVERAGE(OFFSET($R$3,0,0,'Données projet'!$E$9+1,1))-AVERAGE(OFFSET($H$3,0,0,'Données projet'!$E$9+1,1))</f>
        <v>234.81928430389272</v>
      </c>
      <c r="T78" s="62">
        <f t="shared" si="88"/>
        <v>294.47057757403411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64.79568146445547</v>
      </c>
      <c r="AA78" s="23">
        <f>EXP(-LN(2)/25)*AA77+(1-EXP(-LN(2)/25))/(LN(2)/25)*Calculateur!V78*Calculateur!X78*VLOOKUP('Données projet'!$B$9,Paramètres!$A$1:$I$89,3,0)*0.475*44/12</f>
        <v>24.835743029770004</v>
      </c>
      <c r="AB78" s="23">
        <f>EXP(-LN(2)/2)*AB77+(1-EXP(-LN(2)/2))/(LN(2)/2)*V78*Y78*VLOOKUP('Données projet'!$B$9,Paramètres!$A$1:$I$89,3,0)*0.475*44/12</f>
        <v>0.36050868295908378</v>
      </c>
      <c r="AC78" s="24">
        <f t="shared" si="57"/>
        <v>89.991933177184549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273.00000000000023</v>
      </c>
      <c r="AJ78" s="14">
        <f>AI78*VLOOKUP('Données projet'!$B$10,Paramètres!$A$1:$I$89,3,0)*VLOOKUP('Données projet'!$B$10,Paramètres!$A$1:$I$89,5,0)</f>
        <v>212.9400000000002</v>
      </c>
      <c r="AK78" s="14">
        <f t="shared" si="89"/>
        <v>52.577528895212915</v>
      </c>
      <c r="AL78" s="22">
        <f t="shared" si="58"/>
        <v>462.44302949249618</v>
      </c>
      <c r="AM78" s="62">
        <f t="shared" si="59"/>
        <v>731.10461419232092</v>
      </c>
      <c r="AN78" s="62">
        <f ca="1">AVERAGE(OFFSET($AM$3,0,0,'Données projet'!$E$10+1,1))-AVERAGE(OFFSET($H$3,0,0,'Données projet'!$E$10+1,1))</f>
        <v>304.39782420428173</v>
      </c>
      <c r="AO78" s="62">
        <f t="shared" si="90"/>
        <v>360.34132229290537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24.251885684024376</v>
      </c>
      <c r="AV78" s="23">
        <f>EXP(-LN(2)/25)*AV77+(1-EXP(-LN(2)/25))/(LN(2)/25)*Calculateur!AQ78*Calculateur!AS78*VLOOKUP('Données projet'!$B$10,Paramètres!$A$1:$I$89,3,0)*0.475*44/12</f>
        <v>3.9140068246327786</v>
      </c>
      <c r="AW78" s="23">
        <f>EXP(-LN(2)/2)*AW77+(1-EXP(-LN(2)/2))/(LN(2)/2)*AQ78*AT78*VLOOKUP('Données projet'!$B$10,Paramètres!$A$1:$I$89,3,0)*0.475*44/12</f>
        <v>2.7148059850839054E-2</v>
      </c>
      <c r="AX78" s="23">
        <f t="shared" si="60"/>
        <v>28.193040568507993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273.00000000000023</v>
      </c>
      <c r="BE78" s="14">
        <f>BD78*VLOOKUP('Données projet'!$B$11,Paramètres!$A$1:$I$89,3,0)*VLOOKUP('Données projet'!$B$11,Paramètres!$A$1:$I$89,5,0)</f>
        <v>212.9400000000002</v>
      </c>
      <c r="BF78" s="14">
        <f t="shared" si="91"/>
        <v>52.577528895212915</v>
      </c>
      <c r="BG78" s="22">
        <f t="shared" si="61"/>
        <v>462.44302949249618</v>
      </c>
      <c r="BH78" s="62">
        <f t="shared" si="62"/>
        <v>731.10461419232092</v>
      </c>
      <c r="BI78" s="62">
        <f ca="1">AVERAGE(OFFSET($BH$3,0,0,'Données projet'!$E$11+1,1))-AVERAGE(OFFSET($H$3,0,0,'Données projet'!$E$11+1,1))</f>
        <v>304.39782420428173</v>
      </c>
      <c r="BJ78" s="62">
        <f t="shared" si="92"/>
        <v>360.34132229290537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24.251885684024376</v>
      </c>
      <c r="BQ78" s="23">
        <f>EXP(-LN(2)/25)*BQ77+(1-EXP(-LN(2)/25))/(LN(2)/25)*Calculateur!BL78*Calculateur!BN78*VLOOKUP('Données projet'!$B$11,Paramètres!$A$1:$I$89,3,0)*0.475*44/12</f>
        <v>3.9140068246327786</v>
      </c>
      <c r="BR78" s="23">
        <f>EXP(-LN(2)/2)*BR77+(1-EXP(-LN(2)/2))/(LN(2)/2)*BL78*BO78*VLOOKUP('Données projet'!$B$11,Paramètres!$A$1:$I$89,3,0)*0.475*44/12</f>
        <v>2.7148059850839054E-2</v>
      </c>
      <c r="BS78" s="24">
        <f t="shared" si="63"/>
        <v>28.193040568507993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273.00000000000023</v>
      </c>
      <c r="BZ78" s="14">
        <f>BY78*VLOOKUP('Données projet'!$B$12,Paramètres!$A$1:$I$89,3,0)*VLOOKUP('Données projet'!$B$12,Paramètres!$A$1:$I$89,5,0)</f>
        <v>212.9400000000002</v>
      </c>
      <c r="CA78" s="14">
        <f t="shared" si="93"/>
        <v>52.577528895212915</v>
      </c>
      <c r="CB78" s="22">
        <f t="shared" si="64"/>
        <v>462.44302949249618</v>
      </c>
      <c r="CC78" s="62">
        <f t="shared" si="65"/>
        <v>731.10461419232092</v>
      </c>
      <c r="CD78" s="62">
        <f ca="1">AVERAGE(OFFSET($CC$3,0,0,'Données projet'!$E$12+1,1))-AVERAGE(OFFSET($H$3,0,0,'Données projet'!$E$12+1,1))</f>
        <v>304.39782420428173</v>
      </c>
      <c r="CE78" s="62">
        <f t="shared" si="94"/>
        <v>360.34132229290537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24.251885684024376</v>
      </c>
      <c r="CL78" s="23">
        <f>EXP(-LN(2)/25)*CL77+(1-EXP(-LN(2)/25))/(LN(2)/25)*Calculateur!CG78*Calculateur!CI78*VLOOKUP('Données projet'!$B$12,Paramètres!$A$1:$I$89,3,0)*0.475*44/12</f>
        <v>3.9140068246327786</v>
      </c>
      <c r="CM78" s="23">
        <f>EXP(-LN(2)/2)*CM77+(1-EXP(-LN(2)/2))/(LN(2)/2)*CG78*CJ78*VLOOKUP('Données projet'!$B$12,Paramètres!$A$1:$I$89,3,0)*0.475*44/12</f>
        <v>2.7148059850839054E-2</v>
      </c>
      <c r="CN78" s="24">
        <f t="shared" si="66"/>
        <v>28.193040568507993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1.7053025658242404E-13</v>
      </c>
      <c r="O79" s="14">
        <f>N79*VLOOKUP('Données projet'!$B$9,Paramètres!$A$1:$I$89,3,0)*VLOOKUP('Données projet'!$B$9,Paramètres!$A$1:$I$89,5,0)</f>
        <v>7.9808160080574461E-14</v>
      </c>
      <c r="P79" s="14">
        <f t="shared" si="87"/>
        <v>1.2308384591775343E-12</v>
      </c>
      <c r="Q79" s="22">
        <f t="shared" si="54"/>
        <v>2.282709528541206E-12</v>
      </c>
      <c r="R79" s="62">
        <f t="shared" si="55"/>
        <v>269.0895843808517</v>
      </c>
      <c r="S79" s="62">
        <f ca="1">AVERAGE(OFFSET($R$3,0,0,'Données projet'!$E$9+1,1))-AVERAGE(OFFSET($H$3,0,0,'Données projet'!$E$9+1,1))</f>
        <v>234.81928430389272</v>
      </c>
      <c r="T79" s="62">
        <f t="shared" si="88"/>
        <v>294.47057757403411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63.525077672400769</v>
      </c>
      <c r="AA79" s="23">
        <f>EXP(-LN(2)/25)*AA78+(1-EXP(-LN(2)/25))/(LN(2)/25)*Calculateur!V79*Calculateur!X79*VLOOKUP('Données projet'!$B$9,Paramètres!$A$1:$I$89,3,0)*0.475*44/12</f>
        <v>24.15660833056598</v>
      </c>
      <c r="AB79" s="23">
        <f>EXP(-LN(2)/2)*AB78+(1-EXP(-LN(2)/2))/(LN(2)/2)*V79*Y79*VLOOKUP('Données projet'!$B$9,Paramètres!$A$1:$I$89,3,0)*0.475*44/12</f>
        <v>0.25491813439699929</v>
      </c>
      <c r="AC79" s="24">
        <f t="shared" si="57"/>
        <v>87.936604137363759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273.00000000000023</v>
      </c>
      <c r="AJ79" s="14">
        <f>AI79*VLOOKUP('Données projet'!$B$10,Paramètres!$A$1:$I$89,3,0)*VLOOKUP('Données projet'!$B$10,Paramètres!$A$1:$I$89,5,0)</f>
        <v>212.9400000000002</v>
      </c>
      <c r="AK79" s="14">
        <f t="shared" si="89"/>
        <v>52.577528895212915</v>
      </c>
      <c r="AL79" s="22">
        <f t="shared" si="58"/>
        <v>462.44302949249618</v>
      </c>
      <c r="AM79" s="62">
        <f t="shared" si="59"/>
        <v>731.53261387334555</v>
      </c>
      <c r="AN79" s="62">
        <f ca="1">AVERAGE(OFFSET($AM$3,0,0,'Données projet'!$E$10+1,1))-AVERAGE(OFFSET($H$3,0,0,'Données projet'!$E$10+1,1))</f>
        <v>304.39782420428173</v>
      </c>
      <c r="AO79" s="62">
        <f t="shared" si="90"/>
        <v>360.34132229290537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23.776320997950318</v>
      </c>
      <c r="AV79" s="23">
        <f>EXP(-LN(2)/25)*AV78+(1-EXP(-LN(2)/25))/(LN(2)/25)*Calculateur!AQ79*Calculateur!AS79*VLOOKUP('Données projet'!$B$10,Paramètres!$A$1:$I$89,3,0)*0.475*44/12</f>
        <v>3.8069781021845222</v>
      </c>
      <c r="AW79" s="23">
        <f>EXP(-LN(2)/2)*AW78+(1-EXP(-LN(2)/2))/(LN(2)/2)*AQ79*AT79*VLOOKUP('Données projet'!$B$10,Paramètres!$A$1:$I$89,3,0)*0.475*44/12</f>
        <v>1.9196577216586547E-2</v>
      </c>
      <c r="AX79" s="23">
        <f t="shared" si="60"/>
        <v>27.602495677351428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273.00000000000023</v>
      </c>
      <c r="BE79" s="14">
        <f>BD79*VLOOKUP('Données projet'!$B$11,Paramètres!$A$1:$I$89,3,0)*VLOOKUP('Données projet'!$B$11,Paramètres!$A$1:$I$89,5,0)</f>
        <v>212.9400000000002</v>
      </c>
      <c r="BF79" s="14">
        <f t="shared" si="91"/>
        <v>52.577528895212915</v>
      </c>
      <c r="BG79" s="22">
        <f t="shared" si="61"/>
        <v>462.44302949249618</v>
      </c>
      <c r="BH79" s="62">
        <f t="shared" si="62"/>
        <v>731.53261387334555</v>
      </c>
      <c r="BI79" s="62">
        <f ca="1">AVERAGE(OFFSET($BH$3,0,0,'Données projet'!$E$11+1,1))-AVERAGE(OFFSET($H$3,0,0,'Données projet'!$E$11+1,1))</f>
        <v>304.39782420428173</v>
      </c>
      <c r="BJ79" s="62">
        <f t="shared" si="92"/>
        <v>360.34132229290537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23.776320997950318</v>
      </c>
      <c r="BQ79" s="23">
        <f>EXP(-LN(2)/25)*BQ78+(1-EXP(-LN(2)/25))/(LN(2)/25)*Calculateur!BL79*Calculateur!BN79*VLOOKUP('Données projet'!$B$11,Paramètres!$A$1:$I$89,3,0)*0.475*44/12</f>
        <v>3.8069781021845222</v>
      </c>
      <c r="BR79" s="23">
        <f>EXP(-LN(2)/2)*BR78+(1-EXP(-LN(2)/2))/(LN(2)/2)*BL79*BO79*VLOOKUP('Données projet'!$B$11,Paramètres!$A$1:$I$89,3,0)*0.475*44/12</f>
        <v>1.9196577216586547E-2</v>
      </c>
      <c r="BS79" s="24">
        <f t="shared" si="63"/>
        <v>27.602495677351428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273.00000000000023</v>
      </c>
      <c r="BZ79" s="14">
        <f>BY79*VLOOKUP('Données projet'!$B$12,Paramètres!$A$1:$I$89,3,0)*VLOOKUP('Données projet'!$B$12,Paramètres!$A$1:$I$89,5,0)</f>
        <v>212.9400000000002</v>
      </c>
      <c r="CA79" s="14">
        <f t="shared" si="93"/>
        <v>52.577528895212915</v>
      </c>
      <c r="CB79" s="22">
        <f t="shared" si="64"/>
        <v>462.44302949249618</v>
      </c>
      <c r="CC79" s="62">
        <f t="shared" si="65"/>
        <v>731.53261387334555</v>
      </c>
      <c r="CD79" s="62">
        <f ca="1">AVERAGE(OFFSET($CC$3,0,0,'Données projet'!$E$12+1,1))-AVERAGE(OFFSET($H$3,0,0,'Données projet'!$E$12+1,1))</f>
        <v>304.39782420428173</v>
      </c>
      <c r="CE79" s="62">
        <f t="shared" si="94"/>
        <v>360.34132229290537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23.776320997950318</v>
      </c>
      <c r="CL79" s="23">
        <f>EXP(-LN(2)/25)*CL78+(1-EXP(-LN(2)/25))/(LN(2)/25)*Calculateur!CG79*Calculateur!CI79*VLOOKUP('Données projet'!$B$12,Paramètres!$A$1:$I$89,3,0)*0.475*44/12</f>
        <v>3.8069781021845222</v>
      </c>
      <c r="CM79" s="23">
        <f>EXP(-LN(2)/2)*CM78+(1-EXP(-LN(2)/2))/(LN(2)/2)*CG79*CJ79*VLOOKUP('Données projet'!$B$12,Paramètres!$A$1:$I$89,3,0)*0.475*44/12</f>
        <v>1.9196577216586547E-2</v>
      </c>
      <c r="CN79" s="24">
        <f t="shared" si="66"/>
        <v>27.602495677351428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1.7053025658242404E-13</v>
      </c>
      <c r="O80" s="14">
        <f>N80*VLOOKUP('Données projet'!$B$9,Paramètres!$A$1:$I$89,3,0)*VLOOKUP('Données projet'!$B$9,Paramètres!$A$1:$I$89,5,0)</f>
        <v>7.9808160080574461E-14</v>
      </c>
      <c r="P80" s="14">
        <f t="shared" si="87"/>
        <v>1.2308384591775343E-12</v>
      </c>
      <c r="Q80" s="22">
        <f t="shared" si="54"/>
        <v>2.282709528541206E-12</v>
      </c>
      <c r="R80" s="62">
        <f t="shared" si="55"/>
        <v>269.51015922427456</v>
      </c>
      <c r="S80" s="62">
        <f ca="1">AVERAGE(OFFSET($R$3,0,0,'Données projet'!$E$9+1,1))-AVERAGE(OFFSET($H$3,0,0,'Données projet'!$E$9+1,1))</f>
        <v>234.81928430389272</v>
      </c>
      <c r="T80" s="62">
        <f t="shared" si="88"/>
        <v>294.47057757403411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62.279389645716471</v>
      </c>
      <c r="AA80" s="23">
        <f>EXP(-LN(2)/25)*AA79+(1-EXP(-LN(2)/25))/(LN(2)/25)*Calculateur!V80*Calculateur!X80*VLOOKUP('Données projet'!$B$9,Paramètres!$A$1:$I$89,3,0)*0.475*44/12</f>
        <v>23.496044605425833</v>
      </c>
      <c r="AB80" s="23">
        <f>EXP(-LN(2)/2)*AB79+(1-EXP(-LN(2)/2))/(LN(2)/2)*V80*Y80*VLOOKUP('Données projet'!$B$9,Paramètres!$A$1:$I$89,3,0)*0.475*44/12</f>
        <v>0.18025434147954189</v>
      </c>
      <c r="AC80" s="24">
        <f t="shared" si="57"/>
        <v>85.95568859262184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273.00000000000023</v>
      </c>
      <c r="AJ80" s="14">
        <f>AI80*VLOOKUP('Données projet'!$B$10,Paramètres!$A$1:$I$89,3,0)*VLOOKUP('Données projet'!$B$10,Paramètres!$A$1:$I$89,5,0)</f>
        <v>212.9400000000002</v>
      </c>
      <c r="AK80" s="14">
        <f t="shared" si="89"/>
        <v>52.577528895212915</v>
      </c>
      <c r="AL80" s="22">
        <f t="shared" si="58"/>
        <v>462.44302949249618</v>
      </c>
      <c r="AM80" s="62">
        <f t="shared" si="59"/>
        <v>731.95318871676841</v>
      </c>
      <c r="AN80" s="62">
        <f ca="1">AVERAGE(OFFSET($AM$3,0,0,'Données projet'!$E$10+1,1))-AVERAGE(OFFSET($H$3,0,0,'Données projet'!$E$10+1,1))</f>
        <v>304.39782420428173</v>
      </c>
      <c r="AO80" s="62">
        <f t="shared" si="90"/>
        <v>360.34132229290537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23.310081845304357</v>
      </c>
      <c r="AV80" s="23">
        <f>EXP(-LN(2)/25)*AV79+(1-EXP(-LN(2)/25))/(LN(2)/25)*Calculateur!AQ80*Calculateur!AS80*VLOOKUP('Données projet'!$B$10,Paramètres!$A$1:$I$89,3,0)*0.475*44/12</f>
        <v>3.7028760857800092</v>
      </c>
      <c r="AW80" s="23">
        <f>EXP(-LN(2)/2)*AW79+(1-EXP(-LN(2)/2))/(LN(2)/2)*AQ80*AT80*VLOOKUP('Données projet'!$B$10,Paramètres!$A$1:$I$89,3,0)*0.475*44/12</f>
        <v>1.3574029925419527E-2</v>
      </c>
      <c r="AX80" s="23">
        <f t="shared" si="60"/>
        <v>27.026531961009784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273.00000000000023</v>
      </c>
      <c r="BE80" s="14">
        <f>BD80*VLOOKUP('Données projet'!$B$11,Paramètres!$A$1:$I$89,3,0)*VLOOKUP('Données projet'!$B$11,Paramètres!$A$1:$I$89,5,0)</f>
        <v>212.9400000000002</v>
      </c>
      <c r="BF80" s="14">
        <f t="shared" si="91"/>
        <v>52.577528895212915</v>
      </c>
      <c r="BG80" s="22">
        <f t="shared" si="61"/>
        <v>462.44302949249618</v>
      </c>
      <c r="BH80" s="62">
        <f t="shared" si="62"/>
        <v>731.95318871676841</v>
      </c>
      <c r="BI80" s="62">
        <f ca="1">AVERAGE(OFFSET($BH$3,0,0,'Données projet'!$E$11+1,1))-AVERAGE(OFFSET($H$3,0,0,'Données projet'!$E$11+1,1))</f>
        <v>304.39782420428173</v>
      </c>
      <c r="BJ80" s="62">
        <f t="shared" si="92"/>
        <v>360.34132229290537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23.310081845304357</v>
      </c>
      <c r="BQ80" s="23">
        <f>EXP(-LN(2)/25)*BQ79+(1-EXP(-LN(2)/25))/(LN(2)/25)*Calculateur!BL80*Calculateur!BN80*VLOOKUP('Données projet'!$B$11,Paramètres!$A$1:$I$89,3,0)*0.475*44/12</f>
        <v>3.7028760857800092</v>
      </c>
      <c r="BR80" s="23">
        <f>EXP(-LN(2)/2)*BR79+(1-EXP(-LN(2)/2))/(LN(2)/2)*BL80*BO80*VLOOKUP('Données projet'!$B$11,Paramètres!$A$1:$I$89,3,0)*0.475*44/12</f>
        <v>1.3574029925419527E-2</v>
      </c>
      <c r="BS80" s="24">
        <f t="shared" si="63"/>
        <v>27.026531961009784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273.00000000000023</v>
      </c>
      <c r="BZ80" s="14">
        <f>BY80*VLOOKUP('Données projet'!$B$12,Paramètres!$A$1:$I$89,3,0)*VLOOKUP('Données projet'!$B$12,Paramètres!$A$1:$I$89,5,0)</f>
        <v>212.9400000000002</v>
      </c>
      <c r="CA80" s="14">
        <f t="shared" si="93"/>
        <v>52.577528895212915</v>
      </c>
      <c r="CB80" s="22">
        <f t="shared" si="64"/>
        <v>462.44302949249618</v>
      </c>
      <c r="CC80" s="62">
        <f t="shared" si="65"/>
        <v>731.95318871676841</v>
      </c>
      <c r="CD80" s="62">
        <f ca="1">AVERAGE(OFFSET($CC$3,0,0,'Données projet'!$E$12+1,1))-AVERAGE(OFFSET($H$3,0,0,'Données projet'!$E$12+1,1))</f>
        <v>304.39782420428173</v>
      </c>
      <c r="CE80" s="62">
        <f t="shared" si="94"/>
        <v>360.34132229290537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23.310081845304357</v>
      </c>
      <c r="CL80" s="23">
        <f>EXP(-LN(2)/25)*CL79+(1-EXP(-LN(2)/25))/(LN(2)/25)*Calculateur!CG80*Calculateur!CI80*VLOOKUP('Données projet'!$B$12,Paramètres!$A$1:$I$89,3,0)*0.475*44/12</f>
        <v>3.7028760857800092</v>
      </c>
      <c r="CM80" s="23">
        <f>EXP(-LN(2)/2)*CM79+(1-EXP(-LN(2)/2))/(LN(2)/2)*CG80*CJ80*VLOOKUP('Données projet'!$B$12,Paramètres!$A$1:$I$89,3,0)*0.475*44/12</f>
        <v>1.3574029925419527E-2</v>
      </c>
      <c r="CN80" s="24">
        <f t="shared" si="66"/>
        <v>27.026531961009784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1.7053025658242404E-13</v>
      </c>
      <c r="O81" s="14">
        <f>N81*VLOOKUP('Données projet'!$B$9,Paramètres!$A$1:$I$89,3,0)*VLOOKUP('Données projet'!$B$9,Paramètres!$A$1:$I$89,5,0)</f>
        <v>7.9808160080574461E-14</v>
      </c>
      <c r="P81" s="14">
        <f t="shared" si="87"/>
        <v>1.2308384591775343E-12</v>
      </c>
      <c r="Q81" s="22">
        <f t="shared" si="54"/>
        <v>2.282709528541206E-12</v>
      </c>
      <c r="R81" s="62">
        <f t="shared" si="55"/>
        <v>269.9234380344285</v>
      </c>
      <c r="S81" s="62">
        <f ca="1">AVERAGE(OFFSET($R$3,0,0,'Données projet'!$E$9+1,1))-AVERAGE(OFFSET($H$3,0,0,'Données projet'!$E$9+1,1))</f>
        <v>234.81928430389272</v>
      </c>
      <c r="T81" s="62">
        <f t="shared" si="88"/>
        <v>294.47057757403411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61.05812880144078</v>
      </c>
      <c r="AA81" s="23">
        <f>EXP(-LN(2)/25)*AA80+(1-EXP(-LN(2)/25))/(LN(2)/25)*Calculateur!V81*Calculateur!X81*VLOOKUP('Données projet'!$B$9,Paramètres!$A$1:$I$89,3,0)*0.475*44/12</f>
        <v>22.853544030087178</v>
      </c>
      <c r="AB81" s="23">
        <f>EXP(-LN(2)/2)*AB80+(1-EXP(-LN(2)/2))/(LN(2)/2)*V81*Y81*VLOOKUP('Données projet'!$B$9,Paramètres!$A$1:$I$89,3,0)*0.475*44/12</f>
        <v>0.12745906719849964</v>
      </c>
      <c r="AC81" s="24">
        <f t="shared" si="57"/>
        <v>84.039131898726467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273.00000000000023</v>
      </c>
      <c r="AJ81" s="14">
        <f>AI81*VLOOKUP('Données projet'!$B$10,Paramètres!$A$1:$I$89,3,0)*VLOOKUP('Données projet'!$B$10,Paramètres!$A$1:$I$89,5,0)</f>
        <v>212.9400000000002</v>
      </c>
      <c r="AK81" s="14">
        <f t="shared" si="89"/>
        <v>52.577528895212915</v>
      </c>
      <c r="AL81" s="22">
        <f t="shared" si="58"/>
        <v>462.44302949249618</v>
      </c>
      <c r="AM81" s="62">
        <f t="shared" si="59"/>
        <v>732.36646752692241</v>
      </c>
      <c r="AN81" s="62">
        <f ca="1">AVERAGE(OFFSET($AM$3,0,0,'Données projet'!$E$10+1,1))-AVERAGE(OFFSET($H$3,0,0,'Données projet'!$E$10+1,1))</f>
        <v>304.39782420428173</v>
      </c>
      <c r="AO81" s="62">
        <f t="shared" si="90"/>
        <v>360.34132229290537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22.852985358063979</v>
      </c>
      <c r="AV81" s="23">
        <f>EXP(-LN(2)/25)*AV80+(1-EXP(-LN(2)/25))/(LN(2)/25)*Calculateur!AQ81*Calculateur!AS81*VLOOKUP('Données projet'!$B$10,Paramètres!$A$1:$I$89,3,0)*0.475*44/12</f>
        <v>3.6016207444885646</v>
      </c>
      <c r="AW81" s="23">
        <f>EXP(-LN(2)/2)*AW80+(1-EXP(-LN(2)/2))/(LN(2)/2)*AQ81*AT81*VLOOKUP('Données projet'!$B$10,Paramètres!$A$1:$I$89,3,0)*0.475*44/12</f>
        <v>9.5982886082932733E-3</v>
      </c>
      <c r="AX81" s="23">
        <f t="shared" si="60"/>
        <v>26.464204391160838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273.00000000000023</v>
      </c>
      <c r="BE81" s="14">
        <f>BD81*VLOOKUP('Données projet'!$B$11,Paramètres!$A$1:$I$89,3,0)*VLOOKUP('Données projet'!$B$11,Paramètres!$A$1:$I$89,5,0)</f>
        <v>212.9400000000002</v>
      </c>
      <c r="BF81" s="14">
        <f t="shared" si="91"/>
        <v>52.577528895212915</v>
      </c>
      <c r="BG81" s="22">
        <f t="shared" si="61"/>
        <v>462.44302949249618</v>
      </c>
      <c r="BH81" s="62">
        <f t="shared" si="62"/>
        <v>732.36646752692241</v>
      </c>
      <c r="BI81" s="62">
        <f ca="1">AVERAGE(OFFSET($BH$3,0,0,'Données projet'!$E$11+1,1))-AVERAGE(OFFSET($H$3,0,0,'Données projet'!$E$11+1,1))</f>
        <v>304.39782420428173</v>
      </c>
      <c r="BJ81" s="62">
        <f t="shared" si="92"/>
        <v>360.34132229290537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22.852985358063979</v>
      </c>
      <c r="BQ81" s="23">
        <f>EXP(-LN(2)/25)*BQ80+(1-EXP(-LN(2)/25))/(LN(2)/25)*Calculateur!BL81*Calculateur!BN81*VLOOKUP('Données projet'!$B$11,Paramètres!$A$1:$I$89,3,0)*0.475*44/12</f>
        <v>3.6016207444885646</v>
      </c>
      <c r="BR81" s="23">
        <f>EXP(-LN(2)/2)*BR80+(1-EXP(-LN(2)/2))/(LN(2)/2)*BL81*BO81*VLOOKUP('Données projet'!$B$11,Paramètres!$A$1:$I$89,3,0)*0.475*44/12</f>
        <v>9.5982886082932733E-3</v>
      </c>
      <c r="BS81" s="24">
        <f t="shared" si="63"/>
        <v>26.464204391160838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273.00000000000023</v>
      </c>
      <c r="BZ81" s="14">
        <f>BY81*VLOOKUP('Données projet'!$B$12,Paramètres!$A$1:$I$89,3,0)*VLOOKUP('Données projet'!$B$12,Paramètres!$A$1:$I$89,5,0)</f>
        <v>212.9400000000002</v>
      </c>
      <c r="CA81" s="14">
        <f t="shared" si="93"/>
        <v>52.577528895212915</v>
      </c>
      <c r="CB81" s="22">
        <f t="shared" si="64"/>
        <v>462.44302949249618</v>
      </c>
      <c r="CC81" s="62">
        <f t="shared" si="65"/>
        <v>732.36646752692241</v>
      </c>
      <c r="CD81" s="62">
        <f ca="1">AVERAGE(OFFSET($CC$3,0,0,'Données projet'!$E$12+1,1))-AVERAGE(OFFSET($H$3,0,0,'Données projet'!$E$12+1,1))</f>
        <v>304.39782420428173</v>
      </c>
      <c r="CE81" s="62">
        <f t="shared" si="94"/>
        <v>360.34132229290537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22.852985358063979</v>
      </c>
      <c r="CL81" s="23">
        <f>EXP(-LN(2)/25)*CL80+(1-EXP(-LN(2)/25))/(LN(2)/25)*Calculateur!CG81*Calculateur!CI81*VLOOKUP('Données projet'!$B$12,Paramètres!$A$1:$I$89,3,0)*0.475*44/12</f>
        <v>3.6016207444885646</v>
      </c>
      <c r="CM81" s="23">
        <f>EXP(-LN(2)/2)*CM80+(1-EXP(-LN(2)/2))/(LN(2)/2)*CG81*CJ81*VLOOKUP('Données projet'!$B$12,Paramètres!$A$1:$I$89,3,0)*0.475*44/12</f>
        <v>9.5982886082932733E-3</v>
      </c>
      <c r="CN81" s="24">
        <f t="shared" si="66"/>
        <v>26.464204391160838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1.7053025658242404E-13</v>
      </c>
      <c r="O82" s="14">
        <f>N82*VLOOKUP('Données projet'!$B$9,Paramètres!$A$1:$I$89,3,0)*VLOOKUP('Données projet'!$B$9,Paramètres!$A$1:$I$89,5,0)</f>
        <v>7.9808160080574461E-14</v>
      </c>
      <c r="P82" s="14">
        <f t="shared" si="87"/>
        <v>1.2308384591775343E-12</v>
      </c>
      <c r="Q82" s="22">
        <f t="shared" si="54"/>
        <v>2.282709528541206E-12</v>
      </c>
      <c r="R82" s="62">
        <f t="shared" si="55"/>
        <v>270.32954738117922</v>
      </c>
      <c r="S82" s="62">
        <f ca="1">AVERAGE(OFFSET($R$3,0,0,'Données projet'!$E$9+1,1))-AVERAGE(OFFSET($H$3,0,0,'Données projet'!$E$9+1,1))</f>
        <v>234.81928430389272</v>
      </c>
      <c r="T82" s="62">
        <f t="shared" si="88"/>
        <v>294.47057757403411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59.860816137425772</v>
      </c>
      <c r="AA82" s="23">
        <f>EXP(-LN(2)/25)*AA81+(1-EXP(-LN(2)/25))/(LN(2)/25)*Calculateur!V82*Calculateur!X82*VLOOKUP('Données projet'!$B$9,Paramètres!$A$1:$I$89,3,0)*0.475*44/12</f>
        <v>22.228612666768797</v>
      </c>
      <c r="AB82" s="23">
        <f>EXP(-LN(2)/2)*AB81+(1-EXP(-LN(2)/2))/(LN(2)/2)*V82*Y82*VLOOKUP('Données projet'!$B$9,Paramètres!$A$1:$I$89,3,0)*0.475*44/12</f>
        <v>9.0127170739770945E-2</v>
      </c>
      <c r="AC82" s="24">
        <f t="shared" si="57"/>
        <v>82.179555974934345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273.00000000000023</v>
      </c>
      <c r="AJ82" s="14">
        <f>AI82*VLOOKUP('Données projet'!$B$10,Paramètres!$A$1:$I$89,3,0)*VLOOKUP('Données projet'!$B$10,Paramètres!$A$1:$I$89,5,0)</f>
        <v>212.9400000000002</v>
      </c>
      <c r="AK82" s="14">
        <f t="shared" si="89"/>
        <v>52.577528895212915</v>
      </c>
      <c r="AL82" s="22">
        <f t="shared" si="58"/>
        <v>462.44302949249618</v>
      </c>
      <c r="AM82" s="62">
        <f t="shared" si="59"/>
        <v>732.77257687367319</v>
      </c>
      <c r="AN82" s="62">
        <f ca="1">AVERAGE(OFFSET($AM$3,0,0,'Données projet'!$E$10+1,1))-AVERAGE(OFFSET($H$3,0,0,'Données projet'!$E$10+1,1))</f>
        <v>304.39782420428173</v>
      </c>
      <c r="AO82" s="62">
        <f t="shared" si="90"/>
        <v>360.34132229290537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22.404852254137055</v>
      </c>
      <c r="AV82" s="23">
        <f>EXP(-LN(2)/25)*AV81+(1-EXP(-LN(2)/25))/(LN(2)/25)*Calculateur!AQ82*Calculateur!AS82*VLOOKUP('Données projet'!$B$10,Paramètres!$A$1:$I$89,3,0)*0.475*44/12</f>
        <v>3.5031342358295214</v>
      </c>
      <c r="AW82" s="23">
        <f>EXP(-LN(2)/2)*AW81+(1-EXP(-LN(2)/2))/(LN(2)/2)*AQ82*AT82*VLOOKUP('Données projet'!$B$10,Paramètres!$A$1:$I$89,3,0)*0.475*44/12</f>
        <v>6.7870149627097635E-3</v>
      </c>
      <c r="AX82" s="23">
        <f t="shared" si="60"/>
        <v>25.914773504929286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273.00000000000023</v>
      </c>
      <c r="BE82" s="14">
        <f>BD82*VLOOKUP('Données projet'!$B$11,Paramètres!$A$1:$I$89,3,0)*VLOOKUP('Données projet'!$B$11,Paramètres!$A$1:$I$89,5,0)</f>
        <v>212.9400000000002</v>
      </c>
      <c r="BF82" s="14">
        <f t="shared" si="91"/>
        <v>52.577528895212915</v>
      </c>
      <c r="BG82" s="22">
        <f t="shared" si="61"/>
        <v>462.44302949249618</v>
      </c>
      <c r="BH82" s="62">
        <f t="shared" si="62"/>
        <v>732.77257687367319</v>
      </c>
      <c r="BI82" s="62">
        <f ca="1">AVERAGE(OFFSET($BH$3,0,0,'Données projet'!$E$11+1,1))-AVERAGE(OFFSET($H$3,0,0,'Données projet'!$E$11+1,1))</f>
        <v>304.39782420428173</v>
      </c>
      <c r="BJ82" s="62">
        <f t="shared" si="92"/>
        <v>360.34132229290537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22.404852254137055</v>
      </c>
      <c r="BQ82" s="23">
        <f>EXP(-LN(2)/25)*BQ81+(1-EXP(-LN(2)/25))/(LN(2)/25)*Calculateur!BL82*Calculateur!BN82*VLOOKUP('Données projet'!$B$11,Paramètres!$A$1:$I$89,3,0)*0.475*44/12</f>
        <v>3.5031342358295214</v>
      </c>
      <c r="BR82" s="23">
        <f>EXP(-LN(2)/2)*BR81+(1-EXP(-LN(2)/2))/(LN(2)/2)*BL82*BO82*VLOOKUP('Données projet'!$B$11,Paramètres!$A$1:$I$89,3,0)*0.475*44/12</f>
        <v>6.7870149627097635E-3</v>
      </c>
      <c r="BS82" s="24">
        <f t="shared" si="63"/>
        <v>25.914773504929286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273.00000000000023</v>
      </c>
      <c r="BZ82" s="14">
        <f>BY82*VLOOKUP('Données projet'!$B$12,Paramètres!$A$1:$I$89,3,0)*VLOOKUP('Données projet'!$B$12,Paramètres!$A$1:$I$89,5,0)</f>
        <v>212.9400000000002</v>
      </c>
      <c r="CA82" s="14">
        <f t="shared" si="93"/>
        <v>52.577528895212915</v>
      </c>
      <c r="CB82" s="22">
        <f t="shared" si="64"/>
        <v>462.44302949249618</v>
      </c>
      <c r="CC82" s="62">
        <f t="shared" si="65"/>
        <v>732.77257687367319</v>
      </c>
      <c r="CD82" s="62">
        <f ca="1">AVERAGE(OFFSET($CC$3,0,0,'Données projet'!$E$12+1,1))-AVERAGE(OFFSET($H$3,0,0,'Données projet'!$E$12+1,1))</f>
        <v>304.39782420428173</v>
      </c>
      <c r="CE82" s="62">
        <f t="shared" si="94"/>
        <v>360.34132229290537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22.404852254137055</v>
      </c>
      <c r="CL82" s="23">
        <f>EXP(-LN(2)/25)*CL81+(1-EXP(-LN(2)/25))/(LN(2)/25)*Calculateur!CG82*Calculateur!CI82*VLOOKUP('Données projet'!$B$12,Paramètres!$A$1:$I$89,3,0)*0.475*44/12</f>
        <v>3.5031342358295214</v>
      </c>
      <c r="CM82" s="23">
        <f>EXP(-LN(2)/2)*CM81+(1-EXP(-LN(2)/2))/(LN(2)/2)*CG82*CJ82*VLOOKUP('Données projet'!$B$12,Paramètres!$A$1:$I$89,3,0)*0.475*44/12</f>
        <v>6.7870149627097635E-3</v>
      </c>
      <c r="CN82" s="24">
        <f t="shared" si="66"/>
        <v>25.914773504929286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1.7053025658242404E-13</v>
      </c>
      <c r="O83" s="14">
        <f>N83*VLOOKUP('Données projet'!$B$9,Paramètres!$A$1:$I$89,3,0)*VLOOKUP('Données projet'!$B$9,Paramètres!$A$1:$I$89,5,0)</f>
        <v>7.9808160080574461E-14</v>
      </c>
      <c r="P83" s="14">
        <f t="shared" si="87"/>
        <v>1.2308384591775343E-12</v>
      </c>
      <c r="Q83" s="22">
        <f t="shared" si="54"/>
        <v>2.282709528541206E-12</v>
      </c>
      <c r="R83" s="62">
        <f t="shared" si="55"/>
        <v>270.72861163868839</v>
      </c>
      <c r="S83" s="62">
        <f ca="1">AVERAGE(OFFSET($R$3,0,0,'Données projet'!$E$9+1,1))-AVERAGE(OFFSET($H$3,0,0,'Données projet'!$E$9+1,1))</f>
        <v>234.81928430389272</v>
      </c>
      <c r="T83" s="62">
        <f t="shared" si="88"/>
        <v>294.47057757403411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58.686982044463484</v>
      </c>
      <c r="AA83" s="23">
        <f>EXP(-LN(2)/25)*AA82+(1-EXP(-LN(2)/25))/(LN(2)/25)*Calculateur!V83*Calculateur!X83*VLOOKUP('Données projet'!$B$9,Paramètres!$A$1:$I$89,3,0)*0.475*44/12</f>
        <v>21.620770084444068</v>
      </c>
      <c r="AB83" s="23">
        <f>EXP(-LN(2)/2)*AB82+(1-EXP(-LN(2)/2))/(LN(2)/2)*V83*Y83*VLOOKUP('Données projet'!$B$9,Paramètres!$A$1:$I$89,3,0)*0.475*44/12</f>
        <v>6.3729533599249821E-2</v>
      </c>
      <c r="AC83" s="24">
        <f t="shared" si="57"/>
        <v>80.371481662506795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273.00000000000023</v>
      </c>
      <c r="AJ83" s="14">
        <f>AI83*VLOOKUP('Données projet'!$B$10,Paramètres!$A$1:$I$89,3,0)*VLOOKUP('Données projet'!$B$10,Paramètres!$A$1:$I$89,5,0)</f>
        <v>212.9400000000002</v>
      </c>
      <c r="AK83" s="14">
        <f t="shared" si="89"/>
        <v>52.577528895212915</v>
      </c>
      <c r="AL83" s="22">
        <f t="shared" si="58"/>
        <v>462.44302949249618</v>
      </c>
      <c r="AM83" s="62">
        <f t="shared" si="59"/>
        <v>733.17164113118224</v>
      </c>
      <c r="AN83" s="62">
        <f ca="1">AVERAGE(OFFSET($AM$3,0,0,'Données projet'!$E$10+1,1))-AVERAGE(OFFSET($H$3,0,0,'Données projet'!$E$10+1,1))</f>
        <v>304.39782420428173</v>
      </c>
      <c r="AO83" s="62">
        <f t="shared" si="90"/>
        <v>360.34132229290537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21.965506767043934</v>
      </c>
      <c r="AV83" s="23">
        <f>EXP(-LN(2)/25)*AV82+(1-EXP(-LN(2)/25))/(LN(2)/25)*Calculateur!AQ83*Calculateur!AS83*VLOOKUP('Données projet'!$B$10,Paramètres!$A$1:$I$89,3,0)*0.475*44/12</f>
        <v>3.4073408459289403</v>
      </c>
      <c r="AW83" s="23">
        <f>EXP(-LN(2)/2)*AW82+(1-EXP(-LN(2)/2))/(LN(2)/2)*AQ83*AT83*VLOOKUP('Données projet'!$B$10,Paramètres!$A$1:$I$89,3,0)*0.475*44/12</f>
        <v>4.7991443041466367E-3</v>
      </c>
      <c r="AX83" s="23">
        <f t="shared" si="60"/>
        <v>25.37764675727702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273.00000000000023</v>
      </c>
      <c r="BE83" s="14">
        <f>BD83*VLOOKUP('Données projet'!$B$11,Paramètres!$A$1:$I$89,3,0)*VLOOKUP('Données projet'!$B$11,Paramètres!$A$1:$I$89,5,0)</f>
        <v>212.9400000000002</v>
      </c>
      <c r="BF83" s="14">
        <f t="shared" si="91"/>
        <v>52.577528895212915</v>
      </c>
      <c r="BG83" s="22">
        <f t="shared" si="61"/>
        <v>462.44302949249618</v>
      </c>
      <c r="BH83" s="62">
        <f t="shared" si="62"/>
        <v>733.17164113118224</v>
      </c>
      <c r="BI83" s="62">
        <f ca="1">AVERAGE(OFFSET($BH$3,0,0,'Données projet'!$E$11+1,1))-AVERAGE(OFFSET($H$3,0,0,'Données projet'!$E$11+1,1))</f>
        <v>304.39782420428173</v>
      </c>
      <c r="BJ83" s="62">
        <f t="shared" si="92"/>
        <v>360.34132229290537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21.965506767043934</v>
      </c>
      <c r="BQ83" s="23">
        <f>EXP(-LN(2)/25)*BQ82+(1-EXP(-LN(2)/25))/(LN(2)/25)*Calculateur!BL83*Calculateur!BN83*VLOOKUP('Données projet'!$B$11,Paramètres!$A$1:$I$89,3,0)*0.475*44/12</f>
        <v>3.4073408459289403</v>
      </c>
      <c r="BR83" s="23">
        <f>EXP(-LN(2)/2)*BR82+(1-EXP(-LN(2)/2))/(LN(2)/2)*BL83*BO83*VLOOKUP('Données projet'!$B$11,Paramètres!$A$1:$I$89,3,0)*0.475*44/12</f>
        <v>4.7991443041466367E-3</v>
      </c>
      <c r="BS83" s="24">
        <f t="shared" si="63"/>
        <v>25.37764675727702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273.00000000000023</v>
      </c>
      <c r="BZ83" s="14">
        <f>BY83*VLOOKUP('Données projet'!$B$12,Paramètres!$A$1:$I$89,3,0)*VLOOKUP('Données projet'!$B$12,Paramètres!$A$1:$I$89,5,0)</f>
        <v>212.9400000000002</v>
      </c>
      <c r="CA83" s="14">
        <f t="shared" si="93"/>
        <v>52.577528895212915</v>
      </c>
      <c r="CB83" s="22">
        <f t="shared" si="64"/>
        <v>462.44302949249618</v>
      </c>
      <c r="CC83" s="62">
        <f t="shared" si="65"/>
        <v>733.17164113118224</v>
      </c>
      <c r="CD83" s="62">
        <f ca="1">AVERAGE(OFFSET($CC$3,0,0,'Données projet'!$E$12+1,1))-AVERAGE(OFFSET($H$3,0,0,'Données projet'!$E$12+1,1))</f>
        <v>304.39782420428173</v>
      </c>
      <c r="CE83" s="62">
        <f t="shared" si="94"/>
        <v>360.34132229290537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21.965506767043934</v>
      </c>
      <c r="CL83" s="23">
        <f>EXP(-LN(2)/25)*CL82+(1-EXP(-LN(2)/25))/(LN(2)/25)*Calculateur!CG83*Calculateur!CI83*VLOOKUP('Données projet'!$B$12,Paramètres!$A$1:$I$89,3,0)*0.475*44/12</f>
        <v>3.4073408459289403</v>
      </c>
      <c r="CM83" s="23">
        <f>EXP(-LN(2)/2)*CM82+(1-EXP(-LN(2)/2))/(LN(2)/2)*CG83*CJ83*VLOOKUP('Données projet'!$B$12,Paramètres!$A$1:$I$89,3,0)*0.475*44/12</f>
        <v>4.7991443041466367E-3</v>
      </c>
      <c r="CN83" s="24">
        <f t="shared" si="66"/>
        <v>25.37764675727702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1.7053025658242404E-13</v>
      </c>
      <c r="O84" s="14">
        <f>N84*VLOOKUP('Données projet'!$B$9,Paramètres!$A$1:$I$89,3,0)*VLOOKUP('Données projet'!$B$9,Paramètres!$A$1:$I$89,5,0)</f>
        <v>7.9808160080574461E-14</v>
      </c>
      <c r="P84" s="14">
        <f t="shared" si="87"/>
        <v>1.2308384591775343E-12</v>
      </c>
      <c r="Q84" s="22">
        <f t="shared" si="54"/>
        <v>2.282709528541206E-12</v>
      </c>
      <c r="R84" s="62">
        <f t="shared" si="55"/>
        <v>271.12075302350371</v>
      </c>
      <c r="S84" s="62">
        <f ca="1">AVERAGE(OFFSET($R$3,0,0,'Données projet'!$E$9+1,1))-AVERAGE(OFFSET($H$3,0,0,'Données projet'!$E$9+1,1))</f>
        <v>234.81928430389272</v>
      </c>
      <c r="T84" s="62">
        <f t="shared" si="88"/>
        <v>294.47057757403411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57.536166122096091</v>
      </c>
      <c r="AA84" s="23">
        <f>EXP(-LN(2)/25)*AA83+(1-EXP(-LN(2)/25))/(LN(2)/25)*Calculateur!V84*Calculateur!X84*VLOOKUP('Données projet'!$B$9,Paramètres!$A$1:$I$89,3,0)*0.475*44/12</f>
        <v>21.029548989498061</v>
      </c>
      <c r="AB84" s="23">
        <f>EXP(-LN(2)/2)*AB83+(1-EXP(-LN(2)/2))/(LN(2)/2)*V84*Y84*VLOOKUP('Données projet'!$B$9,Paramètres!$A$1:$I$89,3,0)*0.475*44/12</f>
        <v>4.5063585369885473E-2</v>
      </c>
      <c r="AC84" s="24">
        <f t="shared" si="57"/>
        <v>78.610778696964047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273.00000000000023</v>
      </c>
      <c r="AJ84" s="14">
        <f>AI84*VLOOKUP('Données projet'!$B$10,Paramètres!$A$1:$I$89,3,0)*VLOOKUP('Données projet'!$B$10,Paramètres!$A$1:$I$89,5,0)</f>
        <v>212.9400000000002</v>
      </c>
      <c r="AK84" s="14">
        <f t="shared" si="89"/>
        <v>52.577528895212915</v>
      </c>
      <c r="AL84" s="22">
        <f t="shared" si="58"/>
        <v>462.44302949249618</v>
      </c>
      <c r="AM84" s="62">
        <f t="shared" si="59"/>
        <v>733.56378251599767</v>
      </c>
      <c r="AN84" s="62">
        <f ca="1">AVERAGE(OFFSET($AM$3,0,0,'Données projet'!$E$10+1,1))-AVERAGE(OFFSET($H$3,0,0,'Données projet'!$E$10+1,1))</f>
        <v>304.39782420428173</v>
      </c>
      <c r="AO84" s="62">
        <f t="shared" si="90"/>
        <v>360.34132229290537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21.534776576978423</v>
      </c>
      <c r="AV84" s="23">
        <f>EXP(-LN(2)/25)*AV83+(1-EXP(-LN(2)/25))/(LN(2)/25)*Calculateur!AQ84*Calculateur!AS84*VLOOKUP('Données projet'!$B$10,Paramètres!$A$1:$I$89,3,0)*0.475*44/12</f>
        <v>3.3141669313127458</v>
      </c>
      <c r="AW84" s="23">
        <f>EXP(-LN(2)/2)*AW83+(1-EXP(-LN(2)/2))/(LN(2)/2)*AQ84*AT84*VLOOKUP('Données projet'!$B$10,Paramètres!$A$1:$I$89,3,0)*0.475*44/12</f>
        <v>3.3935074813548818E-3</v>
      </c>
      <c r="AX84" s="23">
        <f t="shared" si="60"/>
        <v>24.852337015772523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273.00000000000023</v>
      </c>
      <c r="BE84" s="14">
        <f>BD84*VLOOKUP('Données projet'!$B$11,Paramètres!$A$1:$I$89,3,0)*VLOOKUP('Données projet'!$B$11,Paramètres!$A$1:$I$89,5,0)</f>
        <v>212.9400000000002</v>
      </c>
      <c r="BF84" s="14">
        <f t="shared" si="91"/>
        <v>52.577528895212915</v>
      </c>
      <c r="BG84" s="22">
        <f t="shared" si="61"/>
        <v>462.44302949249618</v>
      </c>
      <c r="BH84" s="62">
        <f t="shared" si="62"/>
        <v>733.56378251599767</v>
      </c>
      <c r="BI84" s="62">
        <f ca="1">AVERAGE(OFFSET($BH$3,0,0,'Données projet'!$E$11+1,1))-AVERAGE(OFFSET($H$3,0,0,'Données projet'!$E$11+1,1))</f>
        <v>304.39782420428173</v>
      </c>
      <c r="BJ84" s="62">
        <f t="shared" si="92"/>
        <v>360.34132229290537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21.534776576978423</v>
      </c>
      <c r="BQ84" s="23">
        <f>EXP(-LN(2)/25)*BQ83+(1-EXP(-LN(2)/25))/(LN(2)/25)*Calculateur!BL84*Calculateur!BN84*VLOOKUP('Données projet'!$B$11,Paramètres!$A$1:$I$89,3,0)*0.475*44/12</f>
        <v>3.3141669313127458</v>
      </c>
      <c r="BR84" s="23">
        <f>EXP(-LN(2)/2)*BR83+(1-EXP(-LN(2)/2))/(LN(2)/2)*BL84*BO84*VLOOKUP('Données projet'!$B$11,Paramètres!$A$1:$I$89,3,0)*0.475*44/12</f>
        <v>3.3935074813548818E-3</v>
      </c>
      <c r="BS84" s="24">
        <f t="shared" si="63"/>
        <v>24.852337015772523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273.00000000000023</v>
      </c>
      <c r="BZ84" s="14">
        <f>BY84*VLOOKUP('Données projet'!$B$12,Paramètres!$A$1:$I$89,3,0)*VLOOKUP('Données projet'!$B$12,Paramètres!$A$1:$I$89,5,0)</f>
        <v>212.9400000000002</v>
      </c>
      <c r="CA84" s="14">
        <f t="shared" si="93"/>
        <v>52.577528895212915</v>
      </c>
      <c r="CB84" s="22">
        <f t="shared" si="64"/>
        <v>462.44302949249618</v>
      </c>
      <c r="CC84" s="62">
        <f t="shared" si="65"/>
        <v>733.56378251599767</v>
      </c>
      <c r="CD84" s="62">
        <f ca="1">AVERAGE(OFFSET($CC$3,0,0,'Données projet'!$E$12+1,1))-AVERAGE(OFFSET($H$3,0,0,'Données projet'!$E$12+1,1))</f>
        <v>304.39782420428173</v>
      </c>
      <c r="CE84" s="62">
        <f t="shared" si="94"/>
        <v>360.34132229290537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21.534776576978423</v>
      </c>
      <c r="CL84" s="23">
        <f>EXP(-LN(2)/25)*CL83+(1-EXP(-LN(2)/25))/(LN(2)/25)*Calculateur!CG84*Calculateur!CI84*VLOOKUP('Données projet'!$B$12,Paramètres!$A$1:$I$89,3,0)*0.475*44/12</f>
        <v>3.3141669313127458</v>
      </c>
      <c r="CM84" s="23">
        <f>EXP(-LN(2)/2)*CM83+(1-EXP(-LN(2)/2))/(LN(2)/2)*CG84*CJ84*VLOOKUP('Données projet'!$B$12,Paramètres!$A$1:$I$89,3,0)*0.475*44/12</f>
        <v>3.3935074813548818E-3</v>
      </c>
      <c r="CN84" s="24">
        <f t="shared" si="66"/>
        <v>24.852337015772523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1.7053025658242404E-13</v>
      </c>
      <c r="O85" s="14">
        <f>N85*VLOOKUP('Données projet'!$B$9,Paramètres!$A$1:$I$89,3,0)*VLOOKUP('Données projet'!$B$9,Paramètres!$A$1:$I$89,5,0)</f>
        <v>7.9808160080574461E-14</v>
      </c>
      <c r="P85" s="14">
        <f t="shared" si="87"/>
        <v>1.2308384591775343E-12</v>
      </c>
      <c r="Q85" s="22">
        <f t="shared" si="54"/>
        <v>2.282709528541206E-12</v>
      </c>
      <c r="R85" s="62">
        <f t="shared" si="55"/>
        <v>271.50609163198931</v>
      </c>
      <c r="S85" s="62">
        <f ca="1">AVERAGE(OFFSET($R$3,0,0,'Données projet'!$E$9+1,1))-AVERAGE(OFFSET($H$3,0,0,'Données projet'!$E$9+1,1))</f>
        <v>234.81928430389272</v>
      </c>
      <c r="T85" s="62">
        <f t="shared" si="88"/>
        <v>294.47057757403411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56.407916998037919</v>
      </c>
      <c r="AA85" s="23">
        <f>EXP(-LN(2)/25)*AA84+(1-EXP(-LN(2)/25))/(LN(2)/25)*Calculateur!V85*Calculateur!X85*VLOOKUP('Données projet'!$B$9,Paramètres!$A$1:$I$89,3,0)*0.475*44/12</f>
        <v>20.454494866484318</v>
      </c>
      <c r="AB85" s="23">
        <f>EXP(-LN(2)/2)*AB84+(1-EXP(-LN(2)/2))/(LN(2)/2)*V85*Y85*VLOOKUP('Données projet'!$B$9,Paramètres!$A$1:$I$89,3,0)*0.475*44/12</f>
        <v>3.1864766799624911E-2</v>
      </c>
      <c r="AC85" s="24">
        <f t="shared" si="57"/>
        <v>76.894276631321873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273.00000000000023</v>
      </c>
      <c r="AJ85" s="14">
        <f>AI85*VLOOKUP('Données projet'!$B$10,Paramètres!$A$1:$I$89,3,0)*VLOOKUP('Données projet'!$B$10,Paramètres!$A$1:$I$89,5,0)</f>
        <v>212.9400000000002</v>
      </c>
      <c r="AK85" s="14">
        <f t="shared" si="89"/>
        <v>52.577528895212915</v>
      </c>
      <c r="AL85" s="22">
        <f t="shared" si="58"/>
        <v>462.44302949249618</v>
      </c>
      <c r="AM85" s="62">
        <f t="shared" si="59"/>
        <v>733.94912112448321</v>
      </c>
      <c r="AN85" s="62">
        <f ca="1">AVERAGE(OFFSET($AM$3,0,0,'Données projet'!$E$10+1,1))-AVERAGE(OFFSET($H$3,0,0,'Données projet'!$E$10+1,1))</f>
        <v>304.39782420428173</v>
      </c>
      <c r="AO85" s="62">
        <f t="shared" si="90"/>
        <v>360.34132229290537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21.112492743220624</v>
      </c>
      <c r="AV85" s="23">
        <f>EXP(-LN(2)/25)*AV84+(1-EXP(-LN(2)/25))/(LN(2)/25)*Calculateur!AQ85*Calculateur!AS85*VLOOKUP('Données projet'!$B$10,Paramètres!$A$1:$I$89,3,0)*0.475*44/12</f>
        <v>3.2235408622915345</v>
      </c>
      <c r="AW85" s="23">
        <f>EXP(-LN(2)/2)*AW84+(1-EXP(-LN(2)/2))/(LN(2)/2)*AQ85*AT85*VLOOKUP('Données projet'!$B$10,Paramètres!$A$1:$I$89,3,0)*0.475*44/12</f>
        <v>2.3995721520733183E-3</v>
      </c>
      <c r="AX85" s="23">
        <f t="shared" si="60"/>
        <v>24.338433177664232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273.00000000000023</v>
      </c>
      <c r="BE85" s="14">
        <f>BD85*VLOOKUP('Données projet'!$B$11,Paramètres!$A$1:$I$89,3,0)*VLOOKUP('Données projet'!$B$11,Paramètres!$A$1:$I$89,5,0)</f>
        <v>212.9400000000002</v>
      </c>
      <c r="BF85" s="14">
        <f t="shared" si="91"/>
        <v>52.577528895212915</v>
      </c>
      <c r="BG85" s="22">
        <f t="shared" si="61"/>
        <v>462.44302949249618</v>
      </c>
      <c r="BH85" s="62">
        <f t="shared" si="62"/>
        <v>733.94912112448321</v>
      </c>
      <c r="BI85" s="62">
        <f ca="1">AVERAGE(OFFSET($BH$3,0,0,'Données projet'!$E$11+1,1))-AVERAGE(OFFSET($H$3,0,0,'Données projet'!$E$11+1,1))</f>
        <v>304.39782420428173</v>
      </c>
      <c r="BJ85" s="62">
        <f t="shared" si="92"/>
        <v>360.34132229290537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21.112492743220624</v>
      </c>
      <c r="BQ85" s="23">
        <f>EXP(-LN(2)/25)*BQ84+(1-EXP(-LN(2)/25))/(LN(2)/25)*Calculateur!BL85*Calculateur!BN85*VLOOKUP('Données projet'!$B$11,Paramètres!$A$1:$I$89,3,0)*0.475*44/12</f>
        <v>3.2235408622915345</v>
      </c>
      <c r="BR85" s="23">
        <f>EXP(-LN(2)/2)*BR84+(1-EXP(-LN(2)/2))/(LN(2)/2)*BL85*BO85*VLOOKUP('Données projet'!$B$11,Paramètres!$A$1:$I$89,3,0)*0.475*44/12</f>
        <v>2.3995721520733183E-3</v>
      </c>
      <c r="BS85" s="24">
        <f t="shared" si="63"/>
        <v>24.338433177664232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273.00000000000023</v>
      </c>
      <c r="BZ85" s="14">
        <f>BY85*VLOOKUP('Données projet'!$B$12,Paramètres!$A$1:$I$89,3,0)*VLOOKUP('Données projet'!$B$12,Paramètres!$A$1:$I$89,5,0)</f>
        <v>212.9400000000002</v>
      </c>
      <c r="CA85" s="14">
        <f t="shared" si="93"/>
        <v>52.577528895212915</v>
      </c>
      <c r="CB85" s="22">
        <f t="shared" si="64"/>
        <v>462.44302949249618</v>
      </c>
      <c r="CC85" s="62">
        <f t="shared" si="65"/>
        <v>733.94912112448321</v>
      </c>
      <c r="CD85" s="62">
        <f ca="1">AVERAGE(OFFSET($CC$3,0,0,'Données projet'!$E$12+1,1))-AVERAGE(OFFSET($H$3,0,0,'Données projet'!$E$12+1,1))</f>
        <v>304.39782420428173</v>
      </c>
      <c r="CE85" s="62">
        <f t="shared" si="94"/>
        <v>360.34132229290537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21.112492743220624</v>
      </c>
      <c r="CL85" s="23">
        <f>EXP(-LN(2)/25)*CL84+(1-EXP(-LN(2)/25))/(LN(2)/25)*Calculateur!CG85*Calculateur!CI85*VLOOKUP('Données projet'!$B$12,Paramètres!$A$1:$I$89,3,0)*0.475*44/12</f>
        <v>3.2235408622915345</v>
      </c>
      <c r="CM85" s="23">
        <f>EXP(-LN(2)/2)*CM84+(1-EXP(-LN(2)/2))/(LN(2)/2)*CG85*CJ85*VLOOKUP('Données projet'!$B$12,Paramètres!$A$1:$I$89,3,0)*0.475*44/12</f>
        <v>2.3995721520733183E-3</v>
      </c>
      <c r="CN85" s="24">
        <f t="shared" si="66"/>
        <v>24.338433177664232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1.7053025658242404E-13</v>
      </c>
      <c r="O86" s="14">
        <f>N86*VLOOKUP('Données projet'!$B$9,Paramètres!$A$1:$I$89,3,0)*VLOOKUP('Données projet'!$B$9,Paramètres!$A$1:$I$89,5,0)</f>
        <v>7.9808160080574461E-14</v>
      </c>
      <c r="P86" s="14">
        <f t="shared" si="87"/>
        <v>1.2308384591775343E-12</v>
      </c>
      <c r="Q86" s="22">
        <f t="shared" si="54"/>
        <v>2.282709528541206E-12</v>
      </c>
      <c r="R86" s="62">
        <f t="shared" si="55"/>
        <v>271.88474547710575</v>
      </c>
      <c r="S86" s="62">
        <f ca="1">AVERAGE(OFFSET($R$3,0,0,'Données projet'!$E$9+1,1))-AVERAGE(OFFSET($H$3,0,0,'Données projet'!$E$9+1,1))</f>
        <v>234.81928430389272</v>
      </c>
      <c r="T86" s="62">
        <f t="shared" si="88"/>
        <v>294.47057757403411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55.301792151138507</v>
      </c>
      <c r="AA86" s="23">
        <f>EXP(-LN(2)/25)*AA85+(1-EXP(-LN(2)/25))/(LN(2)/25)*Calculateur!V86*Calculateur!X86*VLOOKUP('Données projet'!$B$9,Paramètres!$A$1:$I$89,3,0)*0.475*44/12</f>
        <v>19.895165628705168</v>
      </c>
      <c r="AB86" s="23">
        <f>EXP(-LN(2)/2)*AB85+(1-EXP(-LN(2)/2))/(LN(2)/2)*V86*Y86*VLOOKUP('Données projet'!$B$9,Paramètres!$A$1:$I$89,3,0)*0.475*44/12</f>
        <v>2.2531792684942736E-2</v>
      </c>
      <c r="AC86" s="24">
        <f t="shared" si="57"/>
        <v>75.219489572528616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273.00000000000023</v>
      </c>
      <c r="AJ86" s="14">
        <f>AI86*VLOOKUP('Données projet'!$B$10,Paramètres!$A$1:$I$89,3,0)*VLOOKUP('Données projet'!$B$10,Paramètres!$A$1:$I$89,5,0)</f>
        <v>212.9400000000002</v>
      </c>
      <c r="AK86" s="14">
        <f t="shared" si="89"/>
        <v>52.577528895212915</v>
      </c>
      <c r="AL86" s="22">
        <f t="shared" si="58"/>
        <v>462.44302949249618</v>
      </c>
      <c r="AM86" s="62">
        <f t="shared" si="59"/>
        <v>734.32777496959966</v>
      </c>
      <c r="AN86" s="62">
        <f ca="1">AVERAGE(OFFSET($AM$3,0,0,'Données projet'!$E$10+1,1))-AVERAGE(OFFSET($H$3,0,0,'Données projet'!$E$10+1,1))</f>
        <v>304.39782420428173</v>
      </c>
      <c r="AO86" s="62">
        <f t="shared" si="90"/>
        <v>360.34132229290537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20.69848963787511</v>
      </c>
      <c r="AV86" s="23">
        <f>EXP(-LN(2)/25)*AV85+(1-EXP(-LN(2)/25))/(LN(2)/25)*Calculateur!AQ86*Calculateur!AS86*VLOOKUP('Données projet'!$B$10,Paramètres!$A$1:$I$89,3,0)*0.475*44/12</f>
        <v>3.1353929678935262</v>
      </c>
      <c r="AW86" s="23">
        <f>EXP(-LN(2)/2)*AW85+(1-EXP(-LN(2)/2))/(LN(2)/2)*AQ86*AT86*VLOOKUP('Données projet'!$B$10,Paramètres!$A$1:$I$89,3,0)*0.475*44/12</f>
        <v>1.6967537406774409E-3</v>
      </c>
      <c r="AX86" s="23">
        <f t="shared" si="60"/>
        <v>23.835579359509314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273.00000000000023</v>
      </c>
      <c r="BE86" s="14">
        <f>BD86*VLOOKUP('Données projet'!$B$11,Paramètres!$A$1:$I$89,3,0)*VLOOKUP('Données projet'!$B$11,Paramètres!$A$1:$I$89,5,0)</f>
        <v>212.9400000000002</v>
      </c>
      <c r="BF86" s="14">
        <f t="shared" si="91"/>
        <v>52.577528895212915</v>
      </c>
      <c r="BG86" s="22">
        <f t="shared" si="61"/>
        <v>462.44302949249618</v>
      </c>
      <c r="BH86" s="62">
        <f t="shared" si="62"/>
        <v>734.32777496959966</v>
      </c>
      <c r="BI86" s="62">
        <f ca="1">AVERAGE(OFFSET($BH$3,0,0,'Données projet'!$E$11+1,1))-AVERAGE(OFFSET($H$3,0,0,'Données projet'!$E$11+1,1))</f>
        <v>304.39782420428173</v>
      </c>
      <c r="BJ86" s="62">
        <f t="shared" si="92"/>
        <v>360.34132229290537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20.69848963787511</v>
      </c>
      <c r="BQ86" s="23">
        <f>EXP(-LN(2)/25)*BQ85+(1-EXP(-LN(2)/25))/(LN(2)/25)*Calculateur!BL86*Calculateur!BN86*VLOOKUP('Données projet'!$B$11,Paramètres!$A$1:$I$89,3,0)*0.475*44/12</f>
        <v>3.1353929678935262</v>
      </c>
      <c r="BR86" s="23">
        <f>EXP(-LN(2)/2)*BR85+(1-EXP(-LN(2)/2))/(LN(2)/2)*BL86*BO86*VLOOKUP('Données projet'!$B$11,Paramètres!$A$1:$I$89,3,0)*0.475*44/12</f>
        <v>1.6967537406774409E-3</v>
      </c>
      <c r="BS86" s="24">
        <f t="shared" si="63"/>
        <v>23.835579359509314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273.00000000000023</v>
      </c>
      <c r="BZ86" s="14">
        <f>BY86*VLOOKUP('Données projet'!$B$12,Paramètres!$A$1:$I$89,3,0)*VLOOKUP('Données projet'!$B$12,Paramètres!$A$1:$I$89,5,0)</f>
        <v>212.9400000000002</v>
      </c>
      <c r="CA86" s="14">
        <f t="shared" si="93"/>
        <v>52.577528895212915</v>
      </c>
      <c r="CB86" s="22">
        <f t="shared" si="64"/>
        <v>462.44302949249618</v>
      </c>
      <c r="CC86" s="62">
        <f t="shared" si="65"/>
        <v>734.32777496959966</v>
      </c>
      <c r="CD86" s="62">
        <f ca="1">AVERAGE(OFFSET($CC$3,0,0,'Données projet'!$E$12+1,1))-AVERAGE(OFFSET($H$3,0,0,'Données projet'!$E$12+1,1))</f>
        <v>304.39782420428173</v>
      </c>
      <c r="CE86" s="62">
        <f t="shared" si="94"/>
        <v>360.34132229290537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20.69848963787511</v>
      </c>
      <c r="CL86" s="23">
        <f>EXP(-LN(2)/25)*CL85+(1-EXP(-LN(2)/25))/(LN(2)/25)*Calculateur!CG86*Calculateur!CI86*VLOOKUP('Données projet'!$B$12,Paramètres!$A$1:$I$89,3,0)*0.475*44/12</f>
        <v>3.1353929678935262</v>
      </c>
      <c r="CM86" s="23">
        <f>EXP(-LN(2)/2)*CM85+(1-EXP(-LN(2)/2))/(LN(2)/2)*CG86*CJ86*VLOOKUP('Données projet'!$B$12,Paramètres!$A$1:$I$89,3,0)*0.475*44/12</f>
        <v>1.6967537406774409E-3</v>
      </c>
      <c r="CN86" s="24">
        <f t="shared" si="66"/>
        <v>23.835579359509314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1.7053025658242404E-13</v>
      </c>
      <c r="O87" s="14">
        <f>N87*VLOOKUP('Données projet'!$B$9,Paramètres!$A$1:$I$89,3,0)*VLOOKUP('Données projet'!$B$9,Paramètres!$A$1:$I$89,5,0)</f>
        <v>7.9808160080574461E-14</v>
      </c>
      <c r="P87" s="14">
        <f t="shared" si="87"/>
        <v>1.2308384591775343E-12</v>
      </c>
      <c r="Q87" s="22">
        <f t="shared" si="54"/>
        <v>2.282709528541206E-12</v>
      </c>
      <c r="R87" s="62">
        <f t="shared" si="55"/>
        <v>272.25683052455258</v>
      </c>
      <c r="S87" s="62">
        <f ca="1">AVERAGE(OFFSET($R$3,0,0,'Données projet'!$E$9+1,1))-AVERAGE(OFFSET($H$3,0,0,'Données projet'!$E$9+1,1))</f>
        <v>234.81928430389272</v>
      </c>
      <c r="T87" s="62">
        <f t="shared" si="88"/>
        <v>294.47057757403411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54.21735773781726</v>
      </c>
      <c r="AA87" s="23">
        <f>EXP(-LN(2)/25)*AA86+(1-EXP(-LN(2)/25))/(LN(2)/25)*Calculateur!V87*Calculateur!X87*VLOOKUP('Données projet'!$B$9,Paramètres!$A$1:$I$89,3,0)*0.475*44/12</f>
        <v>19.351131278346937</v>
      </c>
      <c r="AB87" s="23">
        <f>EXP(-LN(2)/2)*AB86+(1-EXP(-LN(2)/2))/(LN(2)/2)*V87*Y87*VLOOKUP('Données projet'!$B$9,Paramètres!$A$1:$I$89,3,0)*0.475*44/12</f>
        <v>1.5932383399812455E-2</v>
      </c>
      <c r="AC87" s="24">
        <f t="shared" si="57"/>
        <v>73.584421399564008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273.00000000000023</v>
      </c>
      <c r="AJ87" s="14">
        <f>AI87*VLOOKUP('Données projet'!$B$10,Paramètres!$A$1:$I$89,3,0)*VLOOKUP('Données projet'!$B$10,Paramètres!$A$1:$I$89,5,0)</f>
        <v>212.9400000000002</v>
      </c>
      <c r="AK87" s="14">
        <f t="shared" si="89"/>
        <v>52.577528895212915</v>
      </c>
      <c r="AL87" s="22">
        <f t="shared" si="58"/>
        <v>462.44302949249618</v>
      </c>
      <c r="AM87" s="62">
        <f t="shared" si="59"/>
        <v>734.69986001704649</v>
      </c>
      <c r="AN87" s="62">
        <f ca="1">AVERAGE(OFFSET($AM$3,0,0,'Données projet'!$E$10+1,1))-AVERAGE(OFFSET($H$3,0,0,'Données projet'!$E$10+1,1))</f>
        <v>304.39782420428173</v>
      </c>
      <c r="AO87" s="62">
        <f t="shared" si="90"/>
        <v>360.34132229290537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20.29260488090846</v>
      </c>
      <c r="AV87" s="23">
        <f>EXP(-LN(2)/25)*AV86+(1-EXP(-LN(2)/25))/(LN(2)/25)*Calculateur!AQ87*Calculateur!AS87*VLOOKUP('Données projet'!$B$10,Paramètres!$A$1:$I$89,3,0)*0.475*44/12</f>
        <v>3.0496554823033275</v>
      </c>
      <c r="AW87" s="23">
        <f>EXP(-LN(2)/2)*AW86+(1-EXP(-LN(2)/2))/(LN(2)/2)*AQ87*AT87*VLOOKUP('Données projet'!$B$10,Paramètres!$A$1:$I$89,3,0)*0.475*44/12</f>
        <v>1.1997860760366592E-3</v>
      </c>
      <c r="AX87" s="23">
        <f t="shared" si="60"/>
        <v>23.343460149287822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273.00000000000023</v>
      </c>
      <c r="BE87" s="14">
        <f>BD87*VLOOKUP('Données projet'!$B$11,Paramètres!$A$1:$I$89,3,0)*VLOOKUP('Données projet'!$B$11,Paramètres!$A$1:$I$89,5,0)</f>
        <v>212.9400000000002</v>
      </c>
      <c r="BF87" s="14">
        <f t="shared" si="91"/>
        <v>52.577528895212915</v>
      </c>
      <c r="BG87" s="22">
        <f t="shared" si="61"/>
        <v>462.44302949249618</v>
      </c>
      <c r="BH87" s="62">
        <f t="shared" si="62"/>
        <v>734.69986001704649</v>
      </c>
      <c r="BI87" s="62">
        <f ca="1">AVERAGE(OFFSET($BH$3,0,0,'Données projet'!$E$11+1,1))-AVERAGE(OFFSET($H$3,0,0,'Données projet'!$E$11+1,1))</f>
        <v>304.39782420428173</v>
      </c>
      <c r="BJ87" s="62">
        <f t="shared" si="92"/>
        <v>360.34132229290537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20.29260488090846</v>
      </c>
      <c r="BQ87" s="23">
        <f>EXP(-LN(2)/25)*BQ86+(1-EXP(-LN(2)/25))/(LN(2)/25)*Calculateur!BL87*Calculateur!BN87*VLOOKUP('Données projet'!$B$11,Paramètres!$A$1:$I$89,3,0)*0.475*44/12</f>
        <v>3.0496554823033275</v>
      </c>
      <c r="BR87" s="23">
        <f>EXP(-LN(2)/2)*BR86+(1-EXP(-LN(2)/2))/(LN(2)/2)*BL87*BO87*VLOOKUP('Données projet'!$B$11,Paramètres!$A$1:$I$89,3,0)*0.475*44/12</f>
        <v>1.1997860760366592E-3</v>
      </c>
      <c r="BS87" s="24">
        <f t="shared" si="63"/>
        <v>23.343460149287822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273.00000000000023</v>
      </c>
      <c r="BZ87" s="14">
        <f>BY87*VLOOKUP('Données projet'!$B$12,Paramètres!$A$1:$I$89,3,0)*VLOOKUP('Données projet'!$B$12,Paramètres!$A$1:$I$89,5,0)</f>
        <v>212.9400000000002</v>
      </c>
      <c r="CA87" s="14">
        <f t="shared" si="93"/>
        <v>52.577528895212915</v>
      </c>
      <c r="CB87" s="22">
        <f t="shared" si="64"/>
        <v>462.44302949249618</v>
      </c>
      <c r="CC87" s="62">
        <f t="shared" si="65"/>
        <v>734.69986001704649</v>
      </c>
      <c r="CD87" s="62">
        <f ca="1">AVERAGE(OFFSET($CC$3,0,0,'Données projet'!$E$12+1,1))-AVERAGE(OFFSET($H$3,0,0,'Données projet'!$E$12+1,1))</f>
        <v>304.39782420428173</v>
      </c>
      <c r="CE87" s="62">
        <f t="shared" si="94"/>
        <v>360.34132229290537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20.29260488090846</v>
      </c>
      <c r="CL87" s="23">
        <f>EXP(-LN(2)/25)*CL86+(1-EXP(-LN(2)/25))/(LN(2)/25)*Calculateur!CG87*Calculateur!CI87*VLOOKUP('Données projet'!$B$12,Paramètres!$A$1:$I$89,3,0)*0.475*44/12</f>
        <v>3.0496554823033275</v>
      </c>
      <c r="CM87" s="23">
        <f>EXP(-LN(2)/2)*CM86+(1-EXP(-LN(2)/2))/(LN(2)/2)*CG87*CJ87*VLOOKUP('Données projet'!$B$12,Paramètres!$A$1:$I$89,3,0)*0.475*44/12</f>
        <v>1.1997860760366592E-3</v>
      </c>
      <c r="CN87" s="24">
        <f t="shared" si="66"/>
        <v>23.343460149287822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1.7053025658242404E-13</v>
      </c>
      <c r="O88" s="14">
        <f>N88*VLOOKUP('Données projet'!$B$9,Paramètres!$A$1:$I$89,3,0)*VLOOKUP('Données projet'!$B$9,Paramètres!$A$1:$I$89,5,0)</f>
        <v>7.9808160080574461E-14</v>
      </c>
      <c r="P88" s="14">
        <f t="shared" si="87"/>
        <v>1.2308384591775343E-12</v>
      </c>
      <c r="Q88" s="22">
        <f t="shared" si="54"/>
        <v>2.282709528541206E-12</v>
      </c>
      <c r="R88" s="62">
        <f t="shared" si="55"/>
        <v>272.62246072828378</v>
      </c>
      <c r="S88" s="62">
        <f ca="1">AVERAGE(OFFSET($R$3,0,0,'Données projet'!$E$9+1,1))-AVERAGE(OFFSET($H$3,0,0,'Données projet'!$E$9+1,1))</f>
        <v>234.81928430389272</v>
      </c>
      <c r="T88" s="62">
        <f t="shared" si="88"/>
        <v>294.47057757403411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53.154188421901559</v>
      </c>
      <c r="AA88" s="23">
        <f>EXP(-LN(2)/25)*AA87+(1-EXP(-LN(2)/25))/(LN(2)/25)*Calculateur!V88*Calculateur!X88*VLOOKUP('Données projet'!$B$9,Paramètres!$A$1:$I$89,3,0)*0.475*44/12</f>
        <v>18.821973575908775</v>
      </c>
      <c r="AB88" s="23">
        <f>EXP(-LN(2)/2)*AB87+(1-EXP(-LN(2)/2))/(LN(2)/2)*V88*Y88*VLOOKUP('Données projet'!$B$9,Paramètres!$A$1:$I$89,3,0)*0.475*44/12</f>
        <v>1.1265896342471368E-2</v>
      </c>
      <c r="AC88" s="24">
        <f t="shared" si="57"/>
        <v>71.987427894152802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273.00000000000023</v>
      </c>
      <c r="AJ88" s="14">
        <f>AI88*VLOOKUP('Données projet'!$B$10,Paramètres!$A$1:$I$89,3,0)*VLOOKUP('Données projet'!$B$10,Paramètres!$A$1:$I$89,5,0)</f>
        <v>212.9400000000002</v>
      </c>
      <c r="AK88" s="14">
        <f t="shared" si="89"/>
        <v>52.577528895212915</v>
      </c>
      <c r="AL88" s="22">
        <f t="shared" si="58"/>
        <v>462.44302949249618</v>
      </c>
      <c r="AM88" s="62">
        <f t="shared" si="59"/>
        <v>735.06549022077775</v>
      </c>
      <c r="AN88" s="62">
        <f ca="1">AVERAGE(OFFSET($AM$3,0,0,'Données projet'!$E$10+1,1))-AVERAGE(OFFSET($H$3,0,0,'Données projet'!$E$10+1,1))</f>
        <v>304.39782420428173</v>
      </c>
      <c r="AO88" s="62">
        <f t="shared" si="90"/>
        <v>360.34132229290537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19.894679276460668</v>
      </c>
      <c r="AV88" s="23">
        <f>EXP(-LN(2)/25)*AV87+(1-EXP(-LN(2)/25))/(LN(2)/25)*Calculateur!AQ88*Calculateur!AS88*VLOOKUP('Données projet'!$B$10,Paramètres!$A$1:$I$89,3,0)*0.475*44/12</f>
        <v>2.9662624927653312</v>
      </c>
      <c r="AW88" s="23">
        <f>EXP(-LN(2)/2)*AW87+(1-EXP(-LN(2)/2))/(LN(2)/2)*AQ88*AT88*VLOOKUP('Données projet'!$B$10,Paramètres!$A$1:$I$89,3,0)*0.475*44/12</f>
        <v>8.4837687033872044E-4</v>
      </c>
      <c r="AX88" s="23">
        <f t="shared" si="60"/>
        <v>22.861790146096336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273.00000000000023</v>
      </c>
      <c r="BE88" s="14">
        <f>BD88*VLOOKUP('Données projet'!$B$11,Paramètres!$A$1:$I$89,3,0)*VLOOKUP('Données projet'!$B$11,Paramètres!$A$1:$I$89,5,0)</f>
        <v>212.9400000000002</v>
      </c>
      <c r="BF88" s="14">
        <f t="shared" si="91"/>
        <v>52.577528895212915</v>
      </c>
      <c r="BG88" s="22">
        <f t="shared" si="61"/>
        <v>462.44302949249618</v>
      </c>
      <c r="BH88" s="62">
        <f t="shared" si="62"/>
        <v>735.06549022077775</v>
      </c>
      <c r="BI88" s="62">
        <f ca="1">AVERAGE(OFFSET($BH$3,0,0,'Données projet'!$E$11+1,1))-AVERAGE(OFFSET($H$3,0,0,'Données projet'!$E$11+1,1))</f>
        <v>304.39782420428173</v>
      </c>
      <c r="BJ88" s="62">
        <f t="shared" si="92"/>
        <v>360.34132229290537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19.894679276460668</v>
      </c>
      <c r="BQ88" s="23">
        <f>EXP(-LN(2)/25)*BQ87+(1-EXP(-LN(2)/25))/(LN(2)/25)*Calculateur!BL88*Calculateur!BN88*VLOOKUP('Données projet'!$B$11,Paramètres!$A$1:$I$89,3,0)*0.475*44/12</f>
        <v>2.9662624927653312</v>
      </c>
      <c r="BR88" s="23">
        <f>EXP(-LN(2)/2)*BR87+(1-EXP(-LN(2)/2))/(LN(2)/2)*BL88*BO88*VLOOKUP('Données projet'!$B$11,Paramètres!$A$1:$I$89,3,0)*0.475*44/12</f>
        <v>8.4837687033872044E-4</v>
      </c>
      <c r="BS88" s="24">
        <f t="shared" si="63"/>
        <v>22.861790146096336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273.00000000000023</v>
      </c>
      <c r="BZ88" s="14">
        <f>BY88*VLOOKUP('Données projet'!$B$12,Paramètres!$A$1:$I$89,3,0)*VLOOKUP('Données projet'!$B$12,Paramètres!$A$1:$I$89,5,0)</f>
        <v>212.9400000000002</v>
      </c>
      <c r="CA88" s="14">
        <f t="shared" si="93"/>
        <v>52.577528895212915</v>
      </c>
      <c r="CB88" s="22">
        <f t="shared" si="64"/>
        <v>462.44302949249618</v>
      </c>
      <c r="CC88" s="62">
        <f t="shared" si="65"/>
        <v>735.06549022077775</v>
      </c>
      <c r="CD88" s="62">
        <f ca="1">AVERAGE(OFFSET($CC$3,0,0,'Données projet'!$E$12+1,1))-AVERAGE(OFFSET($H$3,0,0,'Données projet'!$E$12+1,1))</f>
        <v>304.39782420428173</v>
      </c>
      <c r="CE88" s="62">
        <f t="shared" si="94"/>
        <v>360.34132229290537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19.894679276460668</v>
      </c>
      <c r="CL88" s="23">
        <f>EXP(-LN(2)/25)*CL87+(1-EXP(-LN(2)/25))/(LN(2)/25)*Calculateur!CG88*Calculateur!CI88*VLOOKUP('Données projet'!$B$12,Paramètres!$A$1:$I$89,3,0)*0.475*44/12</f>
        <v>2.9662624927653312</v>
      </c>
      <c r="CM88" s="23">
        <f>EXP(-LN(2)/2)*CM87+(1-EXP(-LN(2)/2))/(LN(2)/2)*CG88*CJ88*VLOOKUP('Données projet'!$B$12,Paramètres!$A$1:$I$89,3,0)*0.475*44/12</f>
        <v>8.4837687033872044E-4</v>
      </c>
      <c r="CN88" s="24">
        <f t="shared" si="66"/>
        <v>22.861790146096336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1.7053025658242404E-13</v>
      </c>
      <c r="O89" s="14">
        <f>N89*VLOOKUP('Données projet'!$B$9,Paramètres!$A$1:$I$89,3,0)*VLOOKUP('Données projet'!$B$9,Paramètres!$A$1:$I$89,5,0)</f>
        <v>7.9808160080574461E-14</v>
      </c>
      <c r="P89" s="14">
        <f t="shared" si="87"/>
        <v>1.2308384591775343E-12</v>
      </c>
      <c r="Q89" s="22">
        <f t="shared" si="54"/>
        <v>2.282709528541206E-12</v>
      </c>
      <c r="R89" s="62">
        <f t="shared" si="55"/>
        <v>272.98174806540698</v>
      </c>
      <c r="S89" s="62">
        <f ca="1">AVERAGE(OFFSET($R$3,0,0,'Données projet'!$E$9+1,1))-AVERAGE(OFFSET($H$3,0,0,'Données projet'!$E$9+1,1))</f>
        <v>234.81928430389272</v>
      </c>
      <c r="T89" s="62">
        <f t="shared" si="88"/>
        <v>294.47057757403411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52.111867207801716</v>
      </c>
      <c r="AA89" s="23">
        <f>EXP(-LN(2)/25)*AA88+(1-EXP(-LN(2)/25))/(LN(2)/25)*Calculateur!V89*Calculateur!X89*VLOOKUP('Données projet'!$B$9,Paramètres!$A$1:$I$89,3,0)*0.475*44/12</f>
        <v>18.307285718670975</v>
      </c>
      <c r="AB89" s="23">
        <f>EXP(-LN(2)/2)*AB88+(1-EXP(-LN(2)/2))/(LN(2)/2)*V89*Y89*VLOOKUP('Données projet'!$B$9,Paramètres!$A$1:$I$89,3,0)*0.475*44/12</f>
        <v>7.9661916999062277E-3</v>
      </c>
      <c r="AC89" s="24">
        <f t="shared" si="57"/>
        <v>70.427119118172598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273.00000000000023</v>
      </c>
      <c r="AJ89" s="14">
        <f>AI89*VLOOKUP('Données projet'!$B$10,Paramètres!$A$1:$I$89,3,0)*VLOOKUP('Données projet'!$B$10,Paramètres!$A$1:$I$89,5,0)</f>
        <v>212.9400000000002</v>
      </c>
      <c r="AK89" s="14">
        <f t="shared" si="89"/>
        <v>52.577528895212915</v>
      </c>
      <c r="AL89" s="22">
        <f t="shared" si="58"/>
        <v>462.44302949249618</v>
      </c>
      <c r="AM89" s="62">
        <f t="shared" si="59"/>
        <v>735.42477755790082</v>
      </c>
      <c r="AN89" s="62">
        <f ca="1">AVERAGE(OFFSET($AM$3,0,0,'Données projet'!$E$10+1,1))-AVERAGE(OFFSET($H$3,0,0,'Données projet'!$E$10+1,1))</f>
        <v>304.39782420428173</v>
      </c>
      <c r="AO89" s="62">
        <f t="shared" si="90"/>
        <v>360.34132229290537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19.504556750405445</v>
      </c>
      <c r="AV89" s="23">
        <f>EXP(-LN(2)/25)*AV88+(1-EXP(-LN(2)/25))/(LN(2)/25)*Calculateur!AQ89*Calculateur!AS89*VLOOKUP('Données projet'!$B$10,Paramètres!$A$1:$I$89,3,0)*0.475*44/12</f>
        <v>2.8851498889116982</v>
      </c>
      <c r="AW89" s="23">
        <f>EXP(-LN(2)/2)*AW88+(1-EXP(-LN(2)/2))/(LN(2)/2)*AQ89*AT89*VLOOKUP('Données projet'!$B$10,Paramètres!$A$1:$I$89,3,0)*0.475*44/12</f>
        <v>5.9989303801832958E-4</v>
      </c>
      <c r="AX89" s="23">
        <f t="shared" si="60"/>
        <v>22.390306532355162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273.00000000000023</v>
      </c>
      <c r="BE89" s="14">
        <f>BD89*VLOOKUP('Données projet'!$B$11,Paramètres!$A$1:$I$89,3,0)*VLOOKUP('Données projet'!$B$11,Paramètres!$A$1:$I$89,5,0)</f>
        <v>212.9400000000002</v>
      </c>
      <c r="BF89" s="14">
        <f t="shared" si="91"/>
        <v>52.577528895212915</v>
      </c>
      <c r="BG89" s="22">
        <f t="shared" si="61"/>
        <v>462.44302949249618</v>
      </c>
      <c r="BH89" s="62">
        <f t="shared" si="62"/>
        <v>735.42477755790082</v>
      </c>
      <c r="BI89" s="62">
        <f ca="1">AVERAGE(OFFSET($BH$3,0,0,'Données projet'!$E$11+1,1))-AVERAGE(OFFSET($H$3,0,0,'Données projet'!$E$11+1,1))</f>
        <v>304.39782420428173</v>
      </c>
      <c r="BJ89" s="62">
        <f t="shared" si="92"/>
        <v>360.34132229290537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19.504556750405445</v>
      </c>
      <c r="BQ89" s="23">
        <f>EXP(-LN(2)/25)*BQ88+(1-EXP(-LN(2)/25))/(LN(2)/25)*Calculateur!BL89*Calculateur!BN89*VLOOKUP('Données projet'!$B$11,Paramètres!$A$1:$I$89,3,0)*0.475*44/12</f>
        <v>2.8851498889116982</v>
      </c>
      <c r="BR89" s="23">
        <f>EXP(-LN(2)/2)*BR88+(1-EXP(-LN(2)/2))/(LN(2)/2)*BL89*BO89*VLOOKUP('Données projet'!$B$11,Paramètres!$A$1:$I$89,3,0)*0.475*44/12</f>
        <v>5.9989303801832958E-4</v>
      </c>
      <c r="BS89" s="24">
        <f t="shared" si="63"/>
        <v>22.390306532355162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273.00000000000023</v>
      </c>
      <c r="BZ89" s="14">
        <f>BY89*VLOOKUP('Données projet'!$B$12,Paramètres!$A$1:$I$89,3,0)*VLOOKUP('Données projet'!$B$12,Paramètres!$A$1:$I$89,5,0)</f>
        <v>212.9400000000002</v>
      </c>
      <c r="CA89" s="14">
        <f t="shared" si="93"/>
        <v>52.577528895212915</v>
      </c>
      <c r="CB89" s="22">
        <f t="shared" si="64"/>
        <v>462.44302949249618</v>
      </c>
      <c r="CC89" s="62">
        <f t="shared" si="65"/>
        <v>735.42477755790082</v>
      </c>
      <c r="CD89" s="62">
        <f ca="1">AVERAGE(OFFSET($CC$3,0,0,'Données projet'!$E$12+1,1))-AVERAGE(OFFSET($H$3,0,0,'Données projet'!$E$12+1,1))</f>
        <v>304.39782420428173</v>
      </c>
      <c r="CE89" s="62">
        <f t="shared" si="94"/>
        <v>360.34132229290537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19.504556750405445</v>
      </c>
      <c r="CL89" s="23">
        <f>EXP(-LN(2)/25)*CL88+(1-EXP(-LN(2)/25))/(LN(2)/25)*Calculateur!CG89*Calculateur!CI89*VLOOKUP('Données projet'!$B$12,Paramètres!$A$1:$I$89,3,0)*0.475*44/12</f>
        <v>2.8851498889116982</v>
      </c>
      <c r="CM89" s="23">
        <f>EXP(-LN(2)/2)*CM88+(1-EXP(-LN(2)/2))/(LN(2)/2)*CG89*CJ89*VLOOKUP('Données projet'!$B$12,Paramètres!$A$1:$I$89,3,0)*0.475*44/12</f>
        <v>5.9989303801832958E-4</v>
      </c>
      <c r="CN89" s="24">
        <f t="shared" si="66"/>
        <v>22.390306532355162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1.7053025658242404E-13</v>
      </c>
      <c r="O90" s="14">
        <f>N90*VLOOKUP('Données projet'!$B$9,Paramètres!$A$1:$I$89,3,0)*VLOOKUP('Données projet'!$B$9,Paramètres!$A$1:$I$89,5,0)</f>
        <v>7.9808160080574461E-14</v>
      </c>
      <c r="P90" s="14">
        <f t="shared" si="87"/>
        <v>1.2308384591775343E-12</v>
      </c>
      <c r="Q90" s="22">
        <f t="shared" si="54"/>
        <v>2.282709528541206E-12</v>
      </c>
      <c r="R90" s="62">
        <f t="shared" si="55"/>
        <v>273.33480257047711</v>
      </c>
      <c r="S90" s="62">
        <f ca="1">AVERAGE(OFFSET($R$3,0,0,'Données projet'!$E$9+1,1))-AVERAGE(OFFSET($H$3,0,0,'Données projet'!$E$9+1,1))</f>
        <v>234.81928430389272</v>
      </c>
      <c r="T90" s="62">
        <f t="shared" si="88"/>
        <v>294.47057757403411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51.089985276957201</v>
      </c>
      <c r="AA90" s="23">
        <f>EXP(-LN(2)/25)*AA89+(1-EXP(-LN(2)/25))/(LN(2)/25)*Calculateur!V90*Calculateur!X90*VLOOKUP('Données projet'!$B$9,Paramètres!$A$1:$I$89,3,0)*0.475*44/12</f>
        <v>17.806672027955603</v>
      </c>
      <c r="AB90" s="23">
        <f>EXP(-LN(2)/2)*AB89+(1-EXP(-LN(2)/2))/(LN(2)/2)*V90*Y90*VLOOKUP('Données projet'!$B$9,Paramètres!$A$1:$I$89,3,0)*0.475*44/12</f>
        <v>5.6329481712356841E-3</v>
      </c>
      <c r="AC90" s="24">
        <f t="shared" si="57"/>
        <v>68.902290253084047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273.00000000000023</v>
      </c>
      <c r="AJ90" s="14">
        <f>AI90*VLOOKUP('Données projet'!$B$10,Paramètres!$A$1:$I$89,3,0)*VLOOKUP('Données projet'!$B$10,Paramètres!$A$1:$I$89,5,0)</f>
        <v>212.9400000000002</v>
      </c>
      <c r="AK90" s="14">
        <f t="shared" si="89"/>
        <v>52.577528895212915</v>
      </c>
      <c r="AL90" s="22">
        <f t="shared" si="58"/>
        <v>462.44302949249618</v>
      </c>
      <c r="AM90" s="62">
        <f t="shared" si="59"/>
        <v>735.77783206297102</v>
      </c>
      <c r="AN90" s="62">
        <f ca="1">AVERAGE(OFFSET($AM$3,0,0,'Données projet'!$E$10+1,1))-AVERAGE(OFFSET($H$3,0,0,'Données projet'!$E$10+1,1))</f>
        <v>304.39782420428173</v>
      </c>
      <c r="AO90" s="62">
        <f t="shared" si="90"/>
        <v>360.34132229290537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19.122084289134921</v>
      </c>
      <c r="AV90" s="23">
        <f>EXP(-LN(2)/25)*AV89+(1-EXP(-LN(2)/25))/(LN(2)/25)*Calculateur!AQ90*Calculateur!AS90*VLOOKUP('Données projet'!$B$10,Paramètres!$A$1:$I$89,3,0)*0.475*44/12</f>
        <v>2.8062553134759693</v>
      </c>
      <c r="AW90" s="23">
        <f>EXP(-LN(2)/2)*AW89+(1-EXP(-LN(2)/2))/(LN(2)/2)*AQ90*AT90*VLOOKUP('Données projet'!$B$10,Paramètres!$A$1:$I$89,3,0)*0.475*44/12</f>
        <v>4.2418843516936022E-4</v>
      </c>
      <c r="AX90" s="23">
        <f t="shared" si="60"/>
        <v>21.928763791046059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273.00000000000023</v>
      </c>
      <c r="BE90" s="14">
        <f>BD90*VLOOKUP('Données projet'!$B$11,Paramètres!$A$1:$I$89,3,0)*VLOOKUP('Données projet'!$B$11,Paramètres!$A$1:$I$89,5,0)</f>
        <v>212.9400000000002</v>
      </c>
      <c r="BF90" s="14">
        <f t="shared" si="91"/>
        <v>52.577528895212915</v>
      </c>
      <c r="BG90" s="22">
        <f t="shared" si="61"/>
        <v>462.44302949249618</v>
      </c>
      <c r="BH90" s="62">
        <f t="shared" si="62"/>
        <v>735.77783206297102</v>
      </c>
      <c r="BI90" s="62">
        <f ca="1">AVERAGE(OFFSET($BH$3,0,0,'Données projet'!$E$11+1,1))-AVERAGE(OFFSET($H$3,0,0,'Données projet'!$E$11+1,1))</f>
        <v>304.39782420428173</v>
      </c>
      <c r="BJ90" s="62">
        <f t="shared" si="92"/>
        <v>360.34132229290537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19.122084289134921</v>
      </c>
      <c r="BQ90" s="23">
        <f>EXP(-LN(2)/25)*BQ89+(1-EXP(-LN(2)/25))/(LN(2)/25)*Calculateur!BL90*Calculateur!BN90*VLOOKUP('Données projet'!$B$11,Paramètres!$A$1:$I$89,3,0)*0.475*44/12</f>
        <v>2.8062553134759693</v>
      </c>
      <c r="BR90" s="23">
        <f>EXP(-LN(2)/2)*BR89+(1-EXP(-LN(2)/2))/(LN(2)/2)*BL90*BO90*VLOOKUP('Données projet'!$B$11,Paramètres!$A$1:$I$89,3,0)*0.475*44/12</f>
        <v>4.2418843516936022E-4</v>
      </c>
      <c r="BS90" s="24">
        <f t="shared" si="63"/>
        <v>21.928763791046059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273.00000000000023</v>
      </c>
      <c r="BZ90" s="14">
        <f>BY90*VLOOKUP('Données projet'!$B$12,Paramètres!$A$1:$I$89,3,0)*VLOOKUP('Données projet'!$B$12,Paramètres!$A$1:$I$89,5,0)</f>
        <v>212.9400000000002</v>
      </c>
      <c r="CA90" s="14">
        <f t="shared" si="93"/>
        <v>52.577528895212915</v>
      </c>
      <c r="CB90" s="22">
        <f t="shared" si="64"/>
        <v>462.44302949249618</v>
      </c>
      <c r="CC90" s="62">
        <f t="shared" si="65"/>
        <v>735.77783206297102</v>
      </c>
      <c r="CD90" s="62">
        <f ca="1">AVERAGE(OFFSET($CC$3,0,0,'Données projet'!$E$12+1,1))-AVERAGE(OFFSET($H$3,0,0,'Données projet'!$E$12+1,1))</f>
        <v>304.39782420428173</v>
      </c>
      <c r="CE90" s="62">
        <f t="shared" si="94"/>
        <v>360.34132229290537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19.122084289134921</v>
      </c>
      <c r="CL90" s="23">
        <f>EXP(-LN(2)/25)*CL89+(1-EXP(-LN(2)/25))/(LN(2)/25)*Calculateur!CG90*Calculateur!CI90*VLOOKUP('Données projet'!$B$12,Paramètres!$A$1:$I$89,3,0)*0.475*44/12</f>
        <v>2.8062553134759693</v>
      </c>
      <c r="CM90" s="23">
        <f>EXP(-LN(2)/2)*CM89+(1-EXP(-LN(2)/2))/(LN(2)/2)*CG90*CJ90*VLOOKUP('Données projet'!$B$12,Paramètres!$A$1:$I$89,3,0)*0.475*44/12</f>
        <v>4.2418843516936022E-4</v>
      </c>
      <c r="CN90" s="24">
        <f t="shared" si="66"/>
        <v>21.928763791046059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1.7053025658242404E-13</v>
      </c>
      <c r="O91" s="14">
        <f>N91*VLOOKUP('Données projet'!$B$9,Paramètres!$A$1:$I$89,3,0)*VLOOKUP('Données projet'!$B$9,Paramètres!$A$1:$I$89,5,0)</f>
        <v>7.9808160080574461E-14</v>
      </c>
      <c r="P91" s="14">
        <f t="shared" si="87"/>
        <v>1.2308384591775343E-12</v>
      </c>
      <c r="Q91" s="22">
        <f t="shared" si="54"/>
        <v>2.282709528541206E-12</v>
      </c>
      <c r="R91" s="62">
        <f t="shared" si="55"/>
        <v>273.68173236919597</v>
      </c>
      <c r="S91" s="62">
        <f ca="1">AVERAGE(OFFSET($R$3,0,0,'Données projet'!$E$9+1,1))-AVERAGE(OFFSET($H$3,0,0,'Données projet'!$E$9+1,1))</f>
        <v>234.81928430389272</v>
      </c>
      <c r="T91" s="62">
        <f t="shared" si="88"/>
        <v>294.47057757403411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50.088141827490112</v>
      </c>
      <c r="AA91" s="23">
        <f>EXP(-LN(2)/25)*AA90+(1-EXP(-LN(2)/25))/(LN(2)/25)*Calculateur!V91*Calculateur!X91*VLOOKUP('Données projet'!$B$9,Paramètres!$A$1:$I$89,3,0)*0.475*44/12</f>
        <v>17.319747644938971</v>
      </c>
      <c r="AB91" s="23">
        <f>EXP(-LN(2)/2)*AB90+(1-EXP(-LN(2)/2))/(LN(2)/2)*V91*Y91*VLOOKUP('Données projet'!$B$9,Paramètres!$A$1:$I$89,3,0)*0.475*44/12</f>
        <v>3.9830958499531138E-3</v>
      </c>
      <c r="AC91" s="24">
        <f t="shared" si="57"/>
        <v>67.411872568279023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273.00000000000023</v>
      </c>
      <c r="AJ91" s="14">
        <f>AI91*VLOOKUP('Données projet'!$B$10,Paramètres!$A$1:$I$89,3,0)*VLOOKUP('Données projet'!$B$10,Paramètres!$A$1:$I$89,5,0)</f>
        <v>212.9400000000002</v>
      </c>
      <c r="AK91" s="14">
        <f t="shared" si="89"/>
        <v>52.577528895212915</v>
      </c>
      <c r="AL91" s="22">
        <f t="shared" si="58"/>
        <v>462.44302949249618</v>
      </c>
      <c r="AM91" s="62">
        <f t="shared" si="59"/>
        <v>736.12476186168988</v>
      </c>
      <c r="AN91" s="62">
        <f ca="1">AVERAGE(OFFSET($AM$3,0,0,'Données projet'!$E$10+1,1))-AVERAGE(OFFSET($H$3,0,0,'Données projet'!$E$10+1,1))</f>
        <v>304.39782420428173</v>
      </c>
      <c r="AO91" s="62">
        <f t="shared" si="90"/>
        <v>360.34132229290537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18.747111879544743</v>
      </c>
      <c r="AV91" s="23">
        <f>EXP(-LN(2)/25)*AV90+(1-EXP(-LN(2)/25))/(LN(2)/25)*Calculateur!AQ91*Calculateur!AS91*VLOOKUP('Données projet'!$B$10,Paramètres!$A$1:$I$89,3,0)*0.475*44/12</f>
        <v>2.7295181143544158</v>
      </c>
      <c r="AW91" s="23">
        <f>EXP(-LN(2)/2)*AW90+(1-EXP(-LN(2)/2))/(LN(2)/2)*AQ91*AT91*VLOOKUP('Données projet'!$B$10,Paramètres!$A$1:$I$89,3,0)*0.475*44/12</f>
        <v>2.9994651900916479E-4</v>
      </c>
      <c r="AX91" s="23">
        <f t="shared" si="60"/>
        <v>21.47692994041817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273.00000000000023</v>
      </c>
      <c r="BE91" s="14">
        <f>BD91*VLOOKUP('Données projet'!$B$11,Paramètres!$A$1:$I$89,3,0)*VLOOKUP('Données projet'!$B$11,Paramètres!$A$1:$I$89,5,0)</f>
        <v>212.9400000000002</v>
      </c>
      <c r="BF91" s="14">
        <f t="shared" si="91"/>
        <v>52.577528895212915</v>
      </c>
      <c r="BG91" s="22">
        <f t="shared" si="61"/>
        <v>462.44302949249618</v>
      </c>
      <c r="BH91" s="62">
        <f t="shared" si="62"/>
        <v>736.12476186168988</v>
      </c>
      <c r="BI91" s="62">
        <f ca="1">AVERAGE(OFFSET($BH$3,0,0,'Données projet'!$E$11+1,1))-AVERAGE(OFFSET($H$3,0,0,'Données projet'!$E$11+1,1))</f>
        <v>304.39782420428173</v>
      </c>
      <c r="BJ91" s="62">
        <f t="shared" si="92"/>
        <v>360.34132229290537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18.747111879544743</v>
      </c>
      <c r="BQ91" s="23">
        <f>EXP(-LN(2)/25)*BQ90+(1-EXP(-LN(2)/25))/(LN(2)/25)*Calculateur!BL91*Calculateur!BN91*VLOOKUP('Données projet'!$B$11,Paramètres!$A$1:$I$89,3,0)*0.475*44/12</f>
        <v>2.7295181143544158</v>
      </c>
      <c r="BR91" s="23">
        <f>EXP(-LN(2)/2)*BR90+(1-EXP(-LN(2)/2))/(LN(2)/2)*BL91*BO91*VLOOKUP('Données projet'!$B$11,Paramètres!$A$1:$I$89,3,0)*0.475*44/12</f>
        <v>2.9994651900916479E-4</v>
      </c>
      <c r="BS91" s="24">
        <f t="shared" si="63"/>
        <v>21.47692994041817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273.00000000000023</v>
      </c>
      <c r="BZ91" s="14">
        <f>BY91*VLOOKUP('Données projet'!$B$12,Paramètres!$A$1:$I$89,3,0)*VLOOKUP('Données projet'!$B$12,Paramètres!$A$1:$I$89,5,0)</f>
        <v>212.9400000000002</v>
      </c>
      <c r="CA91" s="14">
        <f t="shared" si="93"/>
        <v>52.577528895212915</v>
      </c>
      <c r="CB91" s="22">
        <f t="shared" si="64"/>
        <v>462.44302949249618</v>
      </c>
      <c r="CC91" s="62">
        <f t="shared" si="65"/>
        <v>736.12476186168988</v>
      </c>
      <c r="CD91" s="62">
        <f ca="1">AVERAGE(OFFSET($CC$3,0,0,'Données projet'!$E$12+1,1))-AVERAGE(OFFSET($H$3,0,0,'Données projet'!$E$12+1,1))</f>
        <v>304.39782420428173</v>
      </c>
      <c r="CE91" s="62">
        <f t="shared" si="94"/>
        <v>360.34132229290537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18.747111879544743</v>
      </c>
      <c r="CL91" s="23">
        <f>EXP(-LN(2)/25)*CL90+(1-EXP(-LN(2)/25))/(LN(2)/25)*Calculateur!CG91*Calculateur!CI91*VLOOKUP('Données projet'!$B$12,Paramètres!$A$1:$I$89,3,0)*0.475*44/12</f>
        <v>2.7295181143544158</v>
      </c>
      <c r="CM91" s="23">
        <f>EXP(-LN(2)/2)*CM90+(1-EXP(-LN(2)/2))/(LN(2)/2)*CG91*CJ91*VLOOKUP('Données projet'!$B$12,Paramètres!$A$1:$I$89,3,0)*0.475*44/12</f>
        <v>2.9994651900916479E-4</v>
      </c>
      <c r="CN91" s="24">
        <f t="shared" si="66"/>
        <v>21.47692994041817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1.7053025658242404E-13</v>
      </c>
      <c r="O92" s="14">
        <f>N92*VLOOKUP('Données projet'!$B$9,Paramètres!$A$1:$I$89,3,0)*VLOOKUP('Données projet'!$B$9,Paramètres!$A$1:$I$89,5,0)</f>
        <v>7.9808160080574461E-14</v>
      </c>
      <c r="P92" s="14">
        <f t="shared" si="87"/>
        <v>1.2308384591775343E-12</v>
      </c>
      <c r="Q92" s="22">
        <f t="shared" si="54"/>
        <v>2.282709528541206E-12</v>
      </c>
      <c r="R92" s="62">
        <f t="shared" si="55"/>
        <v>274.02264371152586</v>
      </c>
      <c r="S92" s="62">
        <f ca="1">AVERAGE(OFFSET($R$3,0,0,'Données projet'!$E$9+1,1))-AVERAGE(OFFSET($H$3,0,0,'Données projet'!$E$9+1,1))</f>
        <v>234.81928430389272</v>
      </c>
      <c r="T92" s="62">
        <f t="shared" si="88"/>
        <v>294.47057757403411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49.105943917002911</v>
      </c>
      <c r="AA92" s="23">
        <f>EXP(-LN(2)/25)*AA91+(1-EXP(-LN(2)/25))/(LN(2)/25)*Calculateur!V92*Calculateur!X92*VLOOKUP('Données projet'!$B$9,Paramètres!$A$1:$I$89,3,0)*0.475*44/12</f>
        <v>16.84613823478217</v>
      </c>
      <c r="AB92" s="23">
        <f>EXP(-LN(2)/2)*AB91+(1-EXP(-LN(2)/2))/(LN(2)/2)*V92*Y92*VLOOKUP('Données projet'!$B$9,Paramètres!$A$1:$I$89,3,0)*0.475*44/12</f>
        <v>2.816474085617842E-3</v>
      </c>
      <c r="AC92" s="24">
        <f t="shared" si="57"/>
        <v>65.954898625870698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273.00000000000023</v>
      </c>
      <c r="AJ92" s="14">
        <f>AI92*VLOOKUP('Données projet'!$B$10,Paramètres!$A$1:$I$89,3,0)*VLOOKUP('Données projet'!$B$10,Paramètres!$A$1:$I$89,5,0)</f>
        <v>212.9400000000002</v>
      </c>
      <c r="AK92" s="14">
        <f t="shared" si="89"/>
        <v>52.577528895212915</v>
      </c>
      <c r="AL92" s="22">
        <f t="shared" si="58"/>
        <v>462.44302949249618</v>
      </c>
      <c r="AM92" s="62">
        <f t="shared" si="59"/>
        <v>736.46567320401982</v>
      </c>
      <c r="AN92" s="62">
        <f ca="1">AVERAGE(OFFSET($AM$3,0,0,'Données projet'!$E$10+1,1))-AVERAGE(OFFSET($H$3,0,0,'Données projet'!$E$10+1,1))</f>
        <v>304.39782420428173</v>
      </c>
      <c r="AO92" s="62">
        <f t="shared" si="90"/>
        <v>360.34132229290537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18.379492450196043</v>
      </c>
      <c r="AV92" s="23">
        <f>EXP(-LN(2)/25)*AV91+(1-EXP(-LN(2)/25))/(LN(2)/25)*Calculateur!AQ92*Calculateur!AS92*VLOOKUP('Données projet'!$B$10,Paramètres!$A$1:$I$89,3,0)*0.475*44/12</f>
        <v>2.6548792979782752</v>
      </c>
      <c r="AW92" s="23">
        <f>EXP(-LN(2)/2)*AW91+(1-EXP(-LN(2)/2))/(LN(2)/2)*AQ92*AT92*VLOOKUP('Données projet'!$B$10,Paramètres!$A$1:$I$89,3,0)*0.475*44/12</f>
        <v>2.1209421758468011E-4</v>
      </c>
      <c r="AX92" s="23">
        <f t="shared" si="60"/>
        <v>21.034583842391903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273.00000000000023</v>
      </c>
      <c r="BE92" s="14">
        <f>BD92*VLOOKUP('Données projet'!$B$11,Paramètres!$A$1:$I$89,3,0)*VLOOKUP('Données projet'!$B$11,Paramètres!$A$1:$I$89,5,0)</f>
        <v>212.9400000000002</v>
      </c>
      <c r="BF92" s="14">
        <f t="shared" si="91"/>
        <v>52.577528895212915</v>
      </c>
      <c r="BG92" s="22">
        <f t="shared" si="61"/>
        <v>462.44302949249618</v>
      </c>
      <c r="BH92" s="62">
        <f t="shared" si="62"/>
        <v>736.46567320401982</v>
      </c>
      <c r="BI92" s="62">
        <f ca="1">AVERAGE(OFFSET($BH$3,0,0,'Données projet'!$E$11+1,1))-AVERAGE(OFFSET($H$3,0,0,'Données projet'!$E$11+1,1))</f>
        <v>304.39782420428173</v>
      </c>
      <c r="BJ92" s="62">
        <f t="shared" si="92"/>
        <v>360.34132229290537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18.379492450196043</v>
      </c>
      <c r="BQ92" s="23">
        <f>EXP(-LN(2)/25)*BQ91+(1-EXP(-LN(2)/25))/(LN(2)/25)*Calculateur!BL92*Calculateur!BN92*VLOOKUP('Données projet'!$B$11,Paramètres!$A$1:$I$89,3,0)*0.475*44/12</f>
        <v>2.6548792979782752</v>
      </c>
      <c r="BR92" s="23">
        <f>EXP(-LN(2)/2)*BR91+(1-EXP(-LN(2)/2))/(LN(2)/2)*BL92*BO92*VLOOKUP('Données projet'!$B$11,Paramètres!$A$1:$I$89,3,0)*0.475*44/12</f>
        <v>2.1209421758468011E-4</v>
      </c>
      <c r="BS92" s="24">
        <f t="shared" si="63"/>
        <v>21.034583842391903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273.00000000000023</v>
      </c>
      <c r="BZ92" s="14">
        <f>BY92*VLOOKUP('Données projet'!$B$12,Paramètres!$A$1:$I$89,3,0)*VLOOKUP('Données projet'!$B$12,Paramètres!$A$1:$I$89,5,0)</f>
        <v>212.9400000000002</v>
      </c>
      <c r="CA92" s="14">
        <f t="shared" si="93"/>
        <v>52.577528895212915</v>
      </c>
      <c r="CB92" s="22">
        <f t="shared" si="64"/>
        <v>462.44302949249618</v>
      </c>
      <c r="CC92" s="62">
        <f t="shared" si="65"/>
        <v>736.46567320401982</v>
      </c>
      <c r="CD92" s="62">
        <f ca="1">AVERAGE(OFFSET($CC$3,0,0,'Données projet'!$E$12+1,1))-AVERAGE(OFFSET($H$3,0,0,'Données projet'!$E$12+1,1))</f>
        <v>304.39782420428173</v>
      </c>
      <c r="CE92" s="62">
        <f t="shared" si="94"/>
        <v>360.34132229290537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18.379492450196043</v>
      </c>
      <c r="CL92" s="23">
        <f>EXP(-LN(2)/25)*CL91+(1-EXP(-LN(2)/25))/(LN(2)/25)*Calculateur!CG92*Calculateur!CI92*VLOOKUP('Données projet'!$B$12,Paramètres!$A$1:$I$89,3,0)*0.475*44/12</f>
        <v>2.6548792979782752</v>
      </c>
      <c r="CM92" s="23">
        <f>EXP(-LN(2)/2)*CM91+(1-EXP(-LN(2)/2))/(LN(2)/2)*CG92*CJ92*VLOOKUP('Données projet'!$B$12,Paramètres!$A$1:$I$89,3,0)*0.475*44/12</f>
        <v>2.1209421758468011E-4</v>
      </c>
      <c r="CN92" s="24">
        <f t="shared" si="66"/>
        <v>21.034583842391903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1.7053025658242404E-13</v>
      </c>
      <c r="O93" s="14">
        <f>N93*VLOOKUP('Données projet'!$B$9,Paramètres!$A$1:$I$89,3,0)*VLOOKUP('Données projet'!$B$9,Paramètres!$A$1:$I$89,5,0)</f>
        <v>7.9808160080574461E-14</v>
      </c>
      <c r="P93" s="14">
        <f t="shared" si="87"/>
        <v>1.2308384591775343E-12</v>
      </c>
      <c r="Q93" s="22">
        <f t="shared" si="54"/>
        <v>2.282709528541206E-12</v>
      </c>
      <c r="R93" s="62">
        <f t="shared" si="55"/>
        <v>274.35764100422995</v>
      </c>
      <c r="S93" s="62">
        <f ca="1">AVERAGE(OFFSET($R$3,0,0,'Données projet'!$E$9+1,1))-AVERAGE(OFFSET($H$3,0,0,'Données projet'!$E$9+1,1))</f>
        <v>234.81928430389272</v>
      </c>
      <c r="T93" s="62">
        <f t="shared" si="88"/>
        <v>294.47057757403411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48.143006308458794</v>
      </c>
      <c r="AA93" s="23">
        <f>EXP(-LN(2)/25)*AA92+(1-EXP(-LN(2)/25))/(LN(2)/25)*Calculateur!V93*Calculateur!X93*VLOOKUP('Données projet'!$B$9,Paramètres!$A$1:$I$89,3,0)*0.475*44/12</f>
        <v>16.385479698852144</v>
      </c>
      <c r="AB93" s="23">
        <f>EXP(-LN(2)/2)*AB92+(1-EXP(-LN(2)/2))/(LN(2)/2)*V93*Y93*VLOOKUP('Données projet'!$B$9,Paramètres!$A$1:$I$89,3,0)*0.475*44/12</f>
        <v>1.9915479249765569E-3</v>
      </c>
      <c r="AC93" s="24">
        <f t="shared" si="57"/>
        <v>64.530477555235905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273.00000000000023</v>
      </c>
      <c r="AJ93" s="14">
        <f>AI93*VLOOKUP('Données projet'!$B$10,Paramètres!$A$1:$I$89,3,0)*VLOOKUP('Données projet'!$B$10,Paramètres!$A$1:$I$89,5,0)</f>
        <v>212.9400000000002</v>
      </c>
      <c r="AK93" s="14">
        <f t="shared" si="89"/>
        <v>52.577528895212915</v>
      </c>
      <c r="AL93" s="22">
        <f t="shared" si="58"/>
        <v>462.44302949249618</v>
      </c>
      <c r="AM93" s="62">
        <f t="shared" si="59"/>
        <v>736.8006704967238</v>
      </c>
      <c r="AN93" s="62">
        <f ca="1">AVERAGE(OFFSET($AM$3,0,0,'Données projet'!$E$10+1,1))-AVERAGE(OFFSET($H$3,0,0,'Données projet'!$E$10+1,1))</f>
        <v>304.39782420428173</v>
      </c>
      <c r="AO93" s="62">
        <f t="shared" si="90"/>
        <v>360.34132229290537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18.019081813631161</v>
      </c>
      <c r="AV93" s="23">
        <f>EXP(-LN(2)/25)*AV92+(1-EXP(-LN(2)/25))/(LN(2)/25)*Calculateur!AQ93*Calculateur!AS93*VLOOKUP('Données projet'!$B$10,Paramètres!$A$1:$I$89,3,0)*0.475*44/12</f>
        <v>2.5822814839610246</v>
      </c>
      <c r="AW93" s="23">
        <f>EXP(-LN(2)/2)*AW92+(1-EXP(-LN(2)/2))/(LN(2)/2)*AQ93*AT93*VLOOKUP('Données projet'!$B$10,Paramètres!$A$1:$I$89,3,0)*0.475*44/12</f>
        <v>1.499732595045824E-4</v>
      </c>
      <c r="AX93" s="23">
        <f t="shared" si="60"/>
        <v>20.60151327085169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273.00000000000023</v>
      </c>
      <c r="BE93" s="14">
        <f>BD93*VLOOKUP('Données projet'!$B$11,Paramètres!$A$1:$I$89,3,0)*VLOOKUP('Données projet'!$B$11,Paramètres!$A$1:$I$89,5,0)</f>
        <v>212.9400000000002</v>
      </c>
      <c r="BF93" s="14">
        <f t="shared" si="91"/>
        <v>52.577528895212915</v>
      </c>
      <c r="BG93" s="22">
        <f t="shared" si="61"/>
        <v>462.44302949249618</v>
      </c>
      <c r="BH93" s="62">
        <f t="shared" si="62"/>
        <v>736.8006704967238</v>
      </c>
      <c r="BI93" s="62">
        <f ca="1">AVERAGE(OFFSET($BH$3,0,0,'Données projet'!$E$11+1,1))-AVERAGE(OFFSET($H$3,0,0,'Données projet'!$E$11+1,1))</f>
        <v>304.39782420428173</v>
      </c>
      <c r="BJ93" s="62">
        <f t="shared" si="92"/>
        <v>360.34132229290537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18.019081813631161</v>
      </c>
      <c r="BQ93" s="23">
        <f>EXP(-LN(2)/25)*BQ92+(1-EXP(-LN(2)/25))/(LN(2)/25)*Calculateur!BL93*Calculateur!BN93*VLOOKUP('Données projet'!$B$11,Paramètres!$A$1:$I$89,3,0)*0.475*44/12</f>
        <v>2.5822814839610246</v>
      </c>
      <c r="BR93" s="23">
        <f>EXP(-LN(2)/2)*BR92+(1-EXP(-LN(2)/2))/(LN(2)/2)*BL93*BO93*VLOOKUP('Données projet'!$B$11,Paramètres!$A$1:$I$89,3,0)*0.475*44/12</f>
        <v>1.499732595045824E-4</v>
      </c>
      <c r="BS93" s="24">
        <f t="shared" si="63"/>
        <v>20.60151327085169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273.00000000000023</v>
      </c>
      <c r="BZ93" s="14">
        <f>BY93*VLOOKUP('Données projet'!$B$12,Paramètres!$A$1:$I$89,3,0)*VLOOKUP('Données projet'!$B$12,Paramètres!$A$1:$I$89,5,0)</f>
        <v>212.9400000000002</v>
      </c>
      <c r="CA93" s="14">
        <f t="shared" si="93"/>
        <v>52.577528895212915</v>
      </c>
      <c r="CB93" s="22">
        <f t="shared" si="64"/>
        <v>462.44302949249618</v>
      </c>
      <c r="CC93" s="62">
        <f t="shared" si="65"/>
        <v>736.8006704967238</v>
      </c>
      <c r="CD93" s="62">
        <f ca="1">AVERAGE(OFFSET($CC$3,0,0,'Données projet'!$E$12+1,1))-AVERAGE(OFFSET($H$3,0,0,'Données projet'!$E$12+1,1))</f>
        <v>304.39782420428173</v>
      </c>
      <c r="CE93" s="62">
        <f t="shared" si="94"/>
        <v>360.34132229290537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18.019081813631161</v>
      </c>
      <c r="CL93" s="23">
        <f>EXP(-LN(2)/25)*CL92+(1-EXP(-LN(2)/25))/(LN(2)/25)*Calculateur!CG93*Calculateur!CI93*VLOOKUP('Données projet'!$B$12,Paramètres!$A$1:$I$89,3,0)*0.475*44/12</f>
        <v>2.5822814839610246</v>
      </c>
      <c r="CM93" s="23">
        <f>EXP(-LN(2)/2)*CM92+(1-EXP(-LN(2)/2))/(LN(2)/2)*CG93*CJ93*VLOOKUP('Données projet'!$B$12,Paramètres!$A$1:$I$89,3,0)*0.475*44/12</f>
        <v>1.499732595045824E-4</v>
      </c>
      <c r="CN93" s="24">
        <f t="shared" si="66"/>
        <v>20.60151327085169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1.7053025658242404E-13</v>
      </c>
      <c r="O94" s="14">
        <f>N94*VLOOKUP('Données projet'!$B$9,Paramètres!$A$1:$I$89,3,0)*VLOOKUP('Données projet'!$B$9,Paramètres!$A$1:$I$89,5,0)</f>
        <v>7.9808160080574461E-14</v>
      </c>
      <c r="P94" s="14">
        <f t="shared" si="87"/>
        <v>1.2308384591775343E-12</v>
      </c>
      <c r="Q94" s="22">
        <f t="shared" si="54"/>
        <v>2.282709528541206E-12</v>
      </c>
      <c r="R94" s="62">
        <f t="shared" si="55"/>
        <v>274.68682684284732</v>
      </c>
      <c r="S94" s="62">
        <f ca="1">AVERAGE(OFFSET($R$3,0,0,'Données projet'!$E$9+1,1))-AVERAGE(OFFSET($H$3,0,0,'Données projet'!$E$9+1,1))</f>
        <v>234.81928430389272</v>
      </c>
      <c r="T94" s="62">
        <f t="shared" si="88"/>
        <v>294.47057757403411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47.19895131908428</v>
      </c>
      <c r="AA94" s="23">
        <f>EXP(-LN(2)/25)*AA93+(1-EXP(-LN(2)/25))/(LN(2)/25)*Calculateur!V94*Calculateur!X94*VLOOKUP('Données projet'!$B$9,Paramètres!$A$1:$I$89,3,0)*0.475*44/12</f>
        <v>15.937417894812105</v>
      </c>
      <c r="AB94" s="23">
        <f>EXP(-LN(2)/2)*AB93+(1-EXP(-LN(2)/2))/(LN(2)/2)*V94*Y94*VLOOKUP('Données projet'!$B$9,Paramètres!$A$1:$I$89,3,0)*0.475*44/12</f>
        <v>1.408237042808921E-3</v>
      </c>
      <c r="AC94" s="24">
        <f t="shared" si="57"/>
        <v>63.137777450939197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273.00000000000023</v>
      </c>
      <c r="AJ94" s="14">
        <f>AI94*VLOOKUP('Données projet'!$B$10,Paramètres!$A$1:$I$89,3,0)*VLOOKUP('Données projet'!$B$10,Paramètres!$A$1:$I$89,5,0)</f>
        <v>212.9400000000002</v>
      </c>
      <c r="AK94" s="14">
        <f t="shared" si="89"/>
        <v>52.577528895212915</v>
      </c>
      <c r="AL94" s="22">
        <f t="shared" si="58"/>
        <v>462.44302949249618</v>
      </c>
      <c r="AM94" s="62">
        <f t="shared" si="59"/>
        <v>737.12985633534117</v>
      </c>
      <c r="AN94" s="62">
        <f ca="1">AVERAGE(OFFSET($AM$3,0,0,'Données projet'!$E$10+1,1))-AVERAGE(OFFSET($H$3,0,0,'Données projet'!$E$10+1,1))</f>
        <v>304.39782420428173</v>
      </c>
      <c r="AO94" s="62">
        <f t="shared" si="90"/>
        <v>360.34132229290537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17.665738609820533</v>
      </c>
      <c r="AV94" s="23">
        <f>EXP(-LN(2)/25)*AV93+(1-EXP(-LN(2)/25))/(LN(2)/25)*Calculateur!AQ94*Calculateur!AS94*VLOOKUP('Données projet'!$B$10,Paramètres!$A$1:$I$89,3,0)*0.475*44/12</f>
        <v>2.5116688609858291</v>
      </c>
      <c r="AW94" s="23">
        <f>EXP(-LN(2)/2)*AW93+(1-EXP(-LN(2)/2))/(LN(2)/2)*AQ94*AT94*VLOOKUP('Données projet'!$B$10,Paramètres!$A$1:$I$89,3,0)*0.475*44/12</f>
        <v>1.0604710879234006E-4</v>
      </c>
      <c r="AX94" s="23">
        <f t="shared" si="60"/>
        <v>20.177513517915155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273.00000000000023</v>
      </c>
      <c r="BE94" s="14">
        <f>BD94*VLOOKUP('Données projet'!$B$11,Paramètres!$A$1:$I$89,3,0)*VLOOKUP('Données projet'!$B$11,Paramètres!$A$1:$I$89,5,0)</f>
        <v>212.9400000000002</v>
      </c>
      <c r="BF94" s="14">
        <f t="shared" si="91"/>
        <v>52.577528895212915</v>
      </c>
      <c r="BG94" s="22">
        <f t="shared" si="61"/>
        <v>462.44302949249618</v>
      </c>
      <c r="BH94" s="62">
        <f t="shared" si="62"/>
        <v>737.12985633534117</v>
      </c>
      <c r="BI94" s="62">
        <f ca="1">AVERAGE(OFFSET($BH$3,0,0,'Données projet'!$E$11+1,1))-AVERAGE(OFFSET($H$3,0,0,'Données projet'!$E$11+1,1))</f>
        <v>304.39782420428173</v>
      </c>
      <c r="BJ94" s="62">
        <f t="shared" si="92"/>
        <v>360.34132229290537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17.665738609820533</v>
      </c>
      <c r="BQ94" s="23">
        <f>EXP(-LN(2)/25)*BQ93+(1-EXP(-LN(2)/25))/(LN(2)/25)*Calculateur!BL94*Calculateur!BN94*VLOOKUP('Données projet'!$B$11,Paramètres!$A$1:$I$89,3,0)*0.475*44/12</f>
        <v>2.5116688609858291</v>
      </c>
      <c r="BR94" s="23">
        <f>EXP(-LN(2)/2)*BR93+(1-EXP(-LN(2)/2))/(LN(2)/2)*BL94*BO94*VLOOKUP('Données projet'!$B$11,Paramètres!$A$1:$I$89,3,0)*0.475*44/12</f>
        <v>1.0604710879234006E-4</v>
      </c>
      <c r="BS94" s="24">
        <f t="shared" si="63"/>
        <v>20.177513517915155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273.00000000000023</v>
      </c>
      <c r="BZ94" s="14">
        <f>BY94*VLOOKUP('Données projet'!$B$12,Paramètres!$A$1:$I$89,3,0)*VLOOKUP('Données projet'!$B$12,Paramètres!$A$1:$I$89,5,0)</f>
        <v>212.9400000000002</v>
      </c>
      <c r="CA94" s="14">
        <f t="shared" si="93"/>
        <v>52.577528895212915</v>
      </c>
      <c r="CB94" s="22">
        <f t="shared" si="64"/>
        <v>462.44302949249618</v>
      </c>
      <c r="CC94" s="62">
        <f t="shared" si="65"/>
        <v>737.12985633534117</v>
      </c>
      <c r="CD94" s="62">
        <f ca="1">AVERAGE(OFFSET($CC$3,0,0,'Données projet'!$E$12+1,1))-AVERAGE(OFFSET($H$3,0,0,'Données projet'!$E$12+1,1))</f>
        <v>304.39782420428173</v>
      </c>
      <c r="CE94" s="62">
        <f t="shared" si="94"/>
        <v>360.34132229290537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17.665738609820533</v>
      </c>
      <c r="CL94" s="23">
        <f>EXP(-LN(2)/25)*CL93+(1-EXP(-LN(2)/25))/(LN(2)/25)*Calculateur!CG94*Calculateur!CI94*VLOOKUP('Données projet'!$B$12,Paramètres!$A$1:$I$89,3,0)*0.475*44/12</f>
        <v>2.5116688609858291</v>
      </c>
      <c r="CM94" s="23">
        <f>EXP(-LN(2)/2)*CM93+(1-EXP(-LN(2)/2))/(LN(2)/2)*CG94*CJ94*VLOOKUP('Données projet'!$B$12,Paramètres!$A$1:$I$89,3,0)*0.475*44/12</f>
        <v>1.0604710879234006E-4</v>
      </c>
      <c r="CN94" s="24">
        <f t="shared" si="66"/>
        <v>20.177513517915155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1.7053025658242404E-13</v>
      </c>
      <c r="O95" s="14">
        <f>N95*VLOOKUP('Données projet'!$B$9,Paramètres!$A$1:$I$89,3,0)*VLOOKUP('Données projet'!$B$9,Paramètres!$A$1:$I$89,5,0)</f>
        <v>7.9808160080574461E-14</v>
      </c>
      <c r="P95" s="14">
        <f t="shared" si="87"/>
        <v>1.2308384591775343E-12</v>
      </c>
      <c r="Q95" s="22">
        <f t="shared" si="54"/>
        <v>2.282709528541206E-12</v>
      </c>
      <c r="R95" s="62">
        <f t="shared" si="55"/>
        <v>275.010302043114</v>
      </c>
      <c r="S95" s="62">
        <f ca="1">AVERAGE(OFFSET($R$3,0,0,'Données projet'!$E$9+1,1))-AVERAGE(OFFSET($H$3,0,0,'Données projet'!$E$9+1,1))</f>
        <v>234.81928430389272</v>
      </c>
      <c r="T95" s="62">
        <f t="shared" si="88"/>
        <v>294.47057757403411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46.273408672234709</v>
      </c>
      <c r="AA95" s="23">
        <f>EXP(-LN(2)/25)*AA94+(1-EXP(-LN(2)/25))/(LN(2)/25)*Calculateur!V95*Calculateur!X95*VLOOKUP('Données projet'!$B$9,Paramètres!$A$1:$I$89,3,0)*0.475*44/12</f>
        <v>15.501608364366087</v>
      </c>
      <c r="AB95" s="23">
        <f>EXP(-LN(2)/2)*AB94+(1-EXP(-LN(2)/2))/(LN(2)/2)*V95*Y95*VLOOKUP('Données projet'!$B$9,Paramètres!$A$1:$I$89,3,0)*0.475*44/12</f>
        <v>9.9577396248827846E-4</v>
      </c>
      <c r="AC95" s="24">
        <f t="shared" si="57"/>
        <v>61.77601281056328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273.00000000000023</v>
      </c>
      <c r="AJ95" s="14">
        <f>AI95*VLOOKUP('Données projet'!$B$10,Paramètres!$A$1:$I$89,3,0)*VLOOKUP('Données projet'!$B$10,Paramètres!$A$1:$I$89,5,0)</f>
        <v>212.9400000000002</v>
      </c>
      <c r="AK95" s="14">
        <f t="shared" si="89"/>
        <v>52.577528895212915</v>
      </c>
      <c r="AL95" s="22">
        <f t="shared" si="58"/>
        <v>462.44302949249618</v>
      </c>
      <c r="AM95" s="62">
        <f t="shared" si="59"/>
        <v>737.45333153560796</v>
      </c>
      <c r="AN95" s="62">
        <f ca="1">AVERAGE(OFFSET($AM$3,0,0,'Données projet'!$E$10+1,1))-AVERAGE(OFFSET($H$3,0,0,'Données projet'!$E$10+1,1))</f>
        <v>304.39782420428173</v>
      </c>
      <c r="AO95" s="62">
        <f t="shared" si="90"/>
        <v>360.34132229290537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17.319324250718559</v>
      </c>
      <c r="AV95" s="23">
        <f>EXP(-LN(2)/25)*AV94+(1-EXP(-LN(2)/25))/(LN(2)/25)*Calculateur!AQ95*Calculateur!AS95*VLOOKUP('Données projet'!$B$10,Paramètres!$A$1:$I$89,3,0)*0.475*44/12</f>
        <v>2.4429871438992468</v>
      </c>
      <c r="AW95" s="23">
        <f>EXP(-LN(2)/2)*AW94+(1-EXP(-LN(2)/2))/(LN(2)/2)*AQ95*AT95*VLOOKUP('Données projet'!$B$10,Paramètres!$A$1:$I$89,3,0)*0.475*44/12</f>
        <v>7.4986629752291198E-5</v>
      </c>
      <c r="AX95" s="23">
        <f t="shared" si="60"/>
        <v>19.762386381247556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273.00000000000023</v>
      </c>
      <c r="BE95" s="14">
        <f>BD95*VLOOKUP('Données projet'!$B$11,Paramètres!$A$1:$I$89,3,0)*VLOOKUP('Données projet'!$B$11,Paramètres!$A$1:$I$89,5,0)</f>
        <v>212.9400000000002</v>
      </c>
      <c r="BF95" s="14">
        <f t="shared" si="91"/>
        <v>52.577528895212915</v>
      </c>
      <c r="BG95" s="22">
        <f t="shared" si="61"/>
        <v>462.44302949249618</v>
      </c>
      <c r="BH95" s="62">
        <f t="shared" si="62"/>
        <v>737.45333153560796</v>
      </c>
      <c r="BI95" s="62">
        <f ca="1">AVERAGE(OFFSET($BH$3,0,0,'Données projet'!$E$11+1,1))-AVERAGE(OFFSET($H$3,0,0,'Données projet'!$E$11+1,1))</f>
        <v>304.39782420428173</v>
      </c>
      <c r="BJ95" s="62">
        <f t="shared" si="92"/>
        <v>360.34132229290537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17.319324250718559</v>
      </c>
      <c r="BQ95" s="23">
        <f>EXP(-LN(2)/25)*BQ94+(1-EXP(-LN(2)/25))/(LN(2)/25)*Calculateur!BL95*Calculateur!BN95*VLOOKUP('Données projet'!$B$11,Paramètres!$A$1:$I$89,3,0)*0.475*44/12</f>
        <v>2.4429871438992468</v>
      </c>
      <c r="BR95" s="23">
        <f>EXP(-LN(2)/2)*BR94+(1-EXP(-LN(2)/2))/(LN(2)/2)*BL95*BO95*VLOOKUP('Données projet'!$B$11,Paramètres!$A$1:$I$89,3,0)*0.475*44/12</f>
        <v>7.4986629752291198E-5</v>
      </c>
      <c r="BS95" s="24">
        <f t="shared" si="63"/>
        <v>19.762386381247556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273.00000000000023</v>
      </c>
      <c r="BZ95" s="14">
        <f>BY95*VLOOKUP('Données projet'!$B$12,Paramètres!$A$1:$I$89,3,0)*VLOOKUP('Données projet'!$B$12,Paramètres!$A$1:$I$89,5,0)</f>
        <v>212.9400000000002</v>
      </c>
      <c r="CA95" s="14">
        <f t="shared" si="93"/>
        <v>52.577528895212915</v>
      </c>
      <c r="CB95" s="22">
        <f t="shared" si="64"/>
        <v>462.44302949249618</v>
      </c>
      <c r="CC95" s="62">
        <f t="shared" si="65"/>
        <v>737.45333153560796</v>
      </c>
      <c r="CD95" s="62">
        <f ca="1">AVERAGE(OFFSET($CC$3,0,0,'Données projet'!$E$12+1,1))-AVERAGE(OFFSET($H$3,0,0,'Données projet'!$E$12+1,1))</f>
        <v>304.39782420428173</v>
      </c>
      <c r="CE95" s="62">
        <f t="shared" si="94"/>
        <v>360.34132229290537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17.319324250718559</v>
      </c>
      <c r="CL95" s="23">
        <f>EXP(-LN(2)/25)*CL94+(1-EXP(-LN(2)/25))/(LN(2)/25)*Calculateur!CG95*Calculateur!CI95*VLOOKUP('Données projet'!$B$12,Paramètres!$A$1:$I$89,3,0)*0.475*44/12</f>
        <v>2.4429871438992468</v>
      </c>
      <c r="CM95" s="23">
        <f>EXP(-LN(2)/2)*CM94+(1-EXP(-LN(2)/2))/(LN(2)/2)*CG95*CJ95*VLOOKUP('Données projet'!$B$12,Paramètres!$A$1:$I$89,3,0)*0.475*44/12</f>
        <v>7.4986629752291198E-5</v>
      </c>
      <c r="CN95" s="24">
        <f t="shared" si="66"/>
        <v>19.762386381247556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1.7053025658242404E-13</v>
      </c>
      <c r="O96" s="14">
        <f>N96*VLOOKUP('Données projet'!$B$9,Paramètres!$A$1:$I$89,3,0)*VLOOKUP('Données projet'!$B$9,Paramètres!$A$1:$I$89,5,0)</f>
        <v>7.9808160080574461E-14</v>
      </c>
      <c r="P96" s="14">
        <f t="shared" si="87"/>
        <v>1.2308384591775343E-12</v>
      </c>
      <c r="Q96" s="22">
        <f t="shared" si="54"/>
        <v>2.282709528541206E-12</v>
      </c>
      <c r="R96" s="62">
        <f t="shared" si="55"/>
        <v>275.32816567183824</v>
      </c>
      <c r="S96" s="62">
        <f ca="1">AVERAGE(OFFSET($R$3,0,0,'Données projet'!$E$9+1,1))-AVERAGE(OFFSET($H$3,0,0,'Données projet'!$E$9+1,1))</f>
        <v>234.81928430389272</v>
      </c>
      <c r="T96" s="62">
        <f t="shared" si="88"/>
        <v>294.47057757403411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45.366015352164588</v>
      </c>
      <c r="AA96" s="23">
        <f>EXP(-LN(2)/25)*AA95+(1-EXP(-LN(2)/25))/(LN(2)/25)*Calculateur!V96*Calculateur!X96*VLOOKUP('Données projet'!$B$9,Paramètres!$A$1:$I$89,3,0)*0.475*44/12</f>
        <v>15.077716068448341</v>
      </c>
      <c r="AB96" s="23">
        <f>EXP(-LN(2)/2)*AB95+(1-EXP(-LN(2)/2))/(LN(2)/2)*V96*Y96*VLOOKUP('Données projet'!$B$9,Paramètres!$A$1:$I$89,3,0)*0.475*44/12</f>
        <v>7.0411852140446051E-4</v>
      </c>
      <c r="AC96" s="24">
        <f t="shared" si="57"/>
        <v>60.444435539134332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273.00000000000023</v>
      </c>
      <c r="AJ96" s="14">
        <f>AI96*VLOOKUP('Données projet'!$B$10,Paramètres!$A$1:$I$89,3,0)*VLOOKUP('Données projet'!$B$10,Paramètres!$A$1:$I$89,5,0)</f>
        <v>212.9400000000002</v>
      </c>
      <c r="AK96" s="14">
        <f t="shared" si="89"/>
        <v>52.577528895212915</v>
      </c>
      <c r="AL96" s="22">
        <f t="shared" si="58"/>
        <v>462.44302949249618</v>
      </c>
      <c r="AM96" s="62">
        <f t="shared" si="59"/>
        <v>737.77119516433208</v>
      </c>
      <c r="AN96" s="62">
        <f ca="1">AVERAGE(OFFSET($AM$3,0,0,'Données projet'!$E$10+1,1))-AVERAGE(OFFSET($H$3,0,0,'Données projet'!$E$10+1,1))</f>
        <v>304.39782420428173</v>
      </c>
      <c r="AO96" s="62">
        <f t="shared" si="90"/>
        <v>360.34132229290537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16.979702865906678</v>
      </c>
      <c r="AV96" s="23">
        <f>EXP(-LN(2)/25)*AV95+(1-EXP(-LN(2)/25))/(LN(2)/25)*Calculateur!AQ96*Calculateur!AS96*VLOOKUP('Données projet'!$B$10,Paramètres!$A$1:$I$89,3,0)*0.475*44/12</f>
        <v>2.3761835319782114</v>
      </c>
      <c r="AW96" s="23">
        <f>EXP(-LN(2)/2)*AW95+(1-EXP(-LN(2)/2))/(LN(2)/2)*AQ96*AT96*VLOOKUP('Données projet'!$B$10,Paramètres!$A$1:$I$89,3,0)*0.475*44/12</f>
        <v>5.3023554396170028E-5</v>
      </c>
      <c r="AX96" s="23">
        <f t="shared" si="60"/>
        <v>19.355939421439285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273.00000000000023</v>
      </c>
      <c r="BE96" s="14">
        <f>BD96*VLOOKUP('Données projet'!$B$11,Paramètres!$A$1:$I$89,3,0)*VLOOKUP('Données projet'!$B$11,Paramètres!$A$1:$I$89,5,0)</f>
        <v>212.9400000000002</v>
      </c>
      <c r="BF96" s="14">
        <f t="shared" si="91"/>
        <v>52.577528895212915</v>
      </c>
      <c r="BG96" s="22">
        <f t="shared" si="61"/>
        <v>462.44302949249618</v>
      </c>
      <c r="BH96" s="62">
        <f t="shared" si="62"/>
        <v>737.77119516433208</v>
      </c>
      <c r="BI96" s="62">
        <f ca="1">AVERAGE(OFFSET($BH$3,0,0,'Données projet'!$E$11+1,1))-AVERAGE(OFFSET($H$3,0,0,'Données projet'!$E$11+1,1))</f>
        <v>304.39782420428173</v>
      </c>
      <c r="BJ96" s="62">
        <f t="shared" si="92"/>
        <v>360.34132229290537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16.979702865906678</v>
      </c>
      <c r="BQ96" s="23">
        <f>EXP(-LN(2)/25)*BQ95+(1-EXP(-LN(2)/25))/(LN(2)/25)*Calculateur!BL96*Calculateur!BN96*VLOOKUP('Données projet'!$B$11,Paramètres!$A$1:$I$89,3,0)*0.475*44/12</f>
        <v>2.3761835319782114</v>
      </c>
      <c r="BR96" s="23">
        <f>EXP(-LN(2)/2)*BR95+(1-EXP(-LN(2)/2))/(LN(2)/2)*BL96*BO96*VLOOKUP('Données projet'!$B$11,Paramètres!$A$1:$I$89,3,0)*0.475*44/12</f>
        <v>5.3023554396170028E-5</v>
      </c>
      <c r="BS96" s="24">
        <f t="shared" si="63"/>
        <v>19.355939421439285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273.00000000000023</v>
      </c>
      <c r="BZ96" s="14">
        <f>BY96*VLOOKUP('Données projet'!$B$12,Paramètres!$A$1:$I$89,3,0)*VLOOKUP('Données projet'!$B$12,Paramètres!$A$1:$I$89,5,0)</f>
        <v>212.9400000000002</v>
      </c>
      <c r="CA96" s="14">
        <f t="shared" si="93"/>
        <v>52.577528895212915</v>
      </c>
      <c r="CB96" s="22">
        <f t="shared" si="64"/>
        <v>462.44302949249618</v>
      </c>
      <c r="CC96" s="62">
        <f t="shared" si="65"/>
        <v>737.77119516433208</v>
      </c>
      <c r="CD96" s="62">
        <f ca="1">AVERAGE(OFFSET($CC$3,0,0,'Données projet'!$E$12+1,1))-AVERAGE(OFFSET($H$3,0,0,'Données projet'!$E$12+1,1))</f>
        <v>304.39782420428173</v>
      </c>
      <c r="CE96" s="62">
        <f t="shared" si="94"/>
        <v>360.34132229290537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16.979702865906678</v>
      </c>
      <c r="CL96" s="23">
        <f>EXP(-LN(2)/25)*CL95+(1-EXP(-LN(2)/25))/(LN(2)/25)*Calculateur!CG96*Calculateur!CI96*VLOOKUP('Données projet'!$B$12,Paramètres!$A$1:$I$89,3,0)*0.475*44/12</f>
        <v>2.3761835319782114</v>
      </c>
      <c r="CM96" s="23">
        <f>EXP(-LN(2)/2)*CM95+(1-EXP(-LN(2)/2))/(LN(2)/2)*CG96*CJ96*VLOOKUP('Données projet'!$B$12,Paramètres!$A$1:$I$89,3,0)*0.475*44/12</f>
        <v>5.3023554396170028E-5</v>
      </c>
      <c r="CN96" s="24">
        <f t="shared" si="66"/>
        <v>19.355939421439285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1.7053025658242404E-13</v>
      </c>
      <c r="O97" s="14">
        <f>N97*VLOOKUP('Données projet'!$B$9,Paramètres!$A$1:$I$89,3,0)*VLOOKUP('Données projet'!$B$9,Paramètres!$A$1:$I$89,5,0)</f>
        <v>7.9808160080574461E-14</v>
      </c>
      <c r="P97" s="14">
        <f t="shared" si="87"/>
        <v>1.2308384591775343E-12</v>
      </c>
      <c r="Q97" s="22">
        <f t="shared" si="54"/>
        <v>2.282709528541206E-12</v>
      </c>
      <c r="R97" s="62">
        <f t="shared" si="55"/>
        <v>275.64051507724076</v>
      </c>
      <c r="S97" s="62">
        <f ca="1">AVERAGE(OFFSET($R$3,0,0,'Données projet'!$E$9+1,1))-AVERAGE(OFFSET($H$3,0,0,'Données projet'!$E$9+1,1))</f>
        <v>234.81928430389272</v>
      </c>
      <c r="T97" s="62">
        <f t="shared" si="88"/>
        <v>294.47057757403411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44.476415461645765</v>
      </c>
      <c r="AA97" s="23">
        <f>EXP(-LN(2)/25)*AA96+(1-EXP(-LN(2)/25))/(LN(2)/25)*Calculateur!V97*Calculateur!X97*VLOOKUP('Données projet'!$B$9,Paramètres!$A$1:$I$89,3,0)*0.475*44/12</f>
        <v>14.665415129653994</v>
      </c>
      <c r="AB97" s="23">
        <f>EXP(-LN(2)/2)*AB96+(1-EXP(-LN(2)/2))/(LN(2)/2)*V97*Y97*VLOOKUP('Données projet'!$B$9,Paramètres!$A$1:$I$89,3,0)*0.475*44/12</f>
        <v>4.9788698124413923E-4</v>
      </c>
      <c r="AC97" s="24">
        <f t="shared" si="57"/>
        <v>59.142328478281001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273.00000000000023</v>
      </c>
      <c r="AJ97" s="14">
        <f>AI97*VLOOKUP('Données projet'!$B$10,Paramètres!$A$1:$I$89,3,0)*VLOOKUP('Données projet'!$B$10,Paramètres!$A$1:$I$89,5,0)</f>
        <v>212.9400000000002</v>
      </c>
      <c r="AK97" s="14">
        <f t="shared" si="89"/>
        <v>52.577528895212915</v>
      </c>
      <c r="AL97" s="22">
        <f t="shared" si="58"/>
        <v>462.44302949249618</v>
      </c>
      <c r="AM97" s="62">
        <f t="shared" si="59"/>
        <v>738.08354456973461</v>
      </c>
      <c r="AN97" s="62">
        <f ca="1">AVERAGE(OFFSET($AM$3,0,0,'Données projet'!$E$10+1,1))-AVERAGE(OFFSET($H$3,0,0,'Données projet'!$E$10+1,1))</f>
        <v>304.39782420428173</v>
      </c>
      <c r="AO97" s="62">
        <f t="shared" si="90"/>
        <v>360.34132229290537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16.646741249302366</v>
      </c>
      <c r="AV97" s="23">
        <f>EXP(-LN(2)/25)*AV96+(1-EXP(-LN(2)/25))/(LN(2)/25)*Calculateur!AQ97*Calculateur!AS97*VLOOKUP('Données projet'!$B$10,Paramètres!$A$1:$I$89,3,0)*0.475*44/12</f>
        <v>2.311206668338206</v>
      </c>
      <c r="AW97" s="23">
        <f>EXP(-LN(2)/2)*AW96+(1-EXP(-LN(2)/2))/(LN(2)/2)*AQ97*AT97*VLOOKUP('Données projet'!$B$10,Paramètres!$A$1:$I$89,3,0)*0.475*44/12</f>
        <v>3.7493314876145599E-5</v>
      </c>
      <c r="AX97" s="23">
        <f t="shared" si="60"/>
        <v>18.957985410955448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273.00000000000023</v>
      </c>
      <c r="BE97" s="14">
        <f>BD97*VLOOKUP('Données projet'!$B$11,Paramètres!$A$1:$I$89,3,0)*VLOOKUP('Données projet'!$B$11,Paramètres!$A$1:$I$89,5,0)</f>
        <v>212.9400000000002</v>
      </c>
      <c r="BF97" s="14">
        <f t="shared" si="91"/>
        <v>52.577528895212915</v>
      </c>
      <c r="BG97" s="22">
        <f t="shared" si="61"/>
        <v>462.44302949249618</v>
      </c>
      <c r="BH97" s="62">
        <f t="shared" si="62"/>
        <v>738.08354456973461</v>
      </c>
      <c r="BI97" s="62">
        <f ca="1">AVERAGE(OFFSET($BH$3,0,0,'Données projet'!$E$11+1,1))-AVERAGE(OFFSET($H$3,0,0,'Données projet'!$E$11+1,1))</f>
        <v>304.39782420428173</v>
      </c>
      <c r="BJ97" s="62">
        <f t="shared" si="92"/>
        <v>360.34132229290537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16.646741249302366</v>
      </c>
      <c r="BQ97" s="23">
        <f>EXP(-LN(2)/25)*BQ96+(1-EXP(-LN(2)/25))/(LN(2)/25)*Calculateur!BL97*Calculateur!BN97*VLOOKUP('Données projet'!$B$11,Paramètres!$A$1:$I$89,3,0)*0.475*44/12</f>
        <v>2.311206668338206</v>
      </c>
      <c r="BR97" s="23">
        <f>EXP(-LN(2)/2)*BR96+(1-EXP(-LN(2)/2))/(LN(2)/2)*BL97*BO97*VLOOKUP('Données projet'!$B$11,Paramètres!$A$1:$I$89,3,0)*0.475*44/12</f>
        <v>3.7493314876145599E-5</v>
      </c>
      <c r="BS97" s="24">
        <f t="shared" si="63"/>
        <v>18.957985410955448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273.00000000000023</v>
      </c>
      <c r="BZ97" s="14">
        <f>BY97*VLOOKUP('Données projet'!$B$12,Paramètres!$A$1:$I$89,3,0)*VLOOKUP('Données projet'!$B$12,Paramètres!$A$1:$I$89,5,0)</f>
        <v>212.9400000000002</v>
      </c>
      <c r="CA97" s="14">
        <f t="shared" si="93"/>
        <v>52.577528895212915</v>
      </c>
      <c r="CB97" s="22">
        <f t="shared" si="64"/>
        <v>462.44302949249618</v>
      </c>
      <c r="CC97" s="62">
        <f t="shared" si="65"/>
        <v>738.08354456973461</v>
      </c>
      <c r="CD97" s="62">
        <f ca="1">AVERAGE(OFFSET($CC$3,0,0,'Données projet'!$E$12+1,1))-AVERAGE(OFFSET($H$3,0,0,'Données projet'!$E$12+1,1))</f>
        <v>304.39782420428173</v>
      </c>
      <c r="CE97" s="62">
        <f t="shared" si="94"/>
        <v>360.34132229290537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16.646741249302366</v>
      </c>
      <c r="CL97" s="23">
        <f>EXP(-LN(2)/25)*CL96+(1-EXP(-LN(2)/25))/(LN(2)/25)*Calculateur!CG97*Calculateur!CI97*VLOOKUP('Données projet'!$B$12,Paramètres!$A$1:$I$89,3,0)*0.475*44/12</f>
        <v>2.311206668338206</v>
      </c>
      <c r="CM97" s="23">
        <f>EXP(-LN(2)/2)*CM96+(1-EXP(-LN(2)/2))/(LN(2)/2)*CG97*CJ97*VLOOKUP('Données projet'!$B$12,Paramètres!$A$1:$I$89,3,0)*0.475*44/12</f>
        <v>3.7493314876145599E-5</v>
      </c>
      <c r="CN97" s="24">
        <f t="shared" si="66"/>
        <v>18.957985410955448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1.7053025658242404E-13</v>
      </c>
      <c r="O98" s="14">
        <f>N98*VLOOKUP('Données projet'!$B$9,Paramètres!$A$1:$I$89,3,0)*VLOOKUP('Données projet'!$B$9,Paramètres!$A$1:$I$89,5,0)</f>
        <v>7.9808160080574461E-14</v>
      </c>
      <c r="P98" s="14">
        <f t="shared" si="87"/>
        <v>1.2308384591775343E-12</v>
      </c>
      <c r="Q98" s="22">
        <f t="shared" si="54"/>
        <v>2.282709528541206E-12</v>
      </c>
      <c r="R98" s="62">
        <f t="shared" si="55"/>
        <v>275.94744591876821</v>
      </c>
      <c r="S98" s="62">
        <f ca="1">AVERAGE(OFFSET($R$3,0,0,'Données projet'!$E$9+1,1))-AVERAGE(OFFSET($H$3,0,0,'Données projet'!$E$9+1,1))</f>
        <v>234.81928430389272</v>
      </c>
      <c r="T98" s="62">
        <f t="shared" si="88"/>
        <v>294.47057757403411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43.604260082377664</v>
      </c>
      <c r="AA98" s="23">
        <f>EXP(-LN(2)/25)*AA97+(1-EXP(-LN(2)/25))/(LN(2)/25)*Calculateur!V98*Calculateur!X98*VLOOKUP('Données projet'!$B$9,Paramètres!$A$1:$I$89,3,0)*0.475*44/12</f>
        <v>14.264388581712941</v>
      </c>
      <c r="AB98" s="23">
        <f>EXP(-LN(2)/2)*AB97+(1-EXP(-LN(2)/2))/(LN(2)/2)*V98*Y98*VLOOKUP('Données projet'!$B$9,Paramètres!$A$1:$I$89,3,0)*0.475*44/12</f>
        <v>3.5205926070223026E-4</v>
      </c>
      <c r="AC98" s="24">
        <f t="shared" si="57"/>
        <v>57.869000723351306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273.00000000000023</v>
      </c>
      <c r="AJ98" s="14">
        <f>AI98*VLOOKUP('Données projet'!$B$10,Paramètres!$A$1:$I$89,3,0)*VLOOKUP('Données projet'!$B$10,Paramètres!$A$1:$I$89,5,0)</f>
        <v>212.9400000000002</v>
      </c>
      <c r="AK98" s="14">
        <f t="shared" si="89"/>
        <v>52.577528895212915</v>
      </c>
      <c r="AL98" s="22">
        <f t="shared" si="58"/>
        <v>462.44302949249618</v>
      </c>
      <c r="AM98" s="62">
        <f t="shared" si="59"/>
        <v>738.39047541126206</v>
      </c>
      <c r="AN98" s="62">
        <f ca="1">AVERAGE(OFFSET($AM$3,0,0,'Données projet'!$E$10+1,1))-AVERAGE(OFFSET($H$3,0,0,'Données projet'!$E$10+1,1))</f>
        <v>304.39782420428173</v>
      </c>
      <c r="AO98" s="62">
        <f t="shared" si="90"/>
        <v>360.34132229290537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16.320308806913133</v>
      </c>
      <c r="AV98" s="23">
        <f>EXP(-LN(2)/25)*AV97+(1-EXP(-LN(2)/25))/(LN(2)/25)*Calculateur!AQ98*Calculateur!AS98*VLOOKUP('Données projet'!$B$10,Paramètres!$A$1:$I$89,3,0)*0.475*44/12</f>
        <v>2.2480066004514212</v>
      </c>
      <c r="AW98" s="23">
        <f>EXP(-LN(2)/2)*AW97+(1-EXP(-LN(2)/2))/(LN(2)/2)*AQ98*AT98*VLOOKUP('Données projet'!$B$10,Paramètres!$A$1:$I$89,3,0)*0.475*44/12</f>
        <v>2.6511777198085014E-5</v>
      </c>
      <c r="AX98" s="23">
        <f t="shared" si="60"/>
        <v>18.568341919141751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273.00000000000023</v>
      </c>
      <c r="BE98" s="14">
        <f>BD98*VLOOKUP('Données projet'!$B$11,Paramètres!$A$1:$I$89,3,0)*VLOOKUP('Données projet'!$B$11,Paramètres!$A$1:$I$89,5,0)</f>
        <v>212.9400000000002</v>
      </c>
      <c r="BF98" s="14">
        <f t="shared" si="91"/>
        <v>52.577528895212915</v>
      </c>
      <c r="BG98" s="22">
        <f t="shared" si="61"/>
        <v>462.44302949249618</v>
      </c>
      <c r="BH98" s="62">
        <f t="shared" si="62"/>
        <v>738.39047541126206</v>
      </c>
      <c r="BI98" s="62">
        <f ca="1">AVERAGE(OFFSET($BH$3,0,0,'Données projet'!$E$11+1,1))-AVERAGE(OFFSET($H$3,0,0,'Données projet'!$E$11+1,1))</f>
        <v>304.39782420428173</v>
      </c>
      <c r="BJ98" s="62">
        <f t="shared" si="92"/>
        <v>360.34132229290537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16.320308806913133</v>
      </c>
      <c r="BQ98" s="23">
        <f>EXP(-LN(2)/25)*BQ97+(1-EXP(-LN(2)/25))/(LN(2)/25)*Calculateur!BL98*Calculateur!BN98*VLOOKUP('Données projet'!$B$11,Paramètres!$A$1:$I$89,3,0)*0.475*44/12</f>
        <v>2.2480066004514212</v>
      </c>
      <c r="BR98" s="23">
        <f>EXP(-LN(2)/2)*BR97+(1-EXP(-LN(2)/2))/(LN(2)/2)*BL98*BO98*VLOOKUP('Données projet'!$B$11,Paramètres!$A$1:$I$89,3,0)*0.475*44/12</f>
        <v>2.6511777198085014E-5</v>
      </c>
      <c r="BS98" s="24">
        <f t="shared" si="63"/>
        <v>18.568341919141751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273.00000000000023</v>
      </c>
      <c r="BZ98" s="14">
        <f>BY98*VLOOKUP('Données projet'!$B$12,Paramètres!$A$1:$I$89,3,0)*VLOOKUP('Données projet'!$B$12,Paramètres!$A$1:$I$89,5,0)</f>
        <v>212.9400000000002</v>
      </c>
      <c r="CA98" s="14">
        <f t="shared" si="93"/>
        <v>52.577528895212915</v>
      </c>
      <c r="CB98" s="22">
        <f t="shared" si="64"/>
        <v>462.44302949249618</v>
      </c>
      <c r="CC98" s="62">
        <f t="shared" si="65"/>
        <v>738.39047541126206</v>
      </c>
      <c r="CD98" s="62">
        <f ca="1">AVERAGE(OFFSET($CC$3,0,0,'Données projet'!$E$12+1,1))-AVERAGE(OFFSET($H$3,0,0,'Données projet'!$E$12+1,1))</f>
        <v>304.39782420428173</v>
      </c>
      <c r="CE98" s="62">
        <f t="shared" si="94"/>
        <v>360.34132229290537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16.320308806913133</v>
      </c>
      <c r="CL98" s="23">
        <f>EXP(-LN(2)/25)*CL97+(1-EXP(-LN(2)/25))/(LN(2)/25)*Calculateur!CG98*Calculateur!CI98*VLOOKUP('Données projet'!$B$12,Paramètres!$A$1:$I$89,3,0)*0.475*44/12</f>
        <v>2.2480066004514212</v>
      </c>
      <c r="CM98" s="23">
        <f>EXP(-LN(2)/2)*CM97+(1-EXP(-LN(2)/2))/(LN(2)/2)*CG98*CJ98*VLOOKUP('Données projet'!$B$12,Paramètres!$A$1:$I$89,3,0)*0.475*44/12</f>
        <v>2.6511777198085014E-5</v>
      </c>
      <c r="CN98" s="24">
        <f t="shared" si="66"/>
        <v>18.568341919141751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1.7053025658242404E-13</v>
      </c>
      <c r="O99" s="14">
        <f>N99*VLOOKUP('Données projet'!$B$9,Paramètres!$A$1:$I$89,3,0)*VLOOKUP('Données projet'!$B$9,Paramètres!$A$1:$I$89,5,0)</f>
        <v>7.9808160080574461E-14</v>
      </c>
      <c r="P99" s="14">
        <f t="shared" si="87"/>
        <v>1.2308384591775343E-12</v>
      </c>
      <c r="Q99" s="22">
        <f t="shared" ref="Q99:Q130" si="107">(O99+P99)*0.475*44/12</f>
        <v>2.282709528541206E-12</v>
      </c>
      <c r="R99" s="62">
        <f t="shared" si="55"/>
        <v>276.2490521963897</v>
      </c>
      <c r="S99" s="62">
        <f ca="1">AVERAGE(OFFSET($R$3,0,0,'Données projet'!$E$9+1,1))-AVERAGE(OFFSET($H$3,0,0,'Données projet'!$E$9+1,1))</f>
        <v>234.81928430389272</v>
      </c>
      <c r="T99" s="62">
        <f t="shared" si="88"/>
        <v>294.47057757403411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42.749207138134757</v>
      </c>
      <c r="AA99" s="23">
        <f>EXP(-LN(2)/25)*AA98+(1-EXP(-LN(2)/25))/(LN(2)/25)*Calculateur!V99*Calculateur!X99*VLOOKUP('Données projet'!$B$9,Paramètres!$A$1:$I$89,3,0)*0.475*44/12</f>
        <v>13.874328125814406</v>
      </c>
      <c r="AB99" s="23">
        <f>EXP(-LN(2)/2)*AB98+(1-EXP(-LN(2)/2))/(LN(2)/2)*V99*Y99*VLOOKUP('Données projet'!$B$9,Paramètres!$A$1:$I$89,3,0)*0.475*44/12</f>
        <v>2.4894349062206961E-4</v>
      </c>
      <c r="AC99" s="24">
        <f t="shared" si="57"/>
        <v>56.62378420743979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273.00000000000023</v>
      </c>
      <c r="AJ99" s="14">
        <f>AI99*VLOOKUP('Données projet'!$B$10,Paramètres!$A$1:$I$89,3,0)*VLOOKUP('Données projet'!$B$10,Paramètres!$A$1:$I$89,5,0)</f>
        <v>212.9400000000002</v>
      </c>
      <c r="AK99" s="14">
        <f t="shared" si="89"/>
        <v>52.577528895212915</v>
      </c>
      <c r="AL99" s="22">
        <f t="shared" si="58"/>
        <v>462.44302949249618</v>
      </c>
      <c r="AM99" s="62">
        <f t="shared" si="59"/>
        <v>738.6920816888836</v>
      </c>
      <c r="AN99" s="62">
        <f ca="1">AVERAGE(OFFSET($AM$3,0,0,'Données projet'!$E$10+1,1))-AVERAGE(OFFSET($H$3,0,0,'Données projet'!$E$10+1,1))</f>
        <v>304.39782420428173</v>
      </c>
      <c r="AO99" s="62">
        <f t="shared" si="90"/>
        <v>360.34132229290537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16.000277505615021</v>
      </c>
      <c r="AV99" s="23">
        <f>EXP(-LN(2)/25)*AV98+(1-EXP(-LN(2)/25))/(LN(2)/25)*Calculateur!AQ99*Calculateur!AS99*VLOOKUP('Données projet'!$B$10,Paramètres!$A$1:$I$89,3,0)*0.475*44/12</f>
        <v>2.186534741744548</v>
      </c>
      <c r="AW99" s="23">
        <f>EXP(-LN(2)/2)*AW98+(1-EXP(-LN(2)/2))/(LN(2)/2)*AQ99*AT99*VLOOKUP('Données projet'!$B$10,Paramètres!$A$1:$I$89,3,0)*0.475*44/12</f>
        <v>1.87466574380728E-5</v>
      </c>
      <c r="AX99" s="23">
        <f t="shared" si="60"/>
        <v>18.186830994017008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273.00000000000023</v>
      </c>
      <c r="BE99" s="14">
        <f>BD99*VLOOKUP('Données projet'!$B$11,Paramètres!$A$1:$I$89,3,0)*VLOOKUP('Données projet'!$B$11,Paramètres!$A$1:$I$89,5,0)</f>
        <v>212.9400000000002</v>
      </c>
      <c r="BF99" s="14">
        <f t="shared" si="91"/>
        <v>52.577528895212915</v>
      </c>
      <c r="BG99" s="22">
        <f t="shared" si="61"/>
        <v>462.44302949249618</v>
      </c>
      <c r="BH99" s="62">
        <f t="shared" si="62"/>
        <v>738.6920816888836</v>
      </c>
      <c r="BI99" s="62">
        <f ca="1">AVERAGE(OFFSET($BH$3,0,0,'Données projet'!$E$11+1,1))-AVERAGE(OFFSET($H$3,0,0,'Données projet'!$E$11+1,1))</f>
        <v>304.39782420428173</v>
      </c>
      <c r="BJ99" s="62">
        <f t="shared" si="92"/>
        <v>360.34132229290537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16.000277505615021</v>
      </c>
      <c r="BQ99" s="23">
        <f>EXP(-LN(2)/25)*BQ98+(1-EXP(-LN(2)/25))/(LN(2)/25)*Calculateur!BL99*Calculateur!BN99*VLOOKUP('Données projet'!$B$11,Paramètres!$A$1:$I$89,3,0)*0.475*44/12</f>
        <v>2.186534741744548</v>
      </c>
      <c r="BR99" s="23">
        <f>EXP(-LN(2)/2)*BR98+(1-EXP(-LN(2)/2))/(LN(2)/2)*BL99*BO99*VLOOKUP('Données projet'!$B$11,Paramètres!$A$1:$I$89,3,0)*0.475*44/12</f>
        <v>1.87466574380728E-5</v>
      </c>
      <c r="BS99" s="24">
        <f t="shared" si="63"/>
        <v>18.186830994017008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273.00000000000023</v>
      </c>
      <c r="BZ99" s="14">
        <f>BY99*VLOOKUP('Données projet'!$B$12,Paramètres!$A$1:$I$89,3,0)*VLOOKUP('Données projet'!$B$12,Paramètres!$A$1:$I$89,5,0)</f>
        <v>212.9400000000002</v>
      </c>
      <c r="CA99" s="14">
        <f t="shared" si="93"/>
        <v>52.577528895212915</v>
      </c>
      <c r="CB99" s="22">
        <f t="shared" si="64"/>
        <v>462.44302949249618</v>
      </c>
      <c r="CC99" s="62">
        <f t="shared" si="65"/>
        <v>738.6920816888836</v>
      </c>
      <c r="CD99" s="62">
        <f ca="1">AVERAGE(OFFSET($CC$3,0,0,'Données projet'!$E$12+1,1))-AVERAGE(OFFSET($H$3,0,0,'Données projet'!$E$12+1,1))</f>
        <v>304.39782420428173</v>
      </c>
      <c r="CE99" s="62">
        <f t="shared" si="94"/>
        <v>360.34132229290537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16.000277505615021</v>
      </c>
      <c r="CL99" s="23">
        <f>EXP(-LN(2)/25)*CL98+(1-EXP(-LN(2)/25))/(LN(2)/25)*Calculateur!CG99*Calculateur!CI99*VLOOKUP('Données projet'!$B$12,Paramètres!$A$1:$I$89,3,0)*0.475*44/12</f>
        <v>2.186534741744548</v>
      </c>
      <c r="CM99" s="23">
        <f>EXP(-LN(2)/2)*CM98+(1-EXP(-LN(2)/2))/(LN(2)/2)*CG99*CJ99*VLOOKUP('Données projet'!$B$12,Paramètres!$A$1:$I$89,3,0)*0.475*44/12</f>
        <v>1.87466574380728E-5</v>
      </c>
      <c r="CN99" s="24">
        <f t="shared" si="66"/>
        <v>18.186830994017008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1.7053025658242404E-13</v>
      </c>
      <c r="O100" s="14">
        <f>N100*VLOOKUP('Données projet'!$B$9,Paramètres!$A$1:$I$89,3,0)*VLOOKUP('Données projet'!$B$9,Paramètres!$A$1:$I$89,5,0)</f>
        <v>7.9808160080574461E-14</v>
      </c>
      <c r="P100" s="14">
        <f t="shared" si="87"/>
        <v>1.2308384591775343E-12</v>
      </c>
      <c r="Q100" s="22">
        <f t="shared" si="107"/>
        <v>2.282709528541206E-12</v>
      </c>
      <c r="R100" s="62">
        <f t="shared" si="55"/>
        <v>276.54542627938508</v>
      </c>
      <c r="S100" s="62">
        <f ca="1">AVERAGE(OFFSET($R$3,0,0,'Données projet'!$E$9+1,1))-AVERAGE(OFFSET($H$3,0,0,'Données projet'!$E$9+1,1))</f>
        <v>234.81928430389272</v>
      </c>
      <c r="T100" s="62">
        <f t="shared" si="88"/>
        <v>294.47057757403411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41.910921260597654</v>
      </c>
      <c r="AA100" s="23">
        <f>EXP(-LN(2)/25)*AA99+(1-EXP(-LN(2)/25))/(LN(2)/25)*Calculateur!V100*Calculateur!X100*VLOOKUP('Données projet'!$B$9,Paramètres!$A$1:$I$89,3,0)*0.475*44/12</f>
        <v>13.494933893594805</v>
      </c>
      <c r="AB100" s="23">
        <f>EXP(-LN(2)/2)*AB99+(1-EXP(-LN(2)/2))/(LN(2)/2)*V100*Y100*VLOOKUP('Données projet'!$B$9,Paramètres!$A$1:$I$89,3,0)*0.475*44/12</f>
        <v>1.7602963035111513E-4</v>
      </c>
      <c r="AC100" s="24">
        <f t="shared" si="57"/>
        <v>55.406031183822812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273.00000000000023</v>
      </c>
      <c r="AJ100" s="14">
        <f>AI100*VLOOKUP('Données projet'!$B$10,Paramètres!$A$1:$I$89,3,0)*VLOOKUP('Données projet'!$B$10,Paramètres!$A$1:$I$89,5,0)</f>
        <v>212.9400000000002</v>
      </c>
      <c r="AK100" s="14">
        <f t="shared" si="89"/>
        <v>52.577528895212915</v>
      </c>
      <c r="AL100" s="22">
        <f t="shared" si="58"/>
        <v>462.44302949249618</v>
      </c>
      <c r="AM100" s="62">
        <f t="shared" si="59"/>
        <v>738.98845577187899</v>
      </c>
      <c r="AN100" s="62">
        <f ca="1">AVERAGE(OFFSET($AM$3,0,0,'Données projet'!$E$10+1,1))-AVERAGE(OFFSET($H$3,0,0,'Données projet'!$E$10+1,1))</f>
        <v>304.39782420428173</v>
      </c>
      <c r="AO100" s="62">
        <f t="shared" si="90"/>
        <v>360.34132229290537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15.686521822935546</v>
      </c>
      <c r="AV100" s="23">
        <f>EXP(-LN(2)/25)*AV99+(1-EXP(-LN(2)/25))/(LN(2)/25)*Calculateur!AQ100*Calculateur!AS100*VLOOKUP('Données projet'!$B$10,Paramètres!$A$1:$I$89,3,0)*0.475*44/12</f>
        <v>2.1267438342466787</v>
      </c>
      <c r="AW100" s="23">
        <f>EXP(-LN(2)/2)*AW99+(1-EXP(-LN(2)/2))/(LN(2)/2)*AQ100*AT100*VLOOKUP('Données projet'!$B$10,Paramètres!$A$1:$I$89,3,0)*0.475*44/12</f>
        <v>1.3255888599042507E-5</v>
      </c>
      <c r="AX100" s="23">
        <f t="shared" si="60"/>
        <v>17.813278913070825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273.00000000000023</v>
      </c>
      <c r="BE100" s="14">
        <f>BD100*VLOOKUP('Données projet'!$B$11,Paramètres!$A$1:$I$89,3,0)*VLOOKUP('Données projet'!$B$11,Paramètres!$A$1:$I$89,5,0)</f>
        <v>212.9400000000002</v>
      </c>
      <c r="BF100" s="14">
        <f t="shared" si="91"/>
        <v>52.577528895212915</v>
      </c>
      <c r="BG100" s="22">
        <f t="shared" si="61"/>
        <v>462.44302949249618</v>
      </c>
      <c r="BH100" s="62">
        <f t="shared" si="62"/>
        <v>738.98845577187899</v>
      </c>
      <c r="BI100" s="62">
        <f ca="1">AVERAGE(OFFSET($BH$3,0,0,'Données projet'!$E$11+1,1))-AVERAGE(OFFSET($H$3,0,0,'Données projet'!$E$11+1,1))</f>
        <v>304.39782420428173</v>
      </c>
      <c r="BJ100" s="62">
        <f t="shared" si="92"/>
        <v>360.34132229290537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15.686521822935546</v>
      </c>
      <c r="BQ100" s="23">
        <f>EXP(-LN(2)/25)*BQ99+(1-EXP(-LN(2)/25))/(LN(2)/25)*Calculateur!BL100*Calculateur!BN100*VLOOKUP('Données projet'!$B$11,Paramètres!$A$1:$I$89,3,0)*0.475*44/12</f>
        <v>2.1267438342466787</v>
      </c>
      <c r="BR100" s="23">
        <f>EXP(-LN(2)/2)*BR99+(1-EXP(-LN(2)/2))/(LN(2)/2)*BL100*BO100*VLOOKUP('Données projet'!$B$11,Paramètres!$A$1:$I$89,3,0)*0.475*44/12</f>
        <v>1.3255888599042507E-5</v>
      </c>
      <c r="BS100" s="24">
        <f t="shared" si="63"/>
        <v>17.813278913070825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273.00000000000023</v>
      </c>
      <c r="BZ100" s="14">
        <f>BY100*VLOOKUP('Données projet'!$B$12,Paramètres!$A$1:$I$89,3,0)*VLOOKUP('Données projet'!$B$12,Paramètres!$A$1:$I$89,5,0)</f>
        <v>212.9400000000002</v>
      </c>
      <c r="CA100" s="14">
        <f t="shared" si="93"/>
        <v>52.577528895212915</v>
      </c>
      <c r="CB100" s="22">
        <f t="shared" si="64"/>
        <v>462.44302949249618</v>
      </c>
      <c r="CC100" s="62">
        <f t="shared" si="65"/>
        <v>738.98845577187899</v>
      </c>
      <c r="CD100" s="62">
        <f ca="1">AVERAGE(OFFSET($CC$3,0,0,'Données projet'!$E$12+1,1))-AVERAGE(OFFSET($H$3,0,0,'Données projet'!$E$12+1,1))</f>
        <v>304.39782420428173</v>
      </c>
      <c r="CE100" s="62">
        <f t="shared" si="94"/>
        <v>360.34132229290537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15.686521822935546</v>
      </c>
      <c r="CL100" s="23">
        <f>EXP(-LN(2)/25)*CL99+(1-EXP(-LN(2)/25))/(LN(2)/25)*Calculateur!CG100*Calculateur!CI100*VLOOKUP('Données projet'!$B$12,Paramètres!$A$1:$I$89,3,0)*0.475*44/12</f>
        <v>2.1267438342466787</v>
      </c>
      <c r="CM100" s="23">
        <f>EXP(-LN(2)/2)*CM99+(1-EXP(-LN(2)/2))/(LN(2)/2)*CG100*CJ100*VLOOKUP('Données projet'!$B$12,Paramètres!$A$1:$I$89,3,0)*0.475*44/12</f>
        <v>1.3255888599042507E-5</v>
      </c>
      <c r="CN100" s="24">
        <f t="shared" si="66"/>
        <v>17.813278913070825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1.7053025658242404E-13</v>
      </c>
      <c r="O101" s="14">
        <f>N101*VLOOKUP('Données projet'!$B$9,Paramètres!$A$1:$I$89,3,0)*VLOOKUP('Données projet'!$B$9,Paramètres!$A$1:$I$89,5,0)</f>
        <v>7.9808160080574461E-14</v>
      </c>
      <c r="P101" s="14">
        <f t="shared" si="87"/>
        <v>1.2308384591775343E-12</v>
      </c>
      <c r="Q101" s="22">
        <f t="shared" si="107"/>
        <v>2.282709528541206E-12</v>
      </c>
      <c r="R101" s="62">
        <f t="shared" si="55"/>
        <v>276.83665893463365</v>
      </c>
      <c r="S101" s="62">
        <f ca="1">AVERAGE(OFFSET($R$3,0,0,'Données projet'!$E$9+1,1))-AVERAGE(OFFSET($H$3,0,0,'Données projet'!$E$9+1,1))</f>
        <v>234.81928430389272</v>
      </c>
      <c r="T101" s="62">
        <f t="shared" si="88"/>
        <v>294.47057757403411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41.089073657815156</v>
      </c>
      <c r="AA101" s="23">
        <f>EXP(-LN(2)/25)*AA100+(1-EXP(-LN(2)/25))/(LN(2)/25)*Calculateur!V101*Calculateur!X101*VLOOKUP('Données projet'!$B$9,Paramètres!$A$1:$I$89,3,0)*0.475*44/12</f>
        <v>13.125914216606725</v>
      </c>
      <c r="AB101" s="23">
        <f>EXP(-LN(2)/2)*AB100+(1-EXP(-LN(2)/2))/(LN(2)/2)*V101*Y101*VLOOKUP('Données projet'!$B$9,Paramètres!$A$1:$I$89,3,0)*0.475*44/12</f>
        <v>1.2447174531103481E-4</v>
      </c>
      <c r="AC101" s="24">
        <f t="shared" si="57"/>
        <v>54.215112346167189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273.00000000000023</v>
      </c>
      <c r="AJ101" s="14">
        <f>AI101*VLOOKUP('Données projet'!$B$10,Paramètres!$A$1:$I$89,3,0)*VLOOKUP('Données projet'!$B$10,Paramètres!$A$1:$I$89,5,0)</f>
        <v>212.9400000000002</v>
      </c>
      <c r="AK101" s="14">
        <f t="shared" si="89"/>
        <v>52.577528895212915</v>
      </c>
      <c r="AL101" s="22">
        <f t="shared" si="58"/>
        <v>462.44302949249618</v>
      </c>
      <c r="AM101" s="62">
        <f t="shared" si="59"/>
        <v>739.27968842712755</v>
      </c>
      <c r="AN101" s="62">
        <f ca="1">AVERAGE(OFFSET($AM$3,0,0,'Données projet'!$E$10+1,1))-AVERAGE(OFFSET($H$3,0,0,'Données projet'!$E$10+1,1))</f>
        <v>304.39782420428173</v>
      </c>
      <c r="AO101" s="62">
        <f t="shared" si="90"/>
        <v>360.34132229290537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15.378918697821348</v>
      </c>
      <c r="AV101" s="23">
        <f>EXP(-LN(2)/25)*AV100+(1-EXP(-LN(2)/25))/(LN(2)/25)*Calculateur!AQ101*Calculateur!AS101*VLOOKUP('Données projet'!$B$10,Paramètres!$A$1:$I$89,3,0)*0.475*44/12</f>
        <v>2.0685879122586059</v>
      </c>
      <c r="AW101" s="23">
        <f>EXP(-LN(2)/2)*AW100+(1-EXP(-LN(2)/2))/(LN(2)/2)*AQ101*AT101*VLOOKUP('Données projet'!$B$10,Paramètres!$A$1:$I$89,3,0)*0.475*44/12</f>
        <v>9.3733287190363998E-6</v>
      </c>
      <c r="AX101" s="23">
        <f t="shared" si="60"/>
        <v>17.447515983408675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273.00000000000023</v>
      </c>
      <c r="BE101" s="14">
        <f>BD101*VLOOKUP('Données projet'!$B$11,Paramètres!$A$1:$I$89,3,0)*VLOOKUP('Données projet'!$B$11,Paramètres!$A$1:$I$89,5,0)</f>
        <v>212.9400000000002</v>
      </c>
      <c r="BF101" s="14">
        <f t="shared" si="91"/>
        <v>52.577528895212915</v>
      </c>
      <c r="BG101" s="22">
        <f t="shared" si="61"/>
        <v>462.44302949249618</v>
      </c>
      <c r="BH101" s="62">
        <f t="shared" si="62"/>
        <v>739.27968842712755</v>
      </c>
      <c r="BI101" s="62">
        <f ca="1">AVERAGE(OFFSET($BH$3,0,0,'Données projet'!$E$11+1,1))-AVERAGE(OFFSET($H$3,0,0,'Données projet'!$E$11+1,1))</f>
        <v>304.39782420428173</v>
      </c>
      <c r="BJ101" s="62">
        <f t="shared" si="92"/>
        <v>360.34132229290537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15.378918697821348</v>
      </c>
      <c r="BQ101" s="23">
        <f>EXP(-LN(2)/25)*BQ100+(1-EXP(-LN(2)/25))/(LN(2)/25)*Calculateur!BL101*Calculateur!BN101*VLOOKUP('Données projet'!$B$11,Paramètres!$A$1:$I$89,3,0)*0.475*44/12</f>
        <v>2.0685879122586059</v>
      </c>
      <c r="BR101" s="23">
        <f>EXP(-LN(2)/2)*BR100+(1-EXP(-LN(2)/2))/(LN(2)/2)*BL101*BO101*VLOOKUP('Données projet'!$B$11,Paramètres!$A$1:$I$89,3,0)*0.475*44/12</f>
        <v>9.3733287190363998E-6</v>
      </c>
      <c r="BS101" s="24">
        <f t="shared" si="63"/>
        <v>17.447515983408675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273.00000000000023</v>
      </c>
      <c r="BZ101" s="14">
        <f>BY101*VLOOKUP('Données projet'!$B$12,Paramètres!$A$1:$I$89,3,0)*VLOOKUP('Données projet'!$B$12,Paramètres!$A$1:$I$89,5,0)</f>
        <v>212.9400000000002</v>
      </c>
      <c r="CA101" s="14">
        <f t="shared" si="93"/>
        <v>52.577528895212915</v>
      </c>
      <c r="CB101" s="22">
        <f t="shared" si="64"/>
        <v>462.44302949249618</v>
      </c>
      <c r="CC101" s="62">
        <f t="shared" si="65"/>
        <v>739.27968842712755</v>
      </c>
      <c r="CD101" s="62">
        <f ca="1">AVERAGE(OFFSET($CC$3,0,0,'Données projet'!$E$12+1,1))-AVERAGE(OFFSET($H$3,0,0,'Données projet'!$E$12+1,1))</f>
        <v>304.39782420428173</v>
      </c>
      <c r="CE101" s="62">
        <f t="shared" si="94"/>
        <v>360.34132229290537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15.378918697821348</v>
      </c>
      <c r="CL101" s="23">
        <f>EXP(-LN(2)/25)*CL100+(1-EXP(-LN(2)/25))/(LN(2)/25)*Calculateur!CG101*Calculateur!CI101*VLOOKUP('Données projet'!$B$12,Paramètres!$A$1:$I$89,3,0)*0.475*44/12</f>
        <v>2.0685879122586059</v>
      </c>
      <c r="CM101" s="23">
        <f>EXP(-LN(2)/2)*CM100+(1-EXP(-LN(2)/2))/(LN(2)/2)*CG101*CJ101*VLOOKUP('Données projet'!$B$12,Paramètres!$A$1:$I$89,3,0)*0.475*44/12</f>
        <v>9.3733287190363998E-6</v>
      </c>
      <c r="CN101" s="24">
        <f t="shared" si="66"/>
        <v>17.447515983408675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1.7053025658242404E-13</v>
      </c>
      <c r="O102" s="14">
        <f>N102*VLOOKUP('Données projet'!$B$9,Paramètres!$A$1:$I$89,3,0)*VLOOKUP('Données projet'!$B$9,Paramètres!$A$1:$I$89,5,0)</f>
        <v>7.9808160080574461E-14</v>
      </c>
      <c r="P102" s="14">
        <f t="shared" si="87"/>
        <v>1.2308384591775343E-12</v>
      </c>
      <c r="Q102" s="22">
        <f t="shared" si="107"/>
        <v>2.282709528541206E-12</v>
      </c>
      <c r="R102" s="62">
        <f t="shared" si="55"/>
        <v>277.12283935441241</v>
      </c>
      <c r="S102" s="62">
        <f ca="1">AVERAGE(OFFSET($R$3,0,0,'Données projet'!$E$9+1,1))-AVERAGE(OFFSET($H$3,0,0,'Données projet'!$E$9+1,1))</f>
        <v>234.81928430389272</v>
      </c>
      <c r="T102" s="62">
        <f t="shared" si="88"/>
        <v>294.47057757403411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40.283341985245677</v>
      </c>
      <c r="AA102" s="23">
        <f>EXP(-LN(2)/25)*AA101+(1-EXP(-LN(2)/25))/(LN(2)/25)*Calculateur!V102*Calculateur!X102*VLOOKUP('Données projet'!$B$9,Paramètres!$A$1:$I$89,3,0)*0.475*44/12</f>
        <v>12.766985402091786</v>
      </c>
      <c r="AB102" s="23">
        <f>EXP(-LN(2)/2)*AB101+(1-EXP(-LN(2)/2))/(LN(2)/2)*V102*Y102*VLOOKUP('Données projet'!$B$9,Paramètres!$A$1:$I$89,3,0)*0.475*44/12</f>
        <v>8.8014815175557564E-5</v>
      </c>
      <c r="AC102" s="24">
        <f t="shared" si="57"/>
        <v>53.050415402152638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273.00000000000023</v>
      </c>
      <c r="AJ102" s="14">
        <f>AI102*VLOOKUP('Données projet'!$B$10,Paramètres!$A$1:$I$89,3,0)*VLOOKUP('Données projet'!$B$10,Paramètres!$A$1:$I$89,5,0)</f>
        <v>212.9400000000002</v>
      </c>
      <c r="AK102" s="14">
        <f t="shared" si="89"/>
        <v>52.577528895212915</v>
      </c>
      <c r="AL102" s="22">
        <f t="shared" si="58"/>
        <v>462.44302949249618</v>
      </c>
      <c r="AM102" s="62">
        <f t="shared" si="59"/>
        <v>739.56586884690637</v>
      </c>
      <c r="AN102" s="62">
        <f ca="1">AVERAGE(OFFSET($AM$3,0,0,'Données projet'!$E$10+1,1))-AVERAGE(OFFSET($H$3,0,0,'Données projet'!$E$10+1,1))</f>
        <v>304.39782420428173</v>
      </c>
      <c r="AO102" s="62">
        <f t="shared" si="90"/>
        <v>360.34132229290537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15.077347482371257</v>
      </c>
      <c r="AV102" s="23">
        <f>EXP(-LN(2)/25)*AV101+(1-EXP(-LN(2)/25))/(LN(2)/25)*Calculateur!AQ102*Calculateur!AS102*VLOOKUP('Données projet'!$B$10,Paramètres!$A$1:$I$89,3,0)*0.475*44/12</f>
        <v>2.0120222670155838</v>
      </c>
      <c r="AW102" s="23">
        <f>EXP(-LN(2)/2)*AW101+(1-EXP(-LN(2)/2))/(LN(2)/2)*AQ102*AT102*VLOOKUP('Données projet'!$B$10,Paramètres!$A$1:$I$89,3,0)*0.475*44/12</f>
        <v>6.6279442995212535E-6</v>
      </c>
      <c r="AX102" s="23">
        <f t="shared" si="60"/>
        <v>17.089376377331138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273.00000000000023</v>
      </c>
      <c r="BE102" s="14">
        <f>BD102*VLOOKUP('Données projet'!$B$11,Paramètres!$A$1:$I$89,3,0)*VLOOKUP('Données projet'!$B$11,Paramètres!$A$1:$I$89,5,0)</f>
        <v>212.9400000000002</v>
      </c>
      <c r="BF102" s="14">
        <f t="shared" si="91"/>
        <v>52.577528895212915</v>
      </c>
      <c r="BG102" s="22">
        <f t="shared" si="61"/>
        <v>462.44302949249618</v>
      </c>
      <c r="BH102" s="62">
        <f t="shared" si="62"/>
        <v>739.56586884690637</v>
      </c>
      <c r="BI102" s="62">
        <f ca="1">AVERAGE(OFFSET($BH$3,0,0,'Données projet'!$E$11+1,1))-AVERAGE(OFFSET($H$3,0,0,'Données projet'!$E$11+1,1))</f>
        <v>304.39782420428173</v>
      </c>
      <c r="BJ102" s="62">
        <f t="shared" si="92"/>
        <v>360.34132229290537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15.077347482371257</v>
      </c>
      <c r="BQ102" s="23">
        <f>EXP(-LN(2)/25)*BQ101+(1-EXP(-LN(2)/25))/(LN(2)/25)*Calculateur!BL102*Calculateur!BN102*VLOOKUP('Données projet'!$B$11,Paramètres!$A$1:$I$89,3,0)*0.475*44/12</f>
        <v>2.0120222670155838</v>
      </c>
      <c r="BR102" s="23">
        <f>EXP(-LN(2)/2)*BR101+(1-EXP(-LN(2)/2))/(LN(2)/2)*BL102*BO102*VLOOKUP('Données projet'!$B$11,Paramètres!$A$1:$I$89,3,0)*0.475*44/12</f>
        <v>6.6279442995212535E-6</v>
      </c>
      <c r="BS102" s="24">
        <f t="shared" si="63"/>
        <v>17.089376377331138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273.00000000000023</v>
      </c>
      <c r="BZ102" s="14">
        <f>BY102*VLOOKUP('Données projet'!$B$12,Paramètres!$A$1:$I$89,3,0)*VLOOKUP('Données projet'!$B$12,Paramètres!$A$1:$I$89,5,0)</f>
        <v>212.9400000000002</v>
      </c>
      <c r="CA102" s="14">
        <f t="shared" si="93"/>
        <v>52.577528895212915</v>
      </c>
      <c r="CB102" s="22">
        <f t="shared" si="64"/>
        <v>462.44302949249618</v>
      </c>
      <c r="CC102" s="62">
        <f t="shared" si="65"/>
        <v>739.56586884690637</v>
      </c>
      <c r="CD102" s="62">
        <f ca="1">AVERAGE(OFFSET($CC$3,0,0,'Données projet'!$E$12+1,1))-AVERAGE(OFFSET($H$3,0,0,'Données projet'!$E$12+1,1))</f>
        <v>304.39782420428173</v>
      </c>
      <c r="CE102" s="62">
        <f t="shared" si="94"/>
        <v>360.34132229290537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15.077347482371257</v>
      </c>
      <c r="CL102" s="23">
        <f>EXP(-LN(2)/25)*CL101+(1-EXP(-LN(2)/25))/(LN(2)/25)*Calculateur!CG102*Calculateur!CI102*VLOOKUP('Données projet'!$B$12,Paramètres!$A$1:$I$89,3,0)*0.475*44/12</f>
        <v>2.0120222670155838</v>
      </c>
      <c r="CM102" s="23">
        <f>EXP(-LN(2)/2)*CM101+(1-EXP(-LN(2)/2))/(LN(2)/2)*CG102*CJ102*VLOOKUP('Données projet'!$B$12,Paramètres!$A$1:$I$89,3,0)*0.475*44/12</f>
        <v>6.6279442995212535E-6</v>
      </c>
      <c r="CN102" s="24">
        <f t="shared" si="66"/>
        <v>17.089376377331138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1.7053025658242404E-13</v>
      </c>
      <c r="O103" s="14">
        <f>N103*VLOOKUP('Données projet'!$B$9,Paramètres!$A$1:$I$89,3,0)*VLOOKUP('Données projet'!$B$9,Paramètres!$A$1:$I$89,5,0)</f>
        <v>7.9808160080574461E-14</v>
      </c>
      <c r="P103" s="14">
        <f t="shared" si="87"/>
        <v>1.2308384591775343E-12</v>
      </c>
      <c r="Q103" s="22">
        <f t="shared" si="107"/>
        <v>2.282709528541206E-12</v>
      </c>
      <c r="R103" s="62">
        <f t="shared" si="55"/>
        <v>277.40405518371148</v>
      </c>
      <c r="S103" s="62">
        <f ca="1">AVERAGE(OFFSET($R$3,0,0,'Données projet'!$E$9+1,1))-AVERAGE(OFFSET($H$3,0,0,'Données projet'!$E$9+1,1))</f>
        <v>234.81928430389272</v>
      </c>
      <c r="T103" s="62">
        <f t="shared" si="88"/>
        <v>294.47057757403411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39.493410219327494</v>
      </c>
      <c r="AA103" s="23">
        <f>EXP(-LN(2)/25)*AA102+(1-EXP(-LN(2)/25))/(LN(2)/25)*Calculateur!V103*Calculateur!X103*VLOOKUP('Données projet'!$B$9,Paramètres!$A$1:$I$89,3,0)*0.475*44/12</f>
        <v>12.417871514885002</v>
      </c>
      <c r="AB103" s="23">
        <f>EXP(-LN(2)/2)*AB102+(1-EXP(-LN(2)/2))/(LN(2)/2)*V103*Y103*VLOOKUP('Données projet'!$B$9,Paramètres!$A$1:$I$89,3,0)*0.475*44/12</f>
        <v>6.2235872655517404E-5</v>
      </c>
      <c r="AC103" s="24">
        <f t="shared" si="57"/>
        <v>51.911343970085149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273.00000000000023</v>
      </c>
      <c r="AJ103" s="14">
        <f>AI103*VLOOKUP('Données projet'!$B$10,Paramètres!$A$1:$I$89,3,0)*VLOOKUP('Données projet'!$B$10,Paramètres!$A$1:$I$89,5,0)</f>
        <v>212.9400000000002</v>
      </c>
      <c r="AK103" s="14">
        <f t="shared" si="89"/>
        <v>52.577528895212915</v>
      </c>
      <c r="AL103" s="22">
        <f t="shared" si="58"/>
        <v>462.44302949249618</v>
      </c>
      <c r="AM103" s="62">
        <f t="shared" si="59"/>
        <v>739.84708467620544</v>
      </c>
      <c r="AN103" s="62">
        <f ca="1">AVERAGE(OFFSET($AM$3,0,0,'Données projet'!$E$10+1,1))-AVERAGE(OFFSET($H$3,0,0,'Données projet'!$E$10+1,1))</f>
        <v>304.39782420428173</v>
      </c>
      <c r="AO103" s="62">
        <f t="shared" si="90"/>
        <v>360.34132229290537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14.781689894515864</v>
      </c>
      <c r="AV103" s="23">
        <f>EXP(-LN(2)/25)*AV102+(1-EXP(-LN(2)/25))/(LN(2)/25)*Calculateur!AQ103*Calculateur!AS103*VLOOKUP('Données projet'!$B$10,Paramètres!$A$1:$I$89,3,0)*0.475*44/12</f>
        <v>1.9570034123163902</v>
      </c>
      <c r="AW103" s="23">
        <f>EXP(-LN(2)/2)*AW102+(1-EXP(-LN(2)/2))/(LN(2)/2)*AQ103*AT103*VLOOKUP('Données projet'!$B$10,Paramètres!$A$1:$I$89,3,0)*0.475*44/12</f>
        <v>4.6866643595181999E-6</v>
      </c>
      <c r="AX103" s="23">
        <f t="shared" si="60"/>
        <v>16.738697993496611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273.00000000000023</v>
      </c>
      <c r="BE103" s="14">
        <f>BD103*VLOOKUP('Données projet'!$B$11,Paramètres!$A$1:$I$89,3,0)*VLOOKUP('Données projet'!$B$11,Paramètres!$A$1:$I$89,5,0)</f>
        <v>212.9400000000002</v>
      </c>
      <c r="BF103" s="14">
        <f t="shared" si="91"/>
        <v>52.577528895212915</v>
      </c>
      <c r="BG103" s="22">
        <f t="shared" si="61"/>
        <v>462.44302949249618</v>
      </c>
      <c r="BH103" s="62">
        <f t="shared" si="62"/>
        <v>739.84708467620544</v>
      </c>
      <c r="BI103" s="62">
        <f ca="1">AVERAGE(OFFSET($BH$3,0,0,'Données projet'!$E$11+1,1))-AVERAGE(OFFSET($H$3,0,0,'Données projet'!$E$11+1,1))</f>
        <v>304.39782420428173</v>
      </c>
      <c r="BJ103" s="62">
        <f t="shared" si="92"/>
        <v>360.34132229290537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14.781689894515864</v>
      </c>
      <c r="BQ103" s="23">
        <f>EXP(-LN(2)/25)*BQ102+(1-EXP(-LN(2)/25))/(LN(2)/25)*Calculateur!BL103*Calculateur!BN103*VLOOKUP('Données projet'!$B$11,Paramètres!$A$1:$I$89,3,0)*0.475*44/12</f>
        <v>1.9570034123163902</v>
      </c>
      <c r="BR103" s="23">
        <f>EXP(-LN(2)/2)*BR102+(1-EXP(-LN(2)/2))/(LN(2)/2)*BL103*BO103*VLOOKUP('Données projet'!$B$11,Paramètres!$A$1:$I$89,3,0)*0.475*44/12</f>
        <v>4.6866643595181999E-6</v>
      </c>
      <c r="BS103" s="24">
        <f t="shared" si="63"/>
        <v>16.738697993496611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273.00000000000023</v>
      </c>
      <c r="BZ103" s="14">
        <f>BY103*VLOOKUP('Données projet'!$B$12,Paramètres!$A$1:$I$89,3,0)*VLOOKUP('Données projet'!$B$12,Paramètres!$A$1:$I$89,5,0)</f>
        <v>212.9400000000002</v>
      </c>
      <c r="CA103" s="14">
        <f t="shared" si="93"/>
        <v>52.577528895212915</v>
      </c>
      <c r="CB103" s="22">
        <f t="shared" si="64"/>
        <v>462.44302949249618</v>
      </c>
      <c r="CC103" s="62">
        <f t="shared" si="65"/>
        <v>739.84708467620544</v>
      </c>
      <c r="CD103" s="62">
        <f ca="1">AVERAGE(OFFSET($CC$3,0,0,'Données projet'!$E$12+1,1))-AVERAGE(OFFSET($H$3,0,0,'Données projet'!$E$12+1,1))</f>
        <v>304.39782420428173</v>
      </c>
      <c r="CE103" s="62">
        <f t="shared" si="94"/>
        <v>360.34132229290537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14.781689894515864</v>
      </c>
      <c r="CL103" s="23">
        <f>EXP(-LN(2)/25)*CL102+(1-EXP(-LN(2)/25))/(LN(2)/25)*Calculateur!CG103*Calculateur!CI103*VLOOKUP('Données projet'!$B$12,Paramètres!$A$1:$I$89,3,0)*0.475*44/12</f>
        <v>1.9570034123163902</v>
      </c>
      <c r="CM103" s="23">
        <f>EXP(-LN(2)/2)*CM102+(1-EXP(-LN(2)/2))/(LN(2)/2)*CG103*CJ103*VLOOKUP('Données projet'!$B$12,Paramètres!$A$1:$I$89,3,0)*0.475*44/12</f>
        <v>4.6866643595181999E-6</v>
      </c>
      <c r="CN103" s="24">
        <f t="shared" si="66"/>
        <v>16.738697993496611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1.7053025658242404E-13</v>
      </c>
      <c r="O104" s="14">
        <f>N104*VLOOKUP('Données projet'!$B$9,Paramètres!$A$1:$I$89,3,0)*VLOOKUP('Données projet'!$B$9,Paramètres!$A$1:$I$89,5,0)</f>
        <v>7.9808160080574461E-14</v>
      </c>
      <c r="P104" s="14">
        <f t="shared" si="87"/>
        <v>1.2308384591775343E-12</v>
      </c>
      <c r="Q104" s="22">
        <f t="shared" si="107"/>
        <v>2.282709528541206E-12</v>
      </c>
      <c r="R104" s="62">
        <f t="shared" si="55"/>
        <v>277.68039254707668</v>
      </c>
      <c r="S104" s="62">
        <f ca="1">AVERAGE(OFFSET($R$3,0,0,'Données projet'!$E$9+1,1))-AVERAGE(OFFSET($H$3,0,0,'Données projet'!$E$9+1,1))</f>
        <v>234.81928430389272</v>
      </c>
      <c r="T104" s="62">
        <f t="shared" si="88"/>
        <v>294.47057757403411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38.718968533528162</v>
      </c>
      <c r="AA104" s="23">
        <f>EXP(-LN(2)/25)*AA103+(1-EXP(-LN(2)/25))/(LN(2)/25)*Calculateur!V104*Calculateur!X104*VLOOKUP('Données projet'!$B$9,Paramètres!$A$1:$I$89,3,0)*0.475*44/12</f>
        <v>12.07830416528299</v>
      </c>
      <c r="AB104" s="23">
        <f>EXP(-LN(2)/2)*AB103+(1-EXP(-LN(2)/2))/(LN(2)/2)*V104*Y104*VLOOKUP('Données projet'!$B$9,Paramètres!$A$1:$I$89,3,0)*0.475*44/12</f>
        <v>4.4007407587778782E-5</v>
      </c>
      <c r="AC104" s="24">
        <f t="shared" si="57"/>
        <v>50.797316706218744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273.00000000000023</v>
      </c>
      <c r="AJ104" s="14">
        <f>AI104*VLOOKUP('Données projet'!$B$10,Paramètres!$A$1:$I$89,3,0)*VLOOKUP('Données projet'!$B$10,Paramètres!$A$1:$I$89,5,0)</f>
        <v>212.9400000000002</v>
      </c>
      <c r="AK104" s="14">
        <f t="shared" si="89"/>
        <v>52.577528895212915</v>
      </c>
      <c r="AL104" s="22">
        <f t="shared" si="58"/>
        <v>462.44302949249618</v>
      </c>
      <c r="AM104" s="62">
        <f t="shared" si="59"/>
        <v>740.12342203957064</v>
      </c>
      <c r="AN104" s="62">
        <f ca="1">AVERAGE(OFFSET($AM$3,0,0,'Données projet'!$E$10+1,1))-AVERAGE(OFFSET($H$3,0,0,'Données projet'!$E$10+1,1))</f>
        <v>304.39782420428173</v>
      </c>
      <c r="AO104" s="62">
        <f t="shared" si="90"/>
        <v>360.34132229290537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14.491829971624993</v>
      </c>
      <c r="AV104" s="23">
        <f>EXP(-LN(2)/25)*AV103+(1-EXP(-LN(2)/25))/(LN(2)/25)*Calculateur!AQ104*Calculateur!AS104*VLOOKUP('Données projet'!$B$10,Paramètres!$A$1:$I$89,3,0)*0.475*44/12</f>
        <v>1.9034890510922617</v>
      </c>
      <c r="AW104" s="23">
        <f>EXP(-LN(2)/2)*AW103+(1-EXP(-LN(2)/2))/(LN(2)/2)*AQ104*AT104*VLOOKUP('Données projet'!$B$10,Paramètres!$A$1:$I$89,3,0)*0.475*44/12</f>
        <v>3.3139721497606267E-6</v>
      </c>
      <c r="AX104" s="23">
        <f t="shared" si="60"/>
        <v>16.395322336689407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273.00000000000023</v>
      </c>
      <c r="BE104" s="14">
        <f>BD104*VLOOKUP('Données projet'!$B$11,Paramètres!$A$1:$I$89,3,0)*VLOOKUP('Données projet'!$B$11,Paramètres!$A$1:$I$89,5,0)</f>
        <v>212.9400000000002</v>
      </c>
      <c r="BF104" s="14">
        <f t="shared" si="91"/>
        <v>52.577528895212915</v>
      </c>
      <c r="BG104" s="22">
        <f t="shared" si="61"/>
        <v>462.44302949249618</v>
      </c>
      <c r="BH104" s="62">
        <f t="shared" si="62"/>
        <v>740.12342203957064</v>
      </c>
      <c r="BI104" s="62">
        <f ca="1">AVERAGE(OFFSET($BH$3,0,0,'Données projet'!$E$11+1,1))-AVERAGE(OFFSET($H$3,0,0,'Données projet'!$E$11+1,1))</f>
        <v>304.39782420428173</v>
      </c>
      <c r="BJ104" s="62">
        <f t="shared" si="92"/>
        <v>360.34132229290537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14.491829971624993</v>
      </c>
      <c r="BQ104" s="23">
        <f>EXP(-LN(2)/25)*BQ103+(1-EXP(-LN(2)/25))/(LN(2)/25)*Calculateur!BL104*Calculateur!BN104*VLOOKUP('Données projet'!$B$11,Paramètres!$A$1:$I$89,3,0)*0.475*44/12</f>
        <v>1.9034890510922617</v>
      </c>
      <c r="BR104" s="23">
        <f>EXP(-LN(2)/2)*BR103+(1-EXP(-LN(2)/2))/(LN(2)/2)*BL104*BO104*VLOOKUP('Données projet'!$B$11,Paramètres!$A$1:$I$89,3,0)*0.475*44/12</f>
        <v>3.3139721497606267E-6</v>
      </c>
      <c r="BS104" s="24">
        <f t="shared" si="63"/>
        <v>16.395322336689407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273.00000000000023</v>
      </c>
      <c r="BZ104" s="14">
        <f>BY104*VLOOKUP('Données projet'!$B$12,Paramètres!$A$1:$I$89,3,0)*VLOOKUP('Données projet'!$B$12,Paramètres!$A$1:$I$89,5,0)</f>
        <v>212.9400000000002</v>
      </c>
      <c r="CA104" s="14">
        <f t="shared" si="93"/>
        <v>52.577528895212915</v>
      </c>
      <c r="CB104" s="22">
        <f t="shared" si="64"/>
        <v>462.44302949249618</v>
      </c>
      <c r="CC104" s="62">
        <f t="shared" si="65"/>
        <v>740.12342203957064</v>
      </c>
      <c r="CD104" s="62">
        <f ca="1">AVERAGE(OFFSET($CC$3,0,0,'Données projet'!$E$12+1,1))-AVERAGE(OFFSET($H$3,0,0,'Données projet'!$E$12+1,1))</f>
        <v>304.39782420428173</v>
      </c>
      <c r="CE104" s="62">
        <f t="shared" si="94"/>
        <v>360.34132229290537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14.491829971624993</v>
      </c>
      <c r="CL104" s="23">
        <f>EXP(-LN(2)/25)*CL103+(1-EXP(-LN(2)/25))/(LN(2)/25)*Calculateur!CG104*Calculateur!CI104*VLOOKUP('Données projet'!$B$12,Paramètres!$A$1:$I$89,3,0)*0.475*44/12</f>
        <v>1.9034890510922617</v>
      </c>
      <c r="CM104" s="23">
        <f>EXP(-LN(2)/2)*CM103+(1-EXP(-LN(2)/2))/(LN(2)/2)*CG104*CJ104*VLOOKUP('Données projet'!$B$12,Paramètres!$A$1:$I$89,3,0)*0.475*44/12</f>
        <v>3.3139721497606267E-6</v>
      </c>
      <c r="CN104" s="24">
        <f t="shared" si="66"/>
        <v>16.395322336689407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1.7053025658242404E-13</v>
      </c>
      <c r="O105" s="14">
        <f>N105*VLOOKUP('Données projet'!$B$9,Paramètres!$A$1:$I$89,3,0)*VLOOKUP('Données projet'!$B$9,Paramètres!$A$1:$I$89,5,0)</f>
        <v>7.9808160080574461E-14</v>
      </c>
      <c r="P105" s="14">
        <f t="shared" si="87"/>
        <v>1.2308384591775343E-12</v>
      </c>
      <c r="Q105" s="22">
        <f t="shared" si="107"/>
        <v>2.282709528541206E-12</v>
      </c>
      <c r="R105" s="62">
        <f t="shared" si="55"/>
        <v>277.95193607498521</v>
      </c>
      <c r="S105" s="62">
        <f ca="1">AVERAGE(OFFSET($R$3,0,0,'Données projet'!$E$9+1,1))-AVERAGE(OFFSET($H$3,0,0,'Données projet'!$E$9+1,1))</f>
        <v>234.81928430389272</v>
      </c>
      <c r="T105" s="62">
        <f t="shared" si="88"/>
        <v>294.47057757403411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37.959713176824572</v>
      </c>
      <c r="AA105" s="23">
        <f>EXP(-LN(2)/25)*AA104+(1-EXP(-LN(2)/25))/(LN(2)/25)*Calculateur!V105*Calculateur!X105*VLOOKUP('Données projet'!$B$9,Paramètres!$A$1:$I$89,3,0)*0.475*44/12</f>
        <v>11.748022302712917</v>
      </c>
      <c r="AB105" s="23">
        <f>EXP(-LN(2)/2)*AB104+(1-EXP(-LN(2)/2))/(LN(2)/2)*V105*Y105*VLOOKUP('Données projet'!$B$9,Paramètres!$A$1:$I$89,3,0)*0.475*44/12</f>
        <v>3.1117936327758702E-5</v>
      </c>
      <c r="AC105" s="24">
        <f t="shared" si="57"/>
        <v>49.707766597473821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273.00000000000023</v>
      </c>
      <c r="AJ105" s="14">
        <f>AI105*VLOOKUP('Données projet'!$B$10,Paramètres!$A$1:$I$89,3,0)*VLOOKUP('Données projet'!$B$10,Paramètres!$A$1:$I$89,5,0)</f>
        <v>212.9400000000002</v>
      </c>
      <c r="AK105" s="14">
        <f t="shared" si="89"/>
        <v>52.577528895212915</v>
      </c>
      <c r="AL105" s="22">
        <f t="shared" si="58"/>
        <v>462.44302949249618</v>
      </c>
      <c r="AM105" s="62">
        <f t="shared" si="59"/>
        <v>740.39496556747918</v>
      </c>
      <c r="AN105" s="62">
        <f ca="1">AVERAGE(OFFSET($AM$3,0,0,'Données projet'!$E$10+1,1))-AVERAGE(OFFSET($H$3,0,0,'Données projet'!$E$10+1,1))</f>
        <v>304.39782420428173</v>
      </c>
      <c r="AO105" s="62">
        <f t="shared" si="90"/>
        <v>360.34132229290537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14.207654025024917</v>
      </c>
      <c r="AV105" s="23">
        <f>EXP(-LN(2)/25)*AV104+(1-EXP(-LN(2)/25))/(LN(2)/25)*Calculateur!AQ105*Calculateur!AS105*VLOOKUP('Données projet'!$B$10,Paramètres!$A$1:$I$89,3,0)*0.475*44/12</f>
        <v>1.851438042890005</v>
      </c>
      <c r="AW105" s="23">
        <f>EXP(-LN(2)/2)*AW104+(1-EXP(-LN(2)/2))/(LN(2)/2)*AQ105*AT105*VLOOKUP('Données projet'!$B$10,Paramètres!$A$1:$I$89,3,0)*0.475*44/12</f>
        <v>2.3433321797590999E-6</v>
      </c>
      <c r="AX105" s="23">
        <f t="shared" si="60"/>
        <v>16.059094411247102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273.00000000000023</v>
      </c>
      <c r="BE105" s="14">
        <f>BD105*VLOOKUP('Données projet'!$B$11,Paramètres!$A$1:$I$89,3,0)*VLOOKUP('Données projet'!$B$11,Paramètres!$A$1:$I$89,5,0)</f>
        <v>212.9400000000002</v>
      </c>
      <c r="BF105" s="14">
        <f t="shared" si="91"/>
        <v>52.577528895212915</v>
      </c>
      <c r="BG105" s="22">
        <f t="shared" si="61"/>
        <v>462.44302949249618</v>
      </c>
      <c r="BH105" s="62">
        <f t="shared" si="62"/>
        <v>740.39496556747918</v>
      </c>
      <c r="BI105" s="62">
        <f ca="1">AVERAGE(OFFSET($BH$3,0,0,'Données projet'!$E$11+1,1))-AVERAGE(OFFSET($H$3,0,0,'Données projet'!$E$11+1,1))</f>
        <v>304.39782420428173</v>
      </c>
      <c r="BJ105" s="62">
        <f t="shared" si="92"/>
        <v>360.34132229290537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14.207654025024917</v>
      </c>
      <c r="BQ105" s="23">
        <f>EXP(-LN(2)/25)*BQ104+(1-EXP(-LN(2)/25))/(LN(2)/25)*Calculateur!BL105*Calculateur!BN105*VLOOKUP('Données projet'!$B$11,Paramètres!$A$1:$I$89,3,0)*0.475*44/12</f>
        <v>1.851438042890005</v>
      </c>
      <c r="BR105" s="23">
        <f>EXP(-LN(2)/2)*BR104+(1-EXP(-LN(2)/2))/(LN(2)/2)*BL105*BO105*VLOOKUP('Données projet'!$B$11,Paramètres!$A$1:$I$89,3,0)*0.475*44/12</f>
        <v>2.3433321797590999E-6</v>
      </c>
      <c r="BS105" s="24">
        <f t="shared" si="63"/>
        <v>16.059094411247102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273.00000000000023</v>
      </c>
      <c r="BZ105" s="14">
        <f>BY105*VLOOKUP('Données projet'!$B$12,Paramètres!$A$1:$I$89,3,0)*VLOOKUP('Données projet'!$B$12,Paramètres!$A$1:$I$89,5,0)</f>
        <v>212.9400000000002</v>
      </c>
      <c r="CA105" s="14">
        <f t="shared" si="93"/>
        <v>52.577528895212915</v>
      </c>
      <c r="CB105" s="22">
        <f t="shared" si="64"/>
        <v>462.44302949249618</v>
      </c>
      <c r="CC105" s="62">
        <f t="shared" si="65"/>
        <v>740.39496556747918</v>
      </c>
      <c r="CD105" s="62">
        <f ca="1">AVERAGE(OFFSET($CC$3,0,0,'Données projet'!$E$12+1,1))-AVERAGE(OFFSET($H$3,0,0,'Données projet'!$E$12+1,1))</f>
        <v>304.39782420428173</v>
      </c>
      <c r="CE105" s="62">
        <f t="shared" si="94"/>
        <v>360.34132229290537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14.207654025024917</v>
      </c>
      <c r="CL105" s="23">
        <f>EXP(-LN(2)/25)*CL104+(1-EXP(-LN(2)/25))/(LN(2)/25)*Calculateur!CG105*Calculateur!CI105*VLOOKUP('Données projet'!$B$12,Paramètres!$A$1:$I$89,3,0)*0.475*44/12</f>
        <v>1.851438042890005</v>
      </c>
      <c r="CM105" s="23">
        <f>EXP(-LN(2)/2)*CM104+(1-EXP(-LN(2)/2))/(LN(2)/2)*CG105*CJ105*VLOOKUP('Données projet'!$B$12,Paramètres!$A$1:$I$89,3,0)*0.475*44/12</f>
        <v>2.3433321797590999E-6</v>
      </c>
      <c r="CN105" s="24">
        <f t="shared" si="66"/>
        <v>16.059094411247102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1.7053025658242404E-13</v>
      </c>
      <c r="O106" s="14">
        <f>N106*VLOOKUP('Données projet'!$B$9,Paramètres!$A$1:$I$89,3,0)*VLOOKUP('Données projet'!$B$9,Paramètres!$A$1:$I$89,5,0)</f>
        <v>7.9808160080574461E-14</v>
      </c>
      <c r="P106" s="14">
        <f t="shared" si="87"/>
        <v>1.2308384591775343E-12</v>
      </c>
      <c r="Q106" s="22">
        <f t="shared" si="107"/>
        <v>2.282709528541206E-12</v>
      </c>
      <c r="R106" s="62">
        <f t="shared" si="55"/>
        <v>278.21876892976496</v>
      </c>
      <c r="S106" s="62">
        <f ca="1">AVERAGE(OFFSET($R$3,0,0,'Données projet'!$E$9+1,1))-AVERAGE(OFFSET($H$3,0,0,'Données projet'!$E$9+1,1))</f>
        <v>234.81928430389272</v>
      </c>
      <c r="T106" s="62">
        <f t="shared" si="88"/>
        <v>294.47057757403411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37.215346354565895</v>
      </c>
      <c r="AA106" s="23">
        <f>EXP(-LN(2)/25)*AA105+(1-EXP(-LN(2)/25))/(LN(2)/25)*Calculateur!V106*Calculateur!X106*VLOOKUP('Données projet'!$B$9,Paramètres!$A$1:$I$89,3,0)*0.475*44/12</f>
        <v>11.426772015043589</v>
      </c>
      <c r="AB106" s="23">
        <f>EXP(-LN(2)/2)*AB105+(1-EXP(-LN(2)/2))/(LN(2)/2)*V106*Y106*VLOOKUP('Données projet'!$B$9,Paramètres!$A$1:$I$89,3,0)*0.475*44/12</f>
        <v>2.2003703793889391E-5</v>
      </c>
      <c r="AC106" s="24">
        <f t="shared" si="57"/>
        <v>48.642140373313275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273.00000000000023</v>
      </c>
      <c r="AJ106" s="14">
        <f>AI106*VLOOKUP('Données projet'!$B$10,Paramètres!$A$1:$I$89,3,0)*VLOOKUP('Données projet'!$B$10,Paramètres!$A$1:$I$89,5,0)</f>
        <v>212.9400000000002</v>
      </c>
      <c r="AK106" s="14">
        <f t="shared" si="89"/>
        <v>52.577528895212915</v>
      </c>
      <c r="AL106" s="22">
        <f t="shared" si="58"/>
        <v>462.44302949249618</v>
      </c>
      <c r="AM106" s="62">
        <f t="shared" si="59"/>
        <v>740.66179842225893</v>
      </c>
      <c r="AN106" s="62">
        <f ca="1">AVERAGE(OFFSET($AM$3,0,0,'Données projet'!$E$10+1,1))-AVERAGE(OFFSET($H$3,0,0,'Données projet'!$E$10+1,1))</f>
        <v>304.39782420428173</v>
      </c>
      <c r="AO106" s="62">
        <f t="shared" si="90"/>
        <v>360.34132229290537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13.929050595407455</v>
      </c>
      <c r="AV106" s="23">
        <f>EXP(-LN(2)/25)*AV105+(1-EXP(-LN(2)/25))/(LN(2)/25)*Calculateur!AQ106*Calculateur!AS106*VLOOKUP('Données projet'!$B$10,Paramètres!$A$1:$I$89,3,0)*0.475*44/12</f>
        <v>1.8008103722442828</v>
      </c>
      <c r="AW106" s="23">
        <f>EXP(-LN(2)/2)*AW105+(1-EXP(-LN(2)/2))/(LN(2)/2)*AQ106*AT106*VLOOKUP('Données projet'!$B$10,Paramètres!$A$1:$I$89,3,0)*0.475*44/12</f>
        <v>1.6569860748803134E-6</v>
      </c>
      <c r="AX106" s="23">
        <f t="shared" si="60"/>
        <v>15.729862624637814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273.00000000000023</v>
      </c>
      <c r="BE106" s="14">
        <f>BD106*VLOOKUP('Données projet'!$B$11,Paramètres!$A$1:$I$89,3,0)*VLOOKUP('Données projet'!$B$11,Paramètres!$A$1:$I$89,5,0)</f>
        <v>212.9400000000002</v>
      </c>
      <c r="BF106" s="14">
        <f t="shared" si="91"/>
        <v>52.577528895212915</v>
      </c>
      <c r="BG106" s="22">
        <f t="shared" si="61"/>
        <v>462.44302949249618</v>
      </c>
      <c r="BH106" s="62">
        <f t="shared" si="62"/>
        <v>740.66179842225893</v>
      </c>
      <c r="BI106" s="62">
        <f ca="1">AVERAGE(OFFSET($BH$3,0,0,'Données projet'!$E$11+1,1))-AVERAGE(OFFSET($H$3,0,0,'Données projet'!$E$11+1,1))</f>
        <v>304.39782420428173</v>
      </c>
      <c r="BJ106" s="62">
        <f t="shared" si="92"/>
        <v>360.34132229290537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13.929050595407455</v>
      </c>
      <c r="BQ106" s="23">
        <f>EXP(-LN(2)/25)*BQ105+(1-EXP(-LN(2)/25))/(LN(2)/25)*Calculateur!BL106*Calculateur!BN106*VLOOKUP('Données projet'!$B$11,Paramètres!$A$1:$I$89,3,0)*0.475*44/12</f>
        <v>1.8008103722442828</v>
      </c>
      <c r="BR106" s="23">
        <f>EXP(-LN(2)/2)*BR105+(1-EXP(-LN(2)/2))/(LN(2)/2)*BL106*BO106*VLOOKUP('Données projet'!$B$11,Paramètres!$A$1:$I$89,3,0)*0.475*44/12</f>
        <v>1.6569860748803134E-6</v>
      </c>
      <c r="BS106" s="24">
        <f t="shared" si="63"/>
        <v>15.729862624637814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273.00000000000023</v>
      </c>
      <c r="BZ106" s="14">
        <f>BY106*VLOOKUP('Données projet'!$B$12,Paramètres!$A$1:$I$89,3,0)*VLOOKUP('Données projet'!$B$12,Paramètres!$A$1:$I$89,5,0)</f>
        <v>212.9400000000002</v>
      </c>
      <c r="CA106" s="14">
        <f t="shared" si="93"/>
        <v>52.577528895212915</v>
      </c>
      <c r="CB106" s="22">
        <f t="shared" si="64"/>
        <v>462.44302949249618</v>
      </c>
      <c r="CC106" s="62">
        <f t="shared" si="65"/>
        <v>740.66179842225893</v>
      </c>
      <c r="CD106" s="62">
        <f ca="1">AVERAGE(OFFSET($CC$3,0,0,'Données projet'!$E$12+1,1))-AVERAGE(OFFSET($H$3,0,0,'Données projet'!$E$12+1,1))</f>
        <v>304.39782420428173</v>
      </c>
      <c r="CE106" s="62">
        <f t="shared" si="94"/>
        <v>360.34132229290537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13.929050595407455</v>
      </c>
      <c r="CL106" s="23">
        <f>EXP(-LN(2)/25)*CL105+(1-EXP(-LN(2)/25))/(LN(2)/25)*Calculateur!CG106*Calculateur!CI106*VLOOKUP('Données projet'!$B$12,Paramètres!$A$1:$I$89,3,0)*0.475*44/12</f>
        <v>1.8008103722442828</v>
      </c>
      <c r="CM106" s="23">
        <f>EXP(-LN(2)/2)*CM105+(1-EXP(-LN(2)/2))/(LN(2)/2)*CG106*CJ106*VLOOKUP('Données projet'!$B$12,Paramètres!$A$1:$I$89,3,0)*0.475*44/12</f>
        <v>1.6569860748803134E-6</v>
      </c>
      <c r="CN106" s="24">
        <f t="shared" si="66"/>
        <v>15.729862624637814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1.7053025658242404E-13</v>
      </c>
      <c r="O107" s="14">
        <f>N107*VLOOKUP('Données projet'!$B$9,Paramètres!$A$1:$I$89,3,0)*VLOOKUP('Données projet'!$B$9,Paramètres!$A$1:$I$89,5,0)</f>
        <v>7.9808160080574461E-14</v>
      </c>
      <c r="P107" s="14">
        <f t="shared" si="87"/>
        <v>1.2308384591775343E-12</v>
      </c>
      <c r="Q107" s="22">
        <f t="shared" si="107"/>
        <v>2.282709528541206E-12</v>
      </c>
      <c r="R107" s="62">
        <f t="shared" si="55"/>
        <v>278.48097283106318</v>
      </c>
      <c r="S107" s="62">
        <f ca="1">AVERAGE(OFFSET($R$3,0,0,'Données projet'!$E$9+1,1))-AVERAGE(OFFSET($H$3,0,0,'Données projet'!$E$9+1,1))</f>
        <v>234.81928430389272</v>
      </c>
      <c r="T107" s="62">
        <f t="shared" si="88"/>
        <v>294.47057757403411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36.485576111672785</v>
      </c>
      <c r="AA107" s="23">
        <f>EXP(-LN(2)/25)*AA106+(1-EXP(-LN(2)/25))/(LN(2)/25)*Calculateur!V107*Calculateur!X107*VLOOKUP('Données projet'!$B$9,Paramètres!$A$1:$I$89,3,0)*0.475*44/12</f>
        <v>11.114306333384398</v>
      </c>
      <c r="AB107" s="23">
        <f>EXP(-LN(2)/2)*AB106+(1-EXP(-LN(2)/2))/(LN(2)/2)*V107*Y107*VLOOKUP('Données projet'!$B$9,Paramètres!$A$1:$I$89,3,0)*0.475*44/12</f>
        <v>1.5558968163879351E-5</v>
      </c>
      <c r="AC107" s="24">
        <f t="shared" si="57"/>
        <v>47.599898004025349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273.00000000000023</v>
      </c>
      <c r="AJ107" s="14">
        <f>AI107*VLOOKUP('Données projet'!$B$10,Paramètres!$A$1:$I$89,3,0)*VLOOKUP('Données projet'!$B$10,Paramètres!$A$1:$I$89,5,0)</f>
        <v>212.9400000000002</v>
      </c>
      <c r="AK107" s="14">
        <f t="shared" si="89"/>
        <v>52.577528895212915</v>
      </c>
      <c r="AL107" s="22">
        <f t="shared" si="58"/>
        <v>462.44302949249618</v>
      </c>
      <c r="AM107" s="62">
        <f t="shared" si="59"/>
        <v>740.92400232355703</v>
      </c>
      <c r="AN107" s="62">
        <f ca="1">AVERAGE(OFFSET($AM$3,0,0,'Données projet'!$E$10+1,1))-AVERAGE(OFFSET($H$3,0,0,'Données projet'!$E$10+1,1))</f>
        <v>304.39782420428173</v>
      </c>
      <c r="AO107" s="62">
        <f t="shared" si="90"/>
        <v>360.34132229290537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13.65591040911348</v>
      </c>
      <c r="AV107" s="23">
        <f>EXP(-LN(2)/25)*AV106+(1-EXP(-LN(2)/25))/(LN(2)/25)*Calculateur!AQ107*Calculateur!AS107*VLOOKUP('Données projet'!$B$10,Paramètres!$A$1:$I$89,3,0)*0.475*44/12</f>
        <v>1.7515671179147612</v>
      </c>
      <c r="AW107" s="23">
        <f>EXP(-LN(2)/2)*AW106+(1-EXP(-LN(2)/2))/(LN(2)/2)*AQ107*AT107*VLOOKUP('Données projet'!$B$10,Paramètres!$A$1:$I$89,3,0)*0.475*44/12</f>
        <v>1.17166608987955E-6</v>
      </c>
      <c r="AX107" s="23">
        <f t="shared" si="60"/>
        <v>15.407478698694332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273.00000000000023</v>
      </c>
      <c r="BE107" s="14">
        <f>BD107*VLOOKUP('Données projet'!$B$11,Paramètres!$A$1:$I$89,3,0)*VLOOKUP('Données projet'!$B$11,Paramètres!$A$1:$I$89,5,0)</f>
        <v>212.9400000000002</v>
      </c>
      <c r="BF107" s="14">
        <f t="shared" si="91"/>
        <v>52.577528895212915</v>
      </c>
      <c r="BG107" s="22">
        <f t="shared" si="61"/>
        <v>462.44302949249618</v>
      </c>
      <c r="BH107" s="62">
        <f t="shared" si="62"/>
        <v>740.92400232355703</v>
      </c>
      <c r="BI107" s="62">
        <f ca="1">AVERAGE(OFFSET($BH$3,0,0,'Données projet'!$E$11+1,1))-AVERAGE(OFFSET($H$3,0,0,'Données projet'!$E$11+1,1))</f>
        <v>304.39782420428173</v>
      </c>
      <c r="BJ107" s="62">
        <f t="shared" si="92"/>
        <v>360.34132229290537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13.65591040911348</v>
      </c>
      <c r="BQ107" s="23">
        <f>EXP(-LN(2)/25)*BQ106+(1-EXP(-LN(2)/25))/(LN(2)/25)*Calculateur!BL107*Calculateur!BN107*VLOOKUP('Données projet'!$B$11,Paramètres!$A$1:$I$89,3,0)*0.475*44/12</f>
        <v>1.7515671179147612</v>
      </c>
      <c r="BR107" s="23">
        <f>EXP(-LN(2)/2)*BR106+(1-EXP(-LN(2)/2))/(LN(2)/2)*BL107*BO107*VLOOKUP('Données projet'!$B$11,Paramètres!$A$1:$I$89,3,0)*0.475*44/12</f>
        <v>1.17166608987955E-6</v>
      </c>
      <c r="BS107" s="24">
        <f t="shared" si="63"/>
        <v>15.407478698694332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273.00000000000023</v>
      </c>
      <c r="BZ107" s="14">
        <f>BY107*VLOOKUP('Données projet'!$B$12,Paramètres!$A$1:$I$89,3,0)*VLOOKUP('Données projet'!$B$12,Paramètres!$A$1:$I$89,5,0)</f>
        <v>212.9400000000002</v>
      </c>
      <c r="CA107" s="14">
        <f t="shared" si="93"/>
        <v>52.577528895212915</v>
      </c>
      <c r="CB107" s="22">
        <f t="shared" si="64"/>
        <v>462.44302949249618</v>
      </c>
      <c r="CC107" s="62">
        <f t="shared" si="65"/>
        <v>740.92400232355703</v>
      </c>
      <c r="CD107" s="62">
        <f ca="1">AVERAGE(OFFSET($CC$3,0,0,'Données projet'!$E$12+1,1))-AVERAGE(OFFSET($H$3,0,0,'Données projet'!$E$12+1,1))</f>
        <v>304.39782420428173</v>
      </c>
      <c r="CE107" s="62">
        <f t="shared" si="94"/>
        <v>360.34132229290537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13.65591040911348</v>
      </c>
      <c r="CL107" s="23">
        <f>EXP(-LN(2)/25)*CL106+(1-EXP(-LN(2)/25))/(LN(2)/25)*Calculateur!CG107*Calculateur!CI107*VLOOKUP('Données projet'!$B$12,Paramètres!$A$1:$I$89,3,0)*0.475*44/12</f>
        <v>1.7515671179147612</v>
      </c>
      <c r="CM107" s="23">
        <f>EXP(-LN(2)/2)*CM106+(1-EXP(-LN(2)/2))/(LN(2)/2)*CG107*CJ107*VLOOKUP('Données projet'!$B$12,Paramètres!$A$1:$I$89,3,0)*0.475*44/12</f>
        <v>1.17166608987955E-6</v>
      </c>
      <c r="CN107" s="24">
        <f t="shared" si="66"/>
        <v>15.407478698694332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1.7053025658242404E-13</v>
      </c>
      <c r="O108" s="14">
        <f>N108*VLOOKUP('Données projet'!$B$9,Paramètres!$A$1:$I$89,3,0)*VLOOKUP('Données projet'!$B$9,Paramètres!$A$1:$I$89,5,0)</f>
        <v>7.9808160080574461E-14</v>
      </c>
      <c r="P108" s="14">
        <f t="shared" si="87"/>
        <v>1.2308384591775343E-12</v>
      </c>
      <c r="Q108" s="22">
        <f t="shared" si="107"/>
        <v>2.282709528541206E-12</v>
      </c>
      <c r="R108" s="62">
        <f t="shared" si="55"/>
        <v>278.73862808087404</v>
      </c>
      <c r="S108" s="62">
        <f ca="1">AVERAGE(OFFSET($R$3,0,0,'Données projet'!$E$9+1,1))-AVERAGE(OFFSET($H$3,0,0,'Données projet'!$E$9+1,1))</f>
        <v>234.81928430389272</v>
      </c>
      <c r="T108" s="62">
        <f t="shared" si="88"/>
        <v>294.47057757403411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35.770116218126908</v>
      </c>
      <c r="AA108" s="23">
        <f>EXP(-LN(2)/25)*AA107+(1-EXP(-LN(2)/25))/(LN(2)/25)*Calculateur!V108*Calculateur!X108*VLOOKUP('Données projet'!$B$9,Paramètres!$A$1:$I$89,3,0)*0.475*44/12</f>
        <v>10.810385042222034</v>
      </c>
      <c r="AB108" s="23">
        <f>EXP(-LN(2)/2)*AB107+(1-EXP(-LN(2)/2))/(LN(2)/2)*V108*Y108*VLOOKUP('Données projet'!$B$9,Paramètres!$A$1:$I$89,3,0)*0.475*44/12</f>
        <v>1.1001851896944695E-5</v>
      </c>
      <c r="AC108" s="24">
        <f t="shared" si="57"/>
        <v>46.580512262200834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273.00000000000023</v>
      </c>
      <c r="AJ108" s="14">
        <f>AI108*VLOOKUP('Données projet'!$B$10,Paramètres!$A$1:$I$89,3,0)*VLOOKUP('Données projet'!$B$10,Paramètres!$A$1:$I$89,5,0)</f>
        <v>212.9400000000002</v>
      </c>
      <c r="AK108" s="14">
        <f t="shared" si="89"/>
        <v>52.577528895212915</v>
      </c>
      <c r="AL108" s="22">
        <f t="shared" si="58"/>
        <v>462.44302949249618</v>
      </c>
      <c r="AM108" s="62">
        <f t="shared" si="59"/>
        <v>741.18165757336794</v>
      </c>
      <c r="AN108" s="62">
        <f ca="1">AVERAGE(OFFSET($AM$3,0,0,'Données projet'!$E$10+1,1))-AVERAGE(OFFSET($H$3,0,0,'Données projet'!$E$10+1,1))</f>
        <v>304.39782420428173</v>
      </c>
      <c r="AO108" s="62">
        <f t="shared" si="90"/>
        <v>360.34132229290537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13.388126335273665</v>
      </c>
      <c r="AV108" s="23">
        <f>EXP(-LN(2)/25)*AV107+(1-EXP(-LN(2)/25))/(LN(2)/25)*Calculateur!AQ108*Calculateur!AS108*VLOOKUP('Données projet'!$B$10,Paramètres!$A$1:$I$89,3,0)*0.475*44/12</f>
        <v>1.7036704229644706</v>
      </c>
      <c r="AW108" s="23">
        <f>EXP(-LN(2)/2)*AW107+(1-EXP(-LN(2)/2))/(LN(2)/2)*AQ108*AT108*VLOOKUP('Données projet'!$B$10,Paramètres!$A$1:$I$89,3,0)*0.475*44/12</f>
        <v>8.2849303744015668E-7</v>
      </c>
      <c r="AX108" s="23">
        <f t="shared" si="60"/>
        <v>15.091797586731174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273.00000000000023</v>
      </c>
      <c r="BE108" s="14">
        <f>BD108*VLOOKUP('Données projet'!$B$11,Paramètres!$A$1:$I$89,3,0)*VLOOKUP('Données projet'!$B$11,Paramètres!$A$1:$I$89,5,0)</f>
        <v>212.9400000000002</v>
      </c>
      <c r="BF108" s="14">
        <f t="shared" si="91"/>
        <v>52.577528895212915</v>
      </c>
      <c r="BG108" s="22">
        <f t="shared" si="61"/>
        <v>462.44302949249618</v>
      </c>
      <c r="BH108" s="62">
        <f t="shared" si="62"/>
        <v>741.18165757336794</v>
      </c>
      <c r="BI108" s="62">
        <f ca="1">AVERAGE(OFFSET($BH$3,0,0,'Données projet'!$E$11+1,1))-AVERAGE(OFFSET($H$3,0,0,'Données projet'!$E$11+1,1))</f>
        <v>304.39782420428173</v>
      </c>
      <c r="BJ108" s="62">
        <f t="shared" si="92"/>
        <v>360.34132229290537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13.388126335273665</v>
      </c>
      <c r="BQ108" s="23">
        <f>EXP(-LN(2)/25)*BQ107+(1-EXP(-LN(2)/25))/(LN(2)/25)*Calculateur!BL108*Calculateur!BN108*VLOOKUP('Données projet'!$B$11,Paramètres!$A$1:$I$89,3,0)*0.475*44/12</f>
        <v>1.7036704229644706</v>
      </c>
      <c r="BR108" s="23">
        <f>EXP(-LN(2)/2)*BR107+(1-EXP(-LN(2)/2))/(LN(2)/2)*BL108*BO108*VLOOKUP('Données projet'!$B$11,Paramètres!$A$1:$I$89,3,0)*0.475*44/12</f>
        <v>8.2849303744015668E-7</v>
      </c>
      <c r="BS108" s="24">
        <f t="shared" si="63"/>
        <v>15.091797586731174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273.00000000000023</v>
      </c>
      <c r="BZ108" s="14">
        <f>BY108*VLOOKUP('Données projet'!$B$12,Paramètres!$A$1:$I$89,3,0)*VLOOKUP('Données projet'!$B$12,Paramètres!$A$1:$I$89,5,0)</f>
        <v>212.9400000000002</v>
      </c>
      <c r="CA108" s="14">
        <f t="shared" si="93"/>
        <v>52.577528895212915</v>
      </c>
      <c r="CB108" s="22">
        <f t="shared" si="64"/>
        <v>462.44302949249618</v>
      </c>
      <c r="CC108" s="62">
        <f t="shared" si="65"/>
        <v>741.18165757336794</v>
      </c>
      <c r="CD108" s="62">
        <f ca="1">AVERAGE(OFFSET($CC$3,0,0,'Données projet'!$E$12+1,1))-AVERAGE(OFFSET($H$3,0,0,'Données projet'!$E$12+1,1))</f>
        <v>304.39782420428173</v>
      </c>
      <c r="CE108" s="62">
        <f t="shared" si="94"/>
        <v>360.34132229290537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13.388126335273665</v>
      </c>
      <c r="CL108" s="23">
        <f>EXP(-LN(2)/25)*CL107+(1-EXP(-LN(2)/25))/(LN(2)/25)*Calculateur!CG108*Calculateur!CI108*VLOOKUP('Données projet'!$B$12,Paramètres!$A$1:$I$89,3,0)*0.475*44/12</f>
        <v>1.7036704229644706</v>
      </c>
      <c r="CM108" s="23">
        <f>EXP(-LN(2)/2)*CM107+(1-EXP(-LN(2)/2))/(LN(2)/2)*CG108*CJ108*VLOOKUP('Données projet'!$B$12,Paramètres!$A$1:$I$89,3,0)*0.475*44/12</f>
        <v>8.2849303744015668E-7</v>
      </c>
      <c r="CN108" s="24">
        <f t="shared" si="66"/>
        <v>15.091797586731174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1.7053025658242404E-13</v>
      </c>
      <c r="O109" s="14">
        <f>N109*VLOOKUP('Données projet'!$B$9,Paramètres!$A$1:$I$89,3,0)*VLOOKUP('Données projet'!$B$9,Paramètres!$A$1:$I$89,5,0)</f>
        <v>7.9808160080574461E-14</v>
      </c>
      <c r="P109" s="14">
        <f t="shared" si="87"/>
        <v>1.2308384591775343E-12</v>
      </c>
      <c r="Q109" s="22">
        <f t="shared" si="107"/>
        <v>2.282709528541206E-12</v>
      </c>
      <c r="R109" s="62">
        <f t="shared" si="55"/>
        <v>278.99181358813138</v>
      </c>
      <c r="S109" s="62">
        <f ca="1">AVERAGE(OFFSET($R$3,0,0,'Données projet'!$E$9+1,1))-AVERAGE(OFFSET($H$3,0,0,'Données projet'!$E$9+1,1))</f>
        <v>234.81928430389272</v>
      </c>
      <c r="T109" s="62">
        <f t="shared" si="88"/>
        <v>294.47057757403411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35.068686056706021</v>
      </c>
      <c r="AA109" s="23">
        <f>EXP(-LN(2)/25)*AA108+(1-EXP(-LN(2)/25))/(LN(2)/25)*Calculateur!V109*Calculateur!X109*VLOOKUP('Données projet'!$B$9,Paramètres!$A$1:$I$89,3,0)*0.475*44/12</f>
        <v>10.51477449474903</v>
      </c>
      <c r="AB109" s="23">
        <f>EXP(-LN(2)/2)*AB108+(1-EXP(-LN(2)/2))/(LN(2)/2)*V109*Y109*VLOOKUP('Données projet'!$B$9,Paramètres!$A$1:$I$89,3,0)*0.475*44/12</f>
        <v>7.7794840819396755E-6</v>
      </c>
      <c r="AC109" s="24">
        <f t="shared" si="57"/>
        <v>45.583468330939127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273.00000000000023</v>
      </c>
      <c r="AJ109" s="14">
        <f>AI109*VLOOKUP('Données projet'!$B$10,Paramètres!$A$1:$I$89,3,0)*VLOOKUP('Données projet'!$B$10,Paramètres!$A$1:$I$89,5,0)</f>
        <v>212.9400000000002</v>
      </c>
      <c r="AK109" s="14">
        <f t="shared" si="89"/>
        <v>52.577528895212915</v>
      </c>
      <c r="AL109" s="22">
        <f t="shared" si="58"/>
        <v>462.44302949249618</v>
      </c>
      <c r="AM109" s="62">
        <f t="shared" si="59"/>
        <v>741.43484308062534</v>
      </c>
      <c r="AN109" s="62">
        <f ca="1">AVERAGE(OFFSET($AM$3,0,0,'Données projet'!$E$10+1,1))-AVERAGE(OFFSET($H$3,0,0,'Données projet'!$E$10+1,1))</f>
        <v>304.39782420428173</v>
      </c>
      <c r="AO109" s="62">
        <f t="shared" si="90"/>
        <v>360.34132229290537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13.125593343789692</v>
      </c>
      <c r="AV109" s="23">
        <f>EXP(-LN(2)/25)*AV108+(1-EXP(-LN(2)/25))/(LN(2)/25)*Calculateur!AQ109*Calculateur!AS109*VLOOKUP('Données projet'!$B$10,Paramètres!$A$1:$I$89,3,0)*0.475*44/12</f>
        <v>1.6570834656563733</v>
      </c>
      <c r="AW109" s="23">
        <f>EXP(-LN(2)/2)*AW108+(1-EXP(-LN(2)/2))/(LN(2)/2)*AQ109*AT109*VLOOKUP('Données projet'!$B$10,Paramètres!$A$1:$I$89,3,0)*0.475*44/12</f>
        <v>5.8583304493977498E-7</v>
      </c>
      <c r="AX109" s="23">
        <f t="shared" si="60"/>
        <v>14.78267739527911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273.00000000000023</v>
      </c>
      <c r="BE109" s="14">
        <f>BD109*VLOOKUP('Données projet'!$B$11,Paramètres!$A$1:$I$89,3,0)*VLOOKUP('Données projet'!$B$11,Paramètres!$A$1:$I$89,5,0)</f>
        <v>212.9400000000002</v>
      </c>
      <c r="BF109" s="14">
        <f t="shared" si="91"/>
        <v>52.577528895212915</v>
      </c>
      <c r="BG109" s="22">
        <f t="shared" si="61"/>
        <v>462.44302949249618</v>
      </c>
      <c r="BH109" s="62">
        <f t="shared" si="62"/>
        <v>741.43484308062534</v>
      </c>
      <c r="BI109" s="62">
        <f ca="1">AVERAGE(OFFSET($BH$3,0,0,'Données projet'!$E$11+1,1))-AVERAGE(OFFSET($H$3,0,0,'Données projet'!$E$11+1,1))</f>
        <v>304.39782420428173</v>
      </c>
      <c r="BJ109" s="62">
        <f t="shared" si="92"/>
        <v>360.34132229290537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13.125593343789692</v>
      </c>
      <c r="BQ109" s="23">
        <f>EXP(-LN(2)/25)*BQ108+(1-EXP(-LN(2)/25))/(LN(2)/25)*Calculateur!BL109*Calculateur!BN109*VLOOKUP('Données projet'!$B$11,Paramètres!$A$1:$I$89,3,0)*0.475*44/12</f>
        <v>1.6570834656563733</v>
      </c>
      <c r="BR109" s="23">
        <f>EXP(-LN(2)/2)*BR108+(1-EXP(-LN(2)/2))/(LN(2)/2)*BL109*BO109*VLOOKUP('Données projet'!$B$11,Paramètres!$A$1:$I$89,3,0)*0.475*44/12</f>
        <v>5.8583304493977498E-7</v>
      </c>
      <c r="BS109" s="24">
        <f t="shared" si="63"/>
        <v>14.78267739527911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273.00000000000023</v>
      </c>
      <c r="BZ109" s="14">
        <f>BY109*VLOOKUP('Données projet'!$B$12,Paramètres!$A$1:$I$89,3,0)*VLOOKUP('Données projet'!$B$12,Paramètres!$A$1:$I$89,5,0)</f>
        <v>212.9400000000002</v>
      </c>
      <c r="CA109" s="14">
        <f t="shared" si="93"/>
        <v>52.577528895212915</v>
      </c>
      <c r="CB109" s="22">
        <f t="shared" si="64"/>
        <v>462.44302949249618</v>
      </c>
      <c r="CC109" s="62">
        <f t="shared" si="65"/>
        <v>741.43484308062534</v>
      </c>
      <c r="CD109" s="62">
        <f ca="1">AVERAGE(OFFSET($CC$3,0,0,'Données projet'!$E$12+1,1))-AVERAGE(OFFSET($H$3,0,0,'Données projet'!$E$12+1,1))</f>
        <v>304.39782420428173</v>
      </c>
      <c r="CE109" s="62">
        <f t="shared" si="94"/>
        <v>360.34132229290537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13.125593343789692</v>
      </c>
      <c r="CL109" s="23">
        <f>EXP(-LN(2)/25)*CL108+(1-EXP(-LN(2)/25))/(LN(2)/25)*Calculateur!CG109*Calculateur!CI109*VLOOKUP('Données projet'!$B$12,Paramètres!$A$1:$I$89,3,0)*0.475*44/12</f>
        <v>1.6570834656563733</v>
      </c>
      <c r="CM109" s="23">
        <f>EXP(-LN(2)/2)*CM108+(1-EXP(-LN(2)/2))/(LN(2)/2)*CG109*CJ109*VLOOKUP('Données projet'!$B$12,Paramètres!$A$1:$I$89,3,0)*0.475*44/12</f>
        <v>5.8583304493977498E-7</v>
      </c>
      <c r="CN109" s="24">
        <f t="shared" si="66"/>
        <v>14.78267739527911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1.7053025658242404E-13</v>
      </c>
      <c r="O110" s="14">
        <f>N110*VLOOKUP('Données projet'!$B$9,Paramètres!$A$1:$I$89,3,0)*VLOOKUP('Données projet'!$B$9,Paramètres!$A$1:$I$89,5,0)</f>
        <v>7.9808160080574461E-14</v>
      </c>
      <c r="P110" s="14">
        <f t="shared" si="87"/>
        <v>1.2308384591775343E-12</v>
      </c>
      <c r="Q110" s="22">
        <f t="shared" si="107"/>
        <v>2.282709528541206E-12</v>
      </c>
      <c r="R110" s="62">
        <f t="shared" si="55"/>
        <v>279.24060689287592</v>
      </c>
      <c r="S110" s="62">
        <f ca="1">AVERAGE(OFFSET($R$3,0,0,'Données projet'!$E$9+1,1))-AVERAGE(OFFSET($H$3,0,0,'Données projet'!$E$9+1,1))</f>
        <v>234.81928430389272</v>
      </c>
      <c r="T110" s="62">
        <f t="shared" si="88"/>
        <v>294.47057757403411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34.381010512920447</v>
      </c>
      <c r="AA110" s="23">
        <f>EXP(-LN(2)/25)*AA109+(1-EXP(-LN(2)/25))/(LN(2)/25)*Calculateur!V110*Calculateur!X110*VLOOKUP('Données projet'!$B$9,Paramètres!$A$1:$I$89,3,0)*0.475*44/12</f>
        <v>10.227247433242159</v>
      </c>
      <c r="AB110" s="23">
        <f>EXP(-LN(2)/2)*AB109+(1-EXP(-LN(2)/2))/(LN(2)/2)*V110*Y110*VLOOKUP('Données projet'!$B$9,Paramètres!$A$1:$I$89,3,0)*0.475*44/12</f>
        <v>5.5009259484723477E-6</v>
      </c>
      <c r="AC110" s="24">
        <f t="shared" si="57"/>
        <v>44.608263447088561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273.00000000000023</v>
      </c>
      <c r="AJ110" s="14">
        <f>AI110*VLOOKUP('Données projet'!$B$10,Paramètres!$A$1:$I$89,3,0)*VLOOKUP('Données projet'!$B$10,Paramètres!$A$1:$I$89,5,0)</f>
        <v>212.9400000000002</v>
      </c>
      <c r="AK110" s="14">
        <f t="shared" si="89"/>
        <v>52.577528895212915</v>
      </c>
      <c r="AL110" s="22">
        <f t="shared" si="58"/>
        <v>462.44302949249618</v>
      </c>
      <c r="AM110" s="62">
        <f t="shared" si="59"/>
        <v>741.68363638536982</v>
      </c>
      <c r="AN110" s="62">
        <f ca="1">AVERAGE(OFFSET($AM$3,0,0,'Données projet'!$E$10+1,1))-AVERAGE(OFFSET($H$3,0,0,'Données projet'!$E$10+1,1))</f>
        <v>304.39782420428173</v>
      </c>
      <c r="AO110" s="62">
        <f t="shared" si="90"/>
        <v>360.34132229290537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12.868208464139407</v>
      </c>
      <c r="AV110" s="23">
        <f>EXP(-LN(2)/25)*AV109+(1-EXP(-LN(2)/25))/(LN(2)/25)*Calculateur!AQ110*Calculateur!AS110*VLOOKUP('Données projet'!$B$10,Paramètres!$A$1:$I$89,3,0)*0.475*44/12</f>
        <v>1.6117704311457677</v>
      </c>
      <c r="AW110" s="23">
        <f>EXP(-LN(2)/2)*AW109+(1-EXP(-LN(2)/2))/(LN(2)/2)*AQ110*AT110*VLOOKUP('Données projet'!$B$10,Paramètres!$A$1:$I$89,3,0)*0.475*44/12</f>
        <v>4.1424651872007834E-7</v>
      </c>
      <c r="AX110" s="23">
        <f t="shared" si="60"/>
        <v>14.479979309531693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273.00000000000023</v>
      </c>
      <c r="BE110" s="14">
        <f>BD110*VLOOKUP('Données projet'!$B$11,Paramètres!$A$1:$I$89,3,0)*VLOOKUP('Données projet'!$B$11,Paramètres!$A$1:$I$89,5,0)</f>
        <v>212.9400000000002</v>
      </c>
      <c r="BF110" s="14">
        <f t="shared" si="91"/>
        <v>52.577528895212915</v>
      </c>
      <c r="BG110" s="22">
        <f t="shared" si="61"/>
        <v>462.44302949249618</v>
      </c>
      <c r="BH110" s="62">
        <f t="shared" si="62"/>
        <v>741.68363638536982</v>
      </c>
      <c r="BI110" s="62">
        <f ca="1">AVERAGE(OFFSET($BH$3,0,0,'Données projet'!$E$11+1,1))-AVERAGE(OFFSET($H$3,0,0,'Données projet'!$E$11+1,1))</f>
        <v>304.39782420428173</v>
      </c>
      <c r="BJ110" s="62">
        <f t="shared" si="92"/>
        <v>360.34132229290537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12.868208464139407</v>
      </c>
      <c r="BQ110" s="23">
        <f>EXP(-LN(2)/25)*BQ109+(1-EXP(-LN(2)/25))/(LN(2)/25)*Calculateur!BL110*Calculateur!BN110*VLOOKUP('Données projet'!$B$11,Paramètres!$A$1:$I$89,3,0)*0.475*44/12</f>
        <v>1.6117704311457677</v>
      </c>
      <c r="BR110" s="23">
        <f>EXP(-LN(2)/2)*BR109+(1-EXP(-LN(2)/2))/(LN(2)/2)*BL110*BO110*VLOOKUP('Données projet'!$B$11,Paramètres!$A$1:$I$89,3,0)*0.475*44/12</f>
        <v>4.1424651872007834E-7</v>
      </c>
      <c r="BS110" s="24">
        <f t="shared" si="63"/>
        <v>14.479979309531693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273.00000000000023</v>
      </c>
      <c r="BZ110" s="14">
        <f>BY110*VLOOKUP('Données projet'!$B$12,Paramètres!$A$1:$I$89,3,0)*VLOOKUP('Données projet'!$B$12,Paramètres!$A$1:$I$89,5,0)</f>
        <v>212.9400000000002</v>
      </c>
      <c r="CA110" s="14">
        <f t="shared" si="93"/>
        <v>52.577528895212915</v>
      </c>
      <c r="CB110" s="22">
        <f t="shared" si="64"/>
        <v>462.44302949249618</v>
      </c>
      <c r="CC110" s="62">
        <f t="shared" si="65"/>
        <v>741.68363638536982</v>
      </c>
      <c r="CD110" s="62">
        <f ca="1">AVERAGE(OFFSET($CC$3,0,0,'Données projet'!$E$12+1,1))-AVERAGE(OFFSET($H$3,0,0,'Données projet'!$E$12+1,1))</f>
        <v>304.39782420428173</v>
      </c>
      <c r="CE110" s="62">
        <f t="shared" si="94"/>
        <v>360.34132229290537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12.868208464139407</v>
      </c>
      <c r="CL110" s="23">
        <f>EXP(-LN(2)/25)*CL109+(1-EXP(-LN(2)/25))/(LN(2)/25)*Calculateur!CG110*Calculateur!CI110*VLOOKUP('Données projet'!$B$12,Paramètres!$A$1:$I$89,3,0)*0.475*44/12</f>
        <v>1.6117704311457677</v>
      </c>
      <c r="CM110" s="23">
        <f>EXP(-LN(2)/2)*CM109+(1-EXP(-LN(2)/2))/(LN(2)/2)*CG110*CJ110*VLOOKUP('Données projet'!$B$12,Paramètres!$A$1:$I$89,3,0)*0.475*44/12</f>
        <v>4.1424651872007834E-7</v>
      </c>
      <c r="CN110" s="24">
        <f t="shared" si="66"/>
        <v>14.479979309531693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1.7053025658242404E-13</v>
      </c>
      <c r="O111" s="14">
        <f>N111*VLOOKUP('Données projet'!$B$9,Paramètres!$A$1:$I$89,3,0)*VLOOKUP('Données projet'!$B$9,Paramètres!$A$1:$I$89,5,0)</f>
        <v>7.9808160080574461E-14</v>
      </c>
      <c r="P111" s="14">
        <f t="shared" si="87"/>
        <v>1.2308384591775343E-12</v>
      </c>
      <c r="Q111" s="22">
        <f t="shared" si="107"/>
        <v>2.282709528541206E-12</v>
      </c>
      <c r="R111" s="62">
        <f t="shared" si="55"/>
        <v>279.4850841900016</v>
      </c>
      <c r="S111" s="62">
        <f ca="1">AVERAGE(OFFSET($R$3,0,0,'Données projet'!$E$9+1,1))-AVERAGE(OFFSET($H$3,0,0,'Données projet'!$E$9+1,1))</f>
        <v>234.81928430389272</v>
      </c>
      <c r="T111" s="62">
        <f t="shared" si="88"/>
        <v>294.47057757403411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33.706819867107839</v>
      </c>
      <c r="AA111" s="23">
        <f>EXP(-LN(2)/25)*AA110+(1-EXP(-LN(2)/25))/(LN(2)/25)*Calculateur!V111*Calculateur!X111*VLOOKUP('Données projet'!$B$9,Paramètres!$A$1:$I$89,3,0)*0.475*44/12</f>
        <v>9.9475828143525842</v>
      </c>
      <c r="AB111" s="23">
        <f>EXP(-LN(2)/2)*AB110+(1-EXP(-LN(2)/2))/(LN(2)/2)*V111*Y111*VLOOKUP('Données projet'!$B$9,Paramètres!$A$1:$I$89,3,0)*0.475*44/12</f>
        <v>3.8897420409698377E-6</v>
      </c>
      <c r="AC111" s="24">
        <f t="shared" si="57"/>
        <v>43.654406571202465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273.00000000000023</v>
      </c>
      <c r="AJ111" s="14">
        <f>AI111*VLOOKUP('Données projet'!$B$10,Paramètres!$A$1:$I$89,3,0)*VLOOKUP('Données projet'!$B$10,Paramètres!$A$1:$I$89,5,0)</f>
        <v>212.9400000000002</v>
      </c>
      <c r="AK111" s="14">
        <f t="shared" si="89"/>
        <v>52.577528895212915</v>
      </c>
      <c r="AL111" s="22">
        <f t="shared" si="58"/>
        <v>462.44302949249618</v>
      </c>
      <c r="AM111" s="62">
        <f t="shared" si="59"/>
        <v>741.92811368249545</v>
      </c>
      <c r="AN111" s="62">
        <f ca="1">AVERAGE(OFFSET($AM$3,0,0,'Données projet'!$E$10+1,1))-AVERAGE(OFFSET($H$3,0,0,'Données projet'!$E$10+1,1))</f>
        <v>304.39782420428173</v>
      </c>
      <c r="AO111" s="62">
        <f t="shared" si="90"/>
        <v>360.34132229290537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12.615870744989788</v>
      </c>
      <c r="AV111" s="23">
        <f>EXP(-LN(2)/25)*AV110+(1-EXP(-LN(2)/25))/(LN(2)/25)*Calculateur!AQ111*Calculateur!AS111*VLOOKUP('Données projet'!$B$10,Paramètres!$A$1:$I$89,3,0)*0.475*44/12</f>
        <v>1.5676964839467635</v>
      </c>
      <c r="AW111" s="23">
        <f>EXP(-LN(2)/2)*AW110+(1-EXP(-LN(2)/2))/(LN(2)/2)*AQ111*AT111*VLOOKUP('Données projet'!$B$10,Paramètres!$A$1:$I$89,3,0)*0.475*44/12</f>
        <v>2.9291652246988749E-7</v>
      </c>
      <c r="AX111" s="23">
        <f t="shared" si="60"/>
        <v>14.183567521853075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273.00000000000023</v>
      </c>
      <c r="BE111" s="14">
        <f>BD111*VLOOKUP('Données projet'!$B$11,Paramètres!$A$1:$I$89,3,0)*VLOOKUP('Données projet'!$B$11,Paramètres!$A$1:$I$89,5,0)</f>
        <v>212.9400000000002</v>
      </c>
      <c r="BF111" s="14">
        <f t="shared" si="91"/>
        <v>52.577528895212915</v>
      </c>
      <c r="BG111" s="22">
        <f t="shared" si="61"/>
        <v>462.44302949249618</v>
      </c>
      <c r="BH111" s="62">
        <f t="shared" si="62"/>
        <v>741.92811368249545</v>
      </c>
      <c r="BI111" s="62">
        <f ca="1">AVERAGE(OFFSET($BH$3,0,0,'Données projet'!$E$11+1,1))-AVERAGE(OFFSET($H$3,0,0,'Données projet'!$E$11+1,1))</f>
        <v>304.39782420428173</v>
      </c>
      <c r="BJ111" s="62">
        <f t="shared" si="92"/>
        <v>360.34132229290537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12.615870744989788</v>
      </c>
      <c r="BQ111" s="23">
        <f>EXP(-LN(2)/25)*BQ110+(1-EXP(-LN(2)/25))/(LN(2)/25)*Calculateur!BL111*Calculateur!BN111*VLOOKUP('Données projet'!$B$11,Paramètres!$A$1:$I$89,3,0)*0.475*44/12</f>
        <v>1.5676964839467635</v>
      </c>
      <c r="BR111" s="23">
        <f>EXP(-LN(2)/2)*BR110+(1-EXP(-LN(2)/2))/(LN(2)/2)*BL111*BO111*VLOOKUP('Données projet'!$B$11,Paramètres!$A$1:$I$89,3,0)*0.475*44/12</f>
        <v>2.9291652246988749E-7</v>
      </c>
      <c r="BS111" s="24">
        <f t="shared" si="63"/>
        <v>14.183567521853075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273.00000000000023</v>
      </c>
      <c r="BZ111" s="14">
        <f>BY111*VLOOKUP('Données projet'!$B$12,Paramètres!$A$1:$I$89,3,0)*VLOOKUP('Données projet'!$B$12,Paramètres!$A$1:$I$89,5,0)</f>
        <v>212.9400000000002</v>
      </c>
      <c r="CA111" s="14">
        <f t="shared" si="93"/>
        <v>52.577528895212915</v>
      </c>
      <c r="CB111" s="22">
        <f t="shared" si="64"/>
        <v>462.44302949249618</v>
      </c>
      <c r="CC111" s="62">
        <f t="shared" si="65"/>
        <v>741.92811368249545</v>
      </c>
      <c r="CD111" s="62">
        <f ca="1">AVERAGE(OFFSET($CC$3,0,0,'Données projet'!$E$12+1,1))-AVERAGE(OFFSET($H$3,0,0,'Données projet'!$E$12+1,1))</f>
        <v>304.39782420428173</v>
      </c>
      <c r="CE111" s="62">
        <f t="shared" si="94"/>
        <v>360.34132229290537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12.615870744989788</v>
      </c>
      <c r="CL111" s="23">
        <f>EXP(-LN(2)/25)*CL110+(1-EXP(-LN(2)/25))/(LN(2)/25)*Calculateur!CG111*Calculateur!CI111*VLOOKUP('Données projet'!$B$12,Paramètres!$A$1:$I$89,3,0)*0.475*44/12</f>
        <v>1.5676964839467635</v>
      </c>
      <c r="CM111" s="23">
        <f>EXP(-LN(2)/2)*CM110+(1-EXP(-LN(2)/2))/(LN(2)/2)*CG111*CJ111*VLOOKUP('Données projet'!$B$12,Paramètres!$A$1:$I$89,3,0)*0.475*44/12</f>
        <v>2.9291652246988749E-7</v>
      </c>
      <c r="CN111" s="24">
        <f t="shared" si="66"/>
        <v>14.183567521853075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1.7053025658242404E-13</v>
      </c>
      <c r="O112" s="14">
        <f>N112*VLOOKUP('Données projet'!$B$9,Paramètres!$A$1:$I$89,3,0)*VLOOKUP('Données projet'!$B$9,Paramètres!$A$1:$I$89,5,0)</f>
        <v>7.9808160080574461E-14</v>
      </c>
      <c r="P112" s="14">
        <f t="shared" si="87"/>
        <v>1.2308384591775343E-12</v>
      </c>
      <c r="Q112" s="22">
        <f t="shared" si="107"/>
        <v>2.282709528541206E-12</v>
      </c>
      <c r="R112" s="62">
        <f t="shared" si="55"/>
        <v>279.72532035259155</v>
      </c>
      <c r="S112" s="62">
        <f ca="1">AVERAGE(OFFSET($R$3,0,0,'Données projet'!$E$9+1,1))-AVERAGE(OFFSET($H$3,0,0,'Données projet'!$E$9+1,1))</f>
        <v>234.81928430389272</v>
      </c>
      <c r="T112" s="62">
        <f t="shared" si="88"/>
        <v>294.47057757403411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33.045849688643926</v>
      </c>
      <c r="AA112" s="23">
        <f>EXP(-LN(2)/25)*AA111+(1-EXP(-LN(2)/25))/(LN(2)/25)*Calculateur!V112*Calculateur!X112*VLOOKUP('Données projet'!$B$9,Paramètres!$A$1:$I$89,3,0)*0.475*44/12</f>
        <v>9.6755656391734686</v>
      </c>
      <c r="AB112" s="23">
        <f>EXP(-LN(2)/2)*AB111+(1-EXP(-LN(2)/2))/(LN(2)/2)*V112*Y112*VLOOKUP('Données projet'!$B$9,Paramètres!$A$1:$I$89,3,0)*0.475*44/12</f>
        <v>2.7504629742361739E-6</v>
      </c>
      <c r="AC112" s="24">
        <f t="shared" si="57"/>
        <v>42.721418078280372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273.00000000000023</v>
      </c>
      <c r="AJ112" s="14">
        <f>AI112*VLOOKUP('Données projet'!$B$10,Paramètres!$A$1:$I$89,3,0)*VLOOKUP('Données projet'!$B$10,Paramètres!$A$1:$I$89,5,0)</f>
        <v>212.9400000000002</v>
      </c>
      <c r="AK112" s="14">
        <f t="shared" si="89"/>
        <v>52.577528895212915</v>
      </c>
      <c r="AL112" s="22">
        <f t="shared" si="58"/>
        <v>462.44302949249618</v>
      </c>
      <c r="AM112" s="62">
        <f t="shared" si="59"/>
        <v>742.16834984508546</v>
      </c>
      <c r="AN112" s="62">
        <f ca="1">AVERAGE(OFFSET($AM$3,0,0,'Données projet'!$E$10+1,1))-AVERAGE(OFFSET($H$3,0,0,'Données projet'!$E$10+1,1))</f>
        <v>304.39782420428173</v>
      </c>
      <c r="AO112" s="62">
        <f t="shared" si="90"/>
        <v>360.34132229290537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12.368481214601882</v>
      </c>
      <c r="AV112" s="23">
        <f>EXP(-LN(2)/25)*AV111+(1-EXP(-LN(2)/25))/(LN(2)/25)*Calculateur!AQ112*Calculateur!AS112*VLOOKUP('Données projet'!$B$10,Paramètres!$A$1:$I$89,3,0)*0.475*44/12</f>
        <v>1.5248277411516642</v>
      </c>
      <c r="AW112" s="23">
        <f>EXP(-LN(2)/2)*AW111+(1-EXP(-LN(2)/2))/(LN(2)/2)*AQ112*AT112*VLOOKUP('Données projet'!$B$10,Paramètres!$A$1:$I$89,3,0)*0.475*44/12</f>
        <v>2.0712325936003917E-7</v>
      </c>
      <c r="AX112" s="23">
        <f t="shared" si="60"/>
        <v>13.893309162876806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273.00000000000023</v>
      </c>
      <c r="BE112" s="14">
        <f>BD112*VLOOKUP('Données projet'!$B$11,Paramètres!$A$1:$I$89,3,0)*VLOOKUP('Données projet'!$B$11,Paramètres!$A$1:$I$89,5,0)</f>
        <v>212.9400000000002</v>
      </c>
      <c r="BF112" s="14">
        <f t="shared" si="91"/>
        <v>52.577528895212915</v>
      </c>
      <c r="BG112" s="22">
        <f t="shared" si="61"/>
        <v>462.44302949249618</v>
      </c>
      <c r="BH112" s="62">
        <f t="shared" si="62"/>
        <v>742.16834984508546</v>
      </c>
      <c r="BI112" s="62">
        <f ca="1">AVERAGE(OFFSET($BH$3,0,0,'Données projet'!$E$11+1,1))-AVERAGE(OFFSET($H$3,0,0,'Données projet'!$E$11+1,1))</f>
        <v>304.39782420428173</v>
      </c>
      <c r="BJ112" s="62">
        <f t="shared" si="92"/>
        <v>360.34132229290537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12.368481214601882</v>
      </c>
      <c r="BQ112" s="23">
        <f>EXP(-LN(2)/25)*BQ111+(1-EXP(-LN(2)/25))/(LN(2)/25)*Calculateur!BL112*Calculateur!BN112*VLOOKUP('Données projet'!$B$11,Paramètres!$A$1:$I$89,3,0)*0.475*44/12</f>
        <v>1.5248277411516642</v>
      </c>
      <c r="BR112" s="23">
        <f>EXP(-LN(2)/2)*BR111+(1-EXP(-LN(2)/2))/(LN(2)/2)*BL112*BO112*VLOOKUP('Données projet'!$B$11,Paramètres!$A$1:$I$89,3,0)*0.475*44/12</f>
        <v>2.0712325936003917E-7</v>
      </c>
      <c r="BS112" s="24">
        <f t="shared" si="63"/>
        <v>13.893309162876806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273.00000000000023</v>
      </c>
      <c r="BZ112" s="14">
        <f>BY112*VLOOKUP('Données projet'!$B$12,Paramètres!$A$1:$I$89,3,0)*VLOOKUP('Données projet'!$B$12,Paramètres!$A$1:$I$89,5,0)</f>
        <v>212.9400000000002</v>
      </c>
      <c r="CA112" s="14">
        <f t="shared" si="93"/>
        <v>52.577528895212915</v>
      </c>
      <c r="CB112" s="22">
        <f t="shared" si="64"/>
        <v>462.44302949249618</v>
      </c>
      <c r="CC112" s="62">
        <f t="shared" si="65"/>
        <v>742.16834984508546</v>
      </c>
      <c r="CD112" s="62">
        <f ca="1">AVERAGE(OFFSET($CC$3,0,0,'Données projet'!$E$12+1,1))-AVERAGE(OFFSET($H$3,0,0,'Données projet'!$E$12+1,1))</f>
        <v>304.39782420428173</v>
      </c>
      <c r="CE112" s="62">
        <f t="shared" si="94"/>
        <v>360.34132229290537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12.368481214601882</v>
      </c>
      <c r="CL112" s="23">
        <f>EXP(-LN(2)/25)*CL111+(1-EXP(-LN(2)/25))/(LN(2)/25)*Calculateur!CG112*Calculateur!CI112*VLOOKUP('Données projet'!$B$12,Paramètres!$A$1:$I$89,3,0)*0.475*44/12</f>
        <v>1.5248277411516642</v>
      </c>
      <c r="CM112" s="23">
        <f>EXP(-LN(2)/2)*CM111+(1-EXP(-LN(2)/2))/(LN(2)/2)*CG112*CJ112*VLOOKUP('Données projet'!$B$12,Paramètres!$A$1:$I$89,3,0)*0.475*44/12</f>
        <v>2.0712325936003917E-7</v>
      </c>
      <c r="CN112" s="24">
        <f t="shared" si="66"/>
        <v>13.893309162876806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1.7053025658242404E-13</v>
      </c>
      <c r="O113" s="14">
        <f>N113*VLOOKUP('Données projet'!$B$9,Paramètres!$A$1:$I$89,3,0)*VLOOKUP('Données projet'!$B$9,Paramètres!$A$1:$I$89,5,0)</f>
        <v>7.9808160080574461E-14</v>
      </c>
      <c r="P113" s="14">
        <f t="shared" si="87"/>
        <v>1.2308384591775343E-12</v>
      </c>
      <c r="Q113" s="22">
        <f t="shared" si="107"/>
        <v>2.282709528541206E-12</v>
      </c>
      <c r="R113" s="62">
        <f t="shared" si="55"/>
        <v>279.96138895484813</v>
      </c>
      <c r="S113" s="62">
        <f ca="1">AVERAGE(OFFSET($R$3,0,0,'Données projet'!$E$9+1,1))-AVERAGE(OFFSET($H$3,0,0,'Données projet'!$E$9+1,1))</f>
        <v>234.81928430389272</v>
      </c>
      <c r="T113" s="62">
        <f t="shared" si="88"/>
        <v>294.47057757403411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32.397840732227692</v>
      </c>
      <c r="AA113" s="23">
        <f>EXP(-LN(2)/25)*AA112+(1-EXP(-LN(2)/25))/(LN(2)/25)*Calculateur!V113*Calculateur!X113*VLOOKUP('Données projet'!$B$9,Paramètres!$A$1:$I$89,3,0)*0.475*44/12</f>
        <v>9.4109867879543874</v>
      </c>
      <c r="AB113" s="23">
        <f>EXP(-LN(2)/2)*AB112+(1-EXP(-LN(2)/2))/(LN(2)/2)*V113*Y113*VLOOKUP('Données projet'!$B$9,Paramètres!$A$1:$I$89,3,0)*0.475*44/12</f>
        <v>1.9448710204849189E-6</v>
      </c>
      <c r="AC113" s="24">
        <f t="shared" si="57"/>
        <v>41.808829465053101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273.00000000000023</v>
      </c>
      <c r="AJ113" s="14">
        <f>AI113*VLOOKUP('Données projet'!$B$10,Paramètres!$A$1:$I$89,3,0)*VLOOKUP('Données projet'!$B$10,Paramètres!$A$1:$I$89,5,0)</f>
        <v>212.9400000000002</v>
      </c>
      <c r="AK113" s="14">
        <f t="shared" si="89"/>
        <v>52.577528895212915</v>
      </c>
      <c r="AL113" s="22">
        <f t="shared" si="58"/>
        <v>462.44302949249618</v>
      </c>
      <c r="AM113" s="62">
        <f t="shared" si="59"/>
        <v>742.4044184473421</v>
      </c>
      <c r="AN113" s="62">
        <f ca="1">AVERAGE(OFFSET($AM$3,0,0,'Données projet'!$E$10+1,1))-AVERAGE(OFFSET($H$3,0,0,'Données projet'!$E$10+1,1))</f>
        <v>304.39782420428173</v>
      </c>
      <c r="AO113" s="62">
        <f t="shared" si="90"/>
        <v>360.34132229290537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12.125942842012169</v>
      </c>
      <c r="AV113" s="23">
        <f>EXP(-LN(2)/25)*AV112+(1-EXP(-LN(2)/25))/(LN(2)/25)*Calculateur!AQ113*Calculateur!AS113*VLOOKUP('Données projet'!$B$10,Paramètres!$A$1:$I$89,3,0)*0.475*44/12</f>
        <v>1.483131246382666</v>
      </c>
      <c r="AW113" s="23">
        <f>EXP(-LN(2)/2)*AW112+(1-EXP(-LN(2)/2))/(LN(2)/2)*AQ113*AT113*VLOOKUP('Données projet'!$B$10,Paramètres!$A$1:$I$89,3,0)*0.475*44/12</f>
        <v>1.4645826123494375E-7</v>
      </c>
      <c r="AX113" s="23">
        <f t="shared" si="60"/>
        <v>13.609074234853095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273.00000000000023</v>
      </c>
      <c r="BE113" s="14">
        <f>BD113*VLOOKUP('Données projet'!$B$11,Paramètres!$A$1:$I$89,3,0)*VLOOKUP('Données projet'!$B$11,Paramètres!$A$1:$I$89,5,0)</f>
        <v>212.9400000000002</v>
      </c>
      <c r="BF113" s="14">
        <f t="shared" si="91"/>
        <v>52.577528895212915</v>
      </c>
      <c r="BG113" s="22">
        <f t="shared" si="61"/>
        <v>462.44302949249618</v>
      </c>
      <c r="BH113" s="62">
        <f t="shared" si="62"/>
        <v>742.4044184473421</v>
      </c>
      <c r="BI113" s="62">
        <f ca="1">AVERAGE(OFFSET($BH$3,0,0,'Données projet'!$E$11+1,1))-AVERAGE(OFFSET($H$3,0,0,'Données projet'!$E$11+1,1))</f>
        <v>304.39782420428173</v>
      </c>
      <c r="BJ113" s="62">
        <f t="shared" si="92"/>
        <v>360.34132229290537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12.125942842012169</v>
      </c>
      <c r="BQ113" s="23">
        <f>EXP(-LN(2)/25)*BQ112+(1-EXP(-LN(2)/25))/(LN(2)/25)*Calculateur!BL113*Calculateur!BN113*VLOOKUP('Données projet'!$B$11,Paramètres!$A$1:$I$89,3,0)*0.475*44/12</f>
        <v>1.483131246382666</v>
      </c>
      <c r="BR113" s="23">
        <f>EXP(-LN(2)/2)*BR112+(1-EXP(-LN(2)/2))/(LN(2)/2)*BL113*BO113*VLOOKUP('Données projet'!$B$11,Paramètres!$A$1:$I$89,3,0)*0.475*44/12</f>
        <v>1.4645826123494375E-7</v>
      </c>
      <c r="BS113" s="24">
        <f t="shared" si="63"/>
        <v>13.609074234853095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273.00000000000023</v>
      </c>
      <c r="BZ113" s="14">
        <f>BY113*VLOOKUP('Données projet'!$B$12,Paramètres!$A$1:$I$89,3,0)*VLOOKUP('Données projet'!$B$12,Paramètres!$A$1:$I$89,5,0)</f>
        <v>212.9400000000002</v>
      </c>
      <c r="CA113" s="14">
        <f t="shared" si="93"/>
        <v>52.577528895212915</v>
      </c>
      <c r="CB113" s="22">
        <f t="shared" si="64"/>
        <v>462.44302949249618</v>
      </c>
      <c r="CC113" s="62">
        <f t="shared" si="65"/>
        <v>742.4044184473421</v>
      </c>
      <c r="CD113" s="62">
        <f ca="1">AVERAGE(OFFSET($CC$3,0,0,'Données projet'!$E$12+1,1))-AVERAGE(OFFSET($H$3,0,0,'Données projet'!$E$12+1,1))</f>
        <v>304.39782420428173</v>
      </c>
      <c r="CE113" s="62">
        <f t="shared" si="94"/>
        <v>360.34132229290537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12.125942842012169</v>
      </c>
      <c r="CL113" s="23">
        <f>EXP(-LN(2)/25)*CL112+(1-EXP(-LN(2)/25))/(LN(2)/25)*Calculateur!CG113*Calculateur!CI113*VLOOKUP('Données projet'!$B$12,Paramètres!$A$1:$I$89,3,0)*0.475*44/12</f>
        <v>1.483131246382666</v>
      </c>
      <c r="CM113" s="23">
        <f>EXP(-LN(2)/2)*CM112+(1-EXP(-LN(2)/2))/(LN(2)/2)*CG113*CJ113*VLOOKUP('Données projet'!$B$12,Paramètres!$A$1:$I$89,3,0)*0.475*44/12</f>
        <v>1.4645826123494375E-7</v>
      </c>
      <c r="CN113" s="24">
        <f t="shared" si="66"/>
        <v>13.609074234853095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1.7053025658242404E-13</v>
      </c>
      <c r="O114" s="14">
        <f>N114*VLOOKUP('Données projet'!$B$9,Paramètres!$A$1:$I$89,3,0)*VLOOKUP('Données projet'!$B$9,Paramètres!$A$1:$I$89,5,0)</f>
        <v>7.9808160080574461E-14</v>
      </c>
      <c r="P114" s="14">
        <f t="shared" si="87"/>
        <v>1.2308384591775343E-12</v>
      </c>
      <c r="Q114" s="22">
        <f t="shared" si="107"/>
        <v>2.282709528541206E-12</v>
      </c>
      <c r="R114" s="62">
        <f t="shared" si="55"/>
        <v>280.19336229462584</v>
      </c>
      <c r="S114" s="62">
        <f ca="1">AVERAGE(OFFSET($R$3,0,0,'Données projet'!$E$9+1,1))-AVERAGE(OFFSET($H$3,0,0,'Données projet'!$E$9+1,1))</f>
        <v>234.81928430389272</v>
      </c>
      <c r="T114" s="62">
        <f t="shared" si="88"/>
        <v>294.47057757403411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31.762538836200342</v>
      </c>
      <c r="AA114" s="23">
        <f>EXP(-LN(2)/25)*AA113+(1-EXP(-LN(2)/25))/(LN(2)/25)*Calculateur!V114*Calculateur!X114*VLOOKUP('Données projet'!$B$9,Paramètres!$A$1:$I$89,3,0)*0.475*44/12</f>
        <v>9.1536428593354877</v>
      </c>
      <c r="AB114" s="23">
        <f>EXP(-LN(2)/2)*AB113+(1-EXP(-LN(2)/2))/(LN(2)/2)*V114*Y114*VLOOKUP('Données projet'!$B$9,Paramètres!$A$1:$I$89,3,0)*0.475*44/12</f>
        <v>1.3752314871180869E-6</v>
      </c>
      <c r="AC114" s="24">
        <f t="shared" si="57"/>
        <v>40.91618307076731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273.00000000000023</v>
      </c>
      <c r="AJ114" s="14">
        <f>AI114*VLOOKUP('Données projet'!$B$10,Paramètres!$A$1:$I$89,3,0)*VLOOKUP('Données projet'!$B$10,Paramètres!$A$1:$I$89,5,0)</f>
        <v>212.9400000000002</v>
      </c>
      <c r="AK114" s="14">
        <f t="shared" si="89"/>
        <v>52.577528895212915</v>
      </c>
      <c r="AL114" s="22">
        <f t="shared" si="58"/>
        <v>462.44302949249618</v>
      </c>
      <c r="AM114" s="62">
        <f t="shared" si="59"/>
        <v>742.63639178711969</v>
      </c>
      <c r="AN114" s="62">
        <f ca="1">AVERAGE(OFFSET($AM$3,0,0,'Données projet'!$E$10+1,1))-AVERAGE(OFFSET($H$3,0,0,'Données projet'!$E$10+1,1))</f>
        <v>304.39782420428173</v>
      </c>
      <c r="AO114" s="62">
        <f t="shared" si="90"/>
        <v>360.34132229290537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11.888160498975139</v>
      </c>
      <c r="AV114" s="23">
        <f>EXP(-LN(2)/25)*AV113+(1-EXP(-LN(2)/25))/(LN(2)/25)*Calculateur!AQ114*Calculateur!AS114*VLOOKUP('Données projet'!$B$10,Paramètres!$A$1:$I$89,3,0)*0.475*44/12</f>
        <v>1.4425749444558496</v>
      </c>
      <c r="AW114" s="23">
        <f>EXP(-LN(2)/2)*AW113+(1-EXP(-LN(2)/2))/(LN(2)/2)*AQ114*AT114*VLOOKUP('Données projet'!$B$10,Paramètres!$A$1:$I$89,3,0)*0.475*44/12</f>
        <v>1.0356162968001959E-7</v>
      </c>
      <c r="AX114" s="23">
        <f t="shared" si="60"/>
        <v>13.330735546992619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273.00000000000023</v>
      </c>
      <c r="BE114" s="14">
        <f>BD114*VLOOKUP('Données projet'!$B$11,Paramètres!$A$1:$I$89,3,0)*VLOOKUP('Données projet'!$B$11,Paramètres!$A$1:$I$89,5,0)</f>
        <v>212.9400000000002</v>
      </c>
      <c r="BF114" s="14">
        <f t="shared" si="91"/>
        <v>52.577528895212915</v>
      </c>
      <c r="BG114" s="22">
        <f t="shared" si="61"/>
        <v>462.44302949249618</v>
      </c>
      <c r="BH114" s="62">
        <f t="shared" si="62"/>
        <v>742.63639178711969</v>
      </c>
      <c r="BI114" s="62">
        <f ca="1">AVERAGE(OFFSET($BH$3,0,0,'Données projet'!$E$11+1,1))-AVERAGE(OFFSET($H$3,0,0,'Données projet'!$E$11+1,1))</f>
        <v>304.39782420428173</v>
      </c>
      <c r="BJ114" s="62">
        <f t="shared" si="92"/>
        <v>360.34132229290537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11.888160498975139</v>
      </c>
      <c r="BQ114" s="23">
        <f>EXP(-LN(2)/25)*BQ113+(1-EXP(-LN(2)/25))/(LN(2)/25)*Calculateur!BL114*Calculateur!BN114*VLOOKUP('Données projet'!$B$11,Paramètres!$A$1:$I$89,3,0)*0.475*44/12</f>
        <v>1.4425749444558496</v>
      </c>
      <c r="BR114" s="23">
        <f>EXP(-LN(2)/2)*BR113+(1-EXP(-LN(2)/2))/(LN(2)/2)*BL114*BO114*VLOOKUP('Données projet'!$B$11,Paramètres!$A$1:$I$89,3,0)*0.475*44/12</f>
        <v>1.0356162968001959E-7</v>
      </c>
      <c r="BS114" s="24">
        <f t="shared" si="63"/>
        <v>13.330735546992619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273.00000000000023</v>
      </c>
      <c r="BZ114" s="14">
        <f>BY114*VLOOKUP('Données projet'!$B$12,Paramètres!$A$1:$I$89,3,0)*VLOOKUP('Données projet'!$B$12,Paramètres!$A$1:$I$89,5,0)</f>
        <v>212.9400000000002</v>
      </c>
      <c r="CA114" s="14">
        <f t="shared" si="93"/>
        <v>52.577528895212915</v>
      </c>
      <c r="CB114" s="22">
        <f t="shared" si="64"/>
        <v>462.44302949249618</v>
      </c>
      <c r="CC114" s="62">
        <f t="shared" si="65"/>
        <v>742.63639178711969</v>
      </c>
      <c r="CD114" s="62">
        <f ca="1">AVERAGE(OFFSET($CC$3,0,0,'Données projet'!$E$12+1,1))-AVERAGE(OFFSET($H$3,0,0,'Données projet'!$E$12+1,1))</f>
        <v>304.39782420428173</v>
      </c>
      <c r="CE114" s="62">
        <f t="shared" si="94"/>
        <v>360.34132229290537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11.888160498975139</v>
      </c>
      <c r="CL114" s="23">
        <f>EXP(-LN(2)/25)*CL113+(1-EXP(-LN(2)/25))/(LN(2)/25)*Calculateur!CG114*Calculateur!CI114*VLOOKUP('Données projet'!$B$12,Paramètres!$A$1:$I$89,3,0)*0.475*44/12</f>
        <v>1.4425749444558496</v>
      </c>
      <c r="CM114" s="23">
        <f>EXP(-LN(2)/2)*CM113+(1-EXP(-LN(2)/2))/(LN(2)/2)*CG114*CJ114*VLOOKUP('Données projet'!$B$12,Paramètres!$A$1:$I$89,3,0)*0.475*44/12</f>
        <v>1.0356162968001959E-7</v>
      </c>
      <c r="CN114" s="24">
        <f t="shared" si="66"/>
        <v>13.330735546992619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1.7053025658242404E-13</v>
      </c>
      <c r="O115" s="14">
        <f>N115*VLOOKUP('Données projet'!$B$9,Paramètres!$A$1:$I$89,3,0)*VLOOKUP('Données projet'!$B$9,Paramètres!$A$1:$I$89,5,0)</f>
        <v>7.9808160080574461E-14</v>
      </c>
      <c r="P115" s="14">
        <f t="shared" si="87"/>
        <v>1.2308384591775343E-12</v>
      </c>
      <c r="Q115" s="22">
        <f t="shared" si="107"/>
        <v>2.282709528541206E-12</v>
      </c>
      <c r="R115" s="62">
        <f t="shared" si="55"/>
        <v>280.42131141557314</v>
      </c>
      <c r="S115" s="62">
        <f ca="1">AVERAGE(OFFSET($R$3,0,0,'Données projet'!$E$9+1,1))-AVERAGE(OFFSET($H$3,0,0,'Données projet'!$E$9+1,1))</f>
        <v>234.81928430389272</v>
      </c>
      <c r="T115" s="62">
        <f t="shared" si="88"/>
        <v>294.47057757403411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31.139694822858196</v>
      </c>
      <c r="AA115" s="23">
        <f>EXP(-LN(2)/25)*AA114+(1-EXP(-LN(2)/25))/(LN(2)/25)*Calculateur!V115*Calculateur!X115*VLOOKUP('Données projet'!$B$9,Paramètres!$A$1:$I$89,3,0)*0.475*44/12</f>
        <v>8.9033360139778015</v>
      </c>
      <c r="AB115" s="23">
        <f>EXP(-LN(2)/2)*AB114+(1-EXP(-LN(2)/2))/(LN(2)/2)*V115*Y115*VLOOKUP('Données projet'!$B$9,Paramètres!$A$1:$I$89,3,0)*0.475*44/12</f>
        <v>9.7243551024245943E-7</v>
      </c>
      <c r="AC115" s="24">
        <f t="shared" si="57"/>
        <v>40.043031809271504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273.00000000000023</v>
      </c>
      <c r="AJ115" s="14">
        <f>AI115*VLOOKUP('Données projet'!$B$10,Paramètres!$A$1:$I$89,3,0)*VLOOKUP('Données projet'!$B$10,Paramètres!$A$1:$I$89,5,0)</f>
        <v>212.9400000000002</v>
      </c>
      <c r="AK115" s="14">
        <f t="shared" si="89"/>
        <v>52.577528895212915</v>
      </c>
      <c r="AL115" s="22">
        <f t="shared" si="58"/>
        <v>462.44302949249618</v>
      </c>
      <c r="AM115" s="62">
        <f t="shared" si="59"/>
        <v>742.86434090806711</v>
      </c>
      <c r="AN115" s="62">
        <f ca="1">AVERAGE(OFFSET($AM$3,0,0,'Données projet'!$E$10+1,1))-AVERAGE(OFFSET($H$3,0,0,'Données projet'!$E$10+1,1))</f>
        <v>304.39782420428173</v>
      </c>
      <c r="AO115" s="62">
        <f t="shared" si="90"/>
        <v>360.34132229290537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11.655040922652159</v>
      </c>
      <c r="AV115" s="23">
        <f>EXP(-LN(2)/25)*AV114+(1-EXP(-LN(2)/25))/(LN(2)/25)*Calculateur!AQ115*Calculateur!AS115*VLOOKUP('Données projet'!$B$10,Paramètres!$A$1:$I$89,3,0)*0.475*44/12</f>
        <v>1.4031276567379851</v>
      </c>
      <c r="AW115" s="23">
        <f>EXP(-LN(2)/2)*AW114+(1-EXP(-LN(2)/2))/(LN(2)/2)*AQ115*AT115*VLOOKUP('Données projet'!$B$10,Paramètres!$A$1:$I$89,3,0)*0.475*44/12</f>
        <v>7.3229130617471873E-8</v>
      </c>
      <c r="AX115" s="23">
        <f t="shared" si="60"/>
        <v>13.058168652619274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273.00000000000023</v>
      </c>
      <c r="BE115" s="14">
        <f>BD115*VLOOKUP('Données projet'!$B$11,Paramètres!$A$1:$I$89,3,0)*VLOOKUP('Données projet'!$B$11,Paramètres!$A$1:$I$89,5,0)</f>
        <v>212.9400000000002</v>
      </c>
      <c r="BF115" s="14">
        <f t="shared" si="91"/>
        <v>52.577528895212915</v>
      </c>
      <c r="BG115" s="22">
        <f t="shared" si="61"/>
        <v>462.44302949249618</v>
      </c>
      <c r="BH115" s="62">
        <f t="shared" si="62"/>
        <v>742.86434090806711</v>
      </c>
      <c r="BI115" s="62">
        <f ca="1">AVERAGE(OFFSET($BH$3,0,0,'Données projet'!$E$11+1,1))-AVERAGE(OFFSET($H$3,0,0,'Données projet'!$E$11+1,1))</f>
        <v>304.39782420428173</v>
      </c>
      <c r="BJ115" s="62">
        <f t="shared" si="92"/>
        <v>360.34132229290537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11.655040922652159</v>
      </c>
      <c r="BQ115" s="23">
        <f>EXP(-LN(2)/25)*BQ114+(1-EXP(-LN(2)/25))/(LN(2)/25)*Calculateur!BL115*Calculateur!BN115*VLOOKUP('Données projet'!$B$11,Paramètres!$A$1:$I$89,3,0)*0.475*44/12</f>
        <v>1.4031276567379851</v>
      </c>
      <c r="BR115" s="23">
        <f>EXP(-LN(2)/2)*BR114+(1-EXP(-LN(2)/2))/(LN(2)/2)*BL115*BO115*VLOOKUP('Données projet'!$B$11,Paramètres!$A$1:$I$89,3,0)*0.475*44/12</f>
        <v>7.3229130617471873E-8</v>
      </c>
      <c r="BS115" s="24">
        <f t="shared" si="63"/>
        <v>13.058168652619274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273.00000000000023</v>
      </c>
      <c r="BZ115" s="14">
        <f>BY115*VLOOKUP('Données projet'!$B$12,Paramètres!$A$1:$I$89,3,0)*VLOOKUP('Données projet'!$B$12,Paramètres!$A$1:$I$89,5,0)</f>
        <v>212.9400000000002</v>
      </c>
      <c r="CA115" s="14">
        <f t="shared" si="93"/>
        <v>52.577528895212915</v>
      </c>
      <c r="CB115" s="22">
        <f t="shared" si="64"/>
        <v>462.44302949249618</v>
      </c>
      <c r="CC115" s="62">
        <f t="shared" si="65"/>
        <v>742.86434090806711</v>
      </c>
      <c r="CD115" s="62">
        <f ca="1">AVERAGE(OFFSET($CC$3,0,0,'Données projet'!$E$12+1,1))-AVERAGE(OFFSET($H$3,0,0,'Données projet'!$E$12+1,1))</f>
        <v>304.39782420428173</v>
      </c>
      <c r="CE115" s="62">
        <f t="shared" si="94"/>
        <v>360.34132229290537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11.655040922652159</v>
      </c>
      <c r="CL115" s="23">
        <f>EXP(-LN(2)/25)*CL114+(1-EXP(-LN(2)/25))/(LN(2)/25)*Calculateur!CG115*Calculateur!CI115*VLOOKUP('Données projet'!$B$12,Paramètres!$A$1:$I$89,3,0)*0.475*44/12</f>
        <v>1.4031276567379851</v>
      </c>
      <c r="CM115" s="23">
        <f>EXP(-LN(2)/2)*CM114+(1-EXP(-LN(2)/2))/(LN(2)/2)*CG115*CJ115*VLOOKUP('Données projet'!$B$12,Paramètres!$A$1:$I$89,3,0)*0.475*44/12</f>
        <v>7.3229130617471873E-8</v>
      </c>
      <c r="CN115" s="24">
        <f t="shared" si="66"/>
        <v>13.058168652619274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1.7053025658242404E-13</v>
      </c>
      <c r="O116" s="14">
        <f>N116*VLOOKUP('Données projet'!$B$9,Paramètres!$A$1:$I$89,3,0)*VLOOKUP('Données projet'!$B$9,Paramètres!$A$1:$I$89,5,0)</f>
        <v>7.9808160080574461E-14</v>
      </c>
      <c r="P116" s="14">
        <f t="shared" si="87"/>
        <v>1.2308384591775343E-12</v>
      </c>
      <c r="Q116" s="22">
        <f t="shared" si="107"/>
        <v>2.282709528541206E-12</v>
      </c>
      <c r="R116" s="62">
        <f t="shared" si="55"/>
        <v>280.6453061288899</v>
      </c>
      <c r="S116" s="62">
        <f ca="1">AVERAGE(OFFSET($R$3,0,0,'Données projet'!$E$9+1,1))-AVERAGE(OFFSET($H$3,0,0,'Données projet'!$E$9+1,1))</f>
        <v>234.81928430389272</v>
      </c>
      <c r="T116" s="62">
        <f t="shared" si="88"/>
        <v>294.47057757403411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30.529064400720351</v>
      </c>
      <c r="AA116" s="23">
        <f>EXP(-LN(2)/25)*AA115+(1-EXP(-LN(2)/25))/(LN(2)/25)*Calculateur!V116*Calculateur!X116*VLOOKUP('Données projet'!$B$9,Paramètres!$A$1:$I$89,3,0)*0.475*44/12</f>
        <v>8.6598738224694856</v>
      </c>
      <c r="AB116" s="23">
        <f>EXP(-LN(2)/2)*AB115+(1-EXP(-LN(2)/2))/(LN(2)/2)*V116*Y116*VLOOKUP('Données projet'!$B$9,Paramètres!$A$1:$I$89,3,0)*0.475*44/12</f>
        <v>6.8761574355904347E-7</v>
      </c>
      <c r="AC116" s="24">
        <f t="shared" si="57"/>
        <v>39.188938910805582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273.00000000000023</v>
      </c>
      <c r="AJ116" s="14">
        <f>AI116*VLOOKUP('Données projet'!$B$10,Paramètres!$A$1:$I$89,3,0)*VLOOKUP('Données projet'!$B$10,Paramètres!$A$1:$I$89,5,0)</f>
        <v>212.9400000000002</v>
      </c>
      <c r="AK116" s="14">
        <f t="shared" si="89"/>
        <v>52.577528895212915</v>
      </c>
      <c r="AL116" s="22">
        <f t="shared" si="58"/>
        <v>462.44302949249618</v>
      </c>
      <c r="AM116" s="62">
        <f t="shared" si="59"/>
        <v>743.08833562138375</v>
      </c>
      <c r="AN116" s="62">
        <f ca="1">AVERAGE(OFFSET($AM$3,0,0,'Données projet'!$E$10+1,1))-AVERAGE(OFFSET($H$3,0,0,'Données projet'!$E$10+1,1))</f>
        <v>304.39782420428173</v>
      </c>
      <c r="AO116" s="62">
        <f t="shared" si="90"/>
        <v>360.34132229290537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11.42649267903197</v>
      </c>
      <c r="AV116" s="23">
        <f>EXP(-LN(2)/25)*AV115+(1-EXP(-LN(2)/25))/(LN(2)/25)*Calculateur!AQ116*Calculateur!AS116*VLOOKUP('Données projet'!$B$10,Paramètres!$A$1:$I$89,3,0)*0.475*44/12</f>
        <v>1.3647590571772084</v>
      </c>
      <c r="AW116" s="23">
        <f>EXP(-LN(2)/2)*AW115+(1-EXP(-LN(2)/2))/(LN(2)/2)*AQ116*AT116*VLOOKUP('Données projet'!$B$10,Paramètres!$A$1:$I$89,3,0)*0.475*44/12</f>
        <v>5.1780814840009793E-8</v>
      </c>
      <c r="AX116" s="23">
        <f t="shared" si="60"/>
        <v>12.791251787989992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273.00000000000023</v>
      </c>
      <c r="BE116" s="14">
        <f>BD116*VLOOKUP('Données projet'!$B$11,Paramètres!$A$1:$I$89,3,0)*VLOOKUP('Données projet'!$B$11,Paramètres!$A$1:$I$89,5,0)</f>
        <v>212.9400000000002</v>
      </c>
      <c r="BF116" s="14">
        <f t="shared" si="91"/>
        <v>52.577528895212915</v>
      </c>
      <c r="BG116" s="22">
        <f t="shared" si="61"/>
        <v>462.44302949249618</v>
      </c>
      <c r="BH116" s="62">
        <f t="shared" si="62"/>
        <v>743.08833562138375</v>
      </c>
      <c r="BI116" s="62">
        <f ca="1">AVERAGE(OFFSET($BH$3,0,0,'Données projet'!$E$11+1,1))-AVERAGE(OFFSET($H$3,0,0,'Données projet'!$E$11+1,1))</f>
        <v>304.39782420428173</v>
      </c>
      <c r="BJ116" s="62">
        <f t="shared" si="92"/>
        <v>360.34132229290537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11.42649267903197</v>
      </c>
      <c r="BQ116" s="23">
        <f>EXP(-LN(2)/25)*BQ115+(1-EXP(-LN(2)/25))/(LN(2)/25)*Calculateur!BL116*Calculateur!BN116*VLOOKUP('Données projet'!$B$11,Paramètres!$A$1:$I$89,3,0)*0.475*44/12</f>
        <v>1.3647590571772084</v>
      </c>
      <c r="BR116" s="23">
        <f>EXP(-LN(2)/2)*BR115+(1-EXP(-LN(2)/2))/(LN(2)/2)*BL116*BO116*VLOOKUP('Données projet'!$B$11,Paramètres!$A$1:$I$89,3,0)*0.475*44/12</f>
        <v>5.1780814840009793E-8</v>
      </c>
      <c r="BS116" s="24">
        <f t="shared" si="63"/>
        <v>12.791251787989992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273.00000000000023</v>
      </c>
      <c r="BZ116" s="14">
        <f>BY116*VLOOKUP('Données projet'!$B$12,Paramètres!$A$1:$I$89,3,0)*VLOOKUP('Données projet'!$B$12,Paramètres!$A$1:$I$89,5,0)</f>
        <v>212.9400000000002</v>
      </c>
      <c r="CA116" s="14">
        <f t="shared" si="93"/>
        <v>52.577528895212915</v>
      </c>
      <c r="CB116" s="22">
        <f t="shared" si="64"/>
        <v>462.44302949249618</v>
      </c>
      <c r="CC116" s="62">
        <f t="shared" si="65"/>
        <v>743.08833562138375</v>
      </c>
      <c r="CD116" s="62">
        <f ca="1">AVERAGE(OFFSET($CC$3,0,0,'Données projet'!$E$12+1,1))-AVERAGE(OFFSET($H$3,0,0,'Données projet'!$E$12+1,1))</f>
        <v>304.39782420428173</v>
      </c>
      <c r="CE116" s="62">
        <f t="shared" si="94"/>
        <v>360.34132229290537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11.42649267903197</v>
      </c>
      <c r="CL116" s="23">
        <f>EXP(-LN(2)/25)*CL115+(1-EXP(-LN(2)/25))/(LN(2)/25)*Calculateur!CG116*Calculateur!CI116*VLOOKUP('Données projet'!$B$12,Paramètres!$A$1:$I$89,3,0)*0.475*44/12</f>
        <v>1.3647590571772084</v>
      </c>
      <c r="CM116" s="23">
        <f>EXP(-LN(2)/2)*CM115+(1-EXP(-LN(2)/2))/(LN(2)/2)*CG116*CJ116*VLOOKUP('Données projet'!$B$12,Paramètres!$A$1:$I$89,3,0)*0.475*44/12</f>
        <v>5.1780814840009793E-8</v>
      </c>
      <c r="CN116" s="24">
        <f t="shared" si="66"/>
        <v>12.791251787989992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1.7053025658242404E-13</v>
      </c>
      <c r="O117" s="14">
        <f>N117*VLOOKUP('Données projet'!$B$9,Paramètres!$A$1:$I$89,3,0)*VLOOKUP('Données projet'!$B$9,Paramètres!$A$1:$I$89,5,0)</f>
        <v>7.9808160080574461E-14</v>
      </c>
      <c r="P117" s="14">
        <f t="shared" si="87"/>
        <v>1.2308384591775343E-12</v>
      </c>
      <c r="Q117" s="22">
        <f t="shared" si="107"/>
        <v>2.282709528541206E-12</v>
      </c>
      <c r="R117" s="62">
        <f t="shared" si="55"/>
        <v>280.86541503470772</v>
      </c>
      <c r="S117" s="62">
        <f ca="1">AVERAGE(OFFSET($R$3,0,0,'Données projet'!$E$9+1,1))-AVERAGE(OFFSET($H$3,0,0,'Données projet'!$E$9+1,1))</f>
        <v>234.81928430389272</v>
      </c>
      <c r="T117" s="62">
        <f t="shared" si="88"/>
        <v>294.47057757403411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29.93040806871285</v>
      </c>
      <c r="AA117" s="23">
        <f>EXP(-LN(2)/25)*AA116+(1-EXP(-LN(2)/25))/(LN(2)/25)*Calculateur!V117*Calculateur!X117*VLOOKUP('Données projet'!$B$9,Paramètres!$A$1:$I$89,3,0)*0.475*44/12</f>
        <v>8.4230691173910852</v>
      </c>
      <c r="AB117" s="23">
        <f>EXP(-LN(2)/2)*AB116+(1-EXP(-LN(2)/2))/(LN(2)/2)*V117*Y117*VLOOKUP('Données projet'!$B$9,Paramètres!$A$1:$I$89,3,0)*0.475*44/12</f>
        <v>4.8621775512122972E-7</v>
      </c>
      <c r="AC117" s="24">
        <f t="shared" si="57"/>
        <v>38.353477672321695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273.00000000000023</v>
      </c>
      <c r="AJ117" s="14">
        <f>AI117*VLOOKUP('Données projet'!$B$10,Paramètres!$A$1:$I$89,3,0)*VLOOKUP('Données projet'!$B$10,Paramètres!$A$1:$I$89,5,0)</f>
        <v>212.9400000000002</v>
      </c>
      <c r="AK117" s="14">
        <f t="shared" si="89"/>
        <v>52.577528895212915</v>
      </c>
      <c r="AL117" s="22">
        <f t="shared" si="58"/>
        <v>462.44302949249618</v>
      </c>
      <c r="AM117" s="62">
        <f t="shared" si="59"/>
        <v>743.30844452720157</v>
      </c>
      <c r="AN117" s="62">
        <f ca="1">AVERAGE(OFFSET($AM$3,0,0,'Données projet'!$E$10+1,1))-AVERAGE(OFFSET($H$3,0,0,'Données projet'!$E$10+1,1))</f>
        <v>304.39782420428173</v>
      </c>
      <c r="AO117" s="62">
        <f t="shared" si="90"/>
        <v>360.34132229290537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11.202426127068509</v>
      </c>
      <c r="AV117" s="23">
        <f>EXP(-LN(2)/25)*AV116+(1-EXP(-LN(2)/25))/(LN(2)/25)*Calculateur!AQ117*Calculateur!AS117*VLOOKUP('Données projet'!$B$10,Paramètres!$A$1:$I$89,3,0)*0.475*44/12</f>
        <v>1.327439648989138</v>
      </c>
      <c r="AW117" s="23">
        <f>EXP(-LN(2)/2)*AW116+(1-EXP(-LN(2)/2))/(LN(2)/2)*AQ117*AT117*VLOOKUP('Données projet'!$B$10,Paramètres!$A$1:$I$89,3,0)*0.475*44/12</f>
        <v>3.6614565308735937E-8</v>
      </c>
      <c r="AX117" s="23">
        <f t="shared" si="60"/>
        <v>12.529865812672213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273.00000000000023</v>
      </c>
      <c r="BE117" s="14">
        <f>BD117*VLOOKUP('Données projet'!$B$11,Paramètres!$A$1:$I$89,3,0)*VLOOKUP('Données projet'!$B$11,Paramètres!$A$1:$I$89,5,0)</f>
        <v>212.9400000000002</v>
      </c>
      <c r="BF117" s="14">
        <f t="shared" si="91"/>
        <v>52.577528895212915</v>
      </c>
      <c r="BG117" s="22">
        <f t="shared" si="61"/>
        <v>462.44302949249618</v>
      </c>
      <c r="BH117" s="62">
        <f t="shared" si="62"/>
        <v>743.30844452720157</v>
      </c>
      <c r="BI117" s="62">
        <f ca="1">AVERAGE(OFFSET($BH$3,0,0,'Données projet'!$E$11+1,1))-AVERAGE(OFFSET($H$3,0,0,'Données projet'!$E$11+1,1))</f>
        <v>304.39782420428173</v>
      </c>
      <c r="BJ117" s="62">
        <f t="shared" si="92"/>
        <v>360.34132229290537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11.202426127068509</v>
      </c>
      <c r="BQ117" s="23">
        <f>EXP(-LN(2)/25)*BQ116+(1-EXP(-LN(2)/25))/(LN(2)/25)*Calculateur!BL117*Calculateur!BN117*VLOOKUP('Données projet'!$B$11,Paramètres!$A$1:$I$89,3,0)*0.475*44/12</f>
        <v>1.327439648989138</v>
      </c>
      <c r="BR117" s="23">
        <f>EXP(-LN(2)/2)*BR116+(1-EXP(-LN(2)/2))/(LN(2)/2)*BL117*BO117*VLOOKUP('Données projet'!$B$11,Paramètres!$A$1:$I$89,3,0)*0.475*44/12</f>
        <v>3.6614565308735937E-8</v>
      </c>
      <c r="BS117" s="24">
        <f t="shared" si="63"/>
        <v>12.529865812672213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273.00000000000023</v>
      </c>
      <c r="BZ117" s="14">
        <f>BY117*VLOOKUP('Données projet'!$B$12,Paramètres!$A$1:$I$89,3,0)*VLOOKUP('Données projet'!$B$12,Paramètres!$A$1:$I$89,5,0)</f>
        <v>212.9400000000002</v>
      </c>
      <c r="CA117" s="14">
        <f t="shared" si="93"/>
        <v>52.577528895212915</v>
      </c>
      <c r="CB117" s="22">
        <f t="shared" si="64"/>
        <v>462.44302949249618</v>
      </c>
      <c r="CC117" s="62">
        <f t="shared" si="65"/>
        <v>743.30844452720157</v>
      </c>
      <c r="CD117" s="62">
        <f ca="1">AVERAGE(OFFSET($CC$3,0,0,'Données projet'!$E$12+1,1))-AVERAGE(OFFSET($H$3,0,0,'Données projet'!$E$12+1,1))</f>
        <v>304.39782420428173</v>
      </c>
      <c r="CE117" s="62">
        <f t="shared" si="94"/>
        <v>360.34132229290537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11.202426127068509</v>
      </c>
      <c r="CL117" s="23">
        <f>EXP(-LN(2)/25)*CL116+(1-EXP(-LN(2)/25))/(LN(2)/25)*Calculateur!CG117*Calculateur!CI117*VLOOKUP('Données projet'!$B$12,Paramètres!$A$1:$I$89,3,0)*0.475*44/12</f>
        <v>1.327439648989138</v>
      </c>
      <c r="CM117" s="23">
        <f>EXP(-LN(2)/2)*CM116+(1-EXP(-LN(2)/2))/(LN(2)/2)*CG117*CJ117*VLOOKUP('Données projet'!$B$12,Paramètres!$A$1:$I$89,3,0)*0.475*44/12</f>
        <v>3.6614565308735937E-8</v>
      </c>
      <c r="CN117" s="24">
        <f t="shared" si="66"/>
        <v>12.529865812672213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1.7053025658242404E-13</v>
      </c>
      <c r="O118" s="14">
        <f>N118*VLOOKUP('Données projet'!$B$9,Paramètres!$A$1:$I$89,3,0)*VLOOKUP('Données projet'!$B$9,Paramètres!$A$1:$I$89,5,0)</f>
        <v>7.9808160080574461E-14</v>
      </c>
      <c r="P118" s="14">
        <f t="shared" si="87"/>
        <v>1.2308384591775343E-12</v>
      </c>
      <c r="Q118" s="22">
        <f t="shared" si="107"/>
        <v>2.282709528541206E-12</v>
      </c>
      <c r="R118" s="62">
        <f t="shared" si="55"/>
        <v>281.08170554309953</v>
      </c>
      <c r="S118" s="62">
        <f ca="1">AVERAGE(OFFSET($R$3,0,0,'Données projet'!$E$9+1,1))-AVERAGE(OFFSET($H$3,0,0,'Données projet'!$E$9+1,1))</f>
        <v>234.81928430389272</v>
      </c>
      <c r="T118" s="62">
        <f t="shared" si="88"/>
        <v>294.47057757403411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29.343491022231706</v>
      </c>
      <c r="AA118" s="23">
        <f>EXP(-LN(2)/25)*AA117+(1-EXP(-LN(2)/25))/(LN(2)/25)*Calculateur!V118*Calculateur!X118*VLOOKUP('Données projet'!$B$9,Paramètres!$A$1:$I$89,3,0)*0.475*44/12</f>
        <v>8.1927398494260721</v>
      </c>
      <c r="AB118" s="23">
        <f>EXP(-LN(2)/2)*AB117+(1-EXP(-LN(2)/2))/(LN(2)/2)*V118*Y118*VLOOKUP('Données projet'!$B$9,Paramètres!$A$1:$I$89,3,0)*0.475*44/12</f>
        <v>3.4380787177952173E-7</v>
      </c>
      <c r="AC118" s="24">
        <f t="shared" si="57"/>
        <v>37.536231215465648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273.00000000000023</v>
      </c>
      <c r="AJ118" s="14">
        <f>AI118*VLOOKUP('Données projet'!$B$10,Paramètres!$A$1:$I$89,3,0)*VLOOKUP('Données projet'!$B$10,Paramètres!$A$1:$I$89,5,0)</f>
        <v>212.9400000000002</v>
      </c>
      <c r="AK118" s="14">
        <f t="shared" si="89"/>
        <v>52.577528895212915</v>
      </c>
      <c r="AL118" s="22">
        <f t="shared" si="58"/>
        <v>462.44302949249618</v>
      </c>
      <c r="AM118" s="62">
        <f t="shared" si="59"/>
        <v>743.52473503559349</v>
      </c>
      <c r="AN118" s="62">
        <f ca="1">AVERAGE(OFFSET($AM$3,0,0,'Données projet'!$E$10+1,1))-AVERAGE(OFFSET($H$3,0,0,'Données projet'!$E$10+1,1))</f>
        <v>304.39782420428173</v>
      </c>
      <c r="AO118" s="62">
        <f t="shared" si="90"/>
        <v>360.34132229290537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10.982753383521951</v>
      </c>
      <c r="AV118" s="23">
        <f>EXP(-LN(2)/25)*AV117+(1-EXP(-LN(2)/25))/(LN(2)/25)*Calculateur!AQ118*Calculateur!AS118*VLOOKUP('Données projet'!$B$10,Paramètres!$A$1:$I$89,3,0)*0.475*44/12</f>
        <v>1.2911407419805128</v>
      </c>
      <c r="AW118" s="23">
        <f>EXP(-LN(2)/2)*AW117+(1-EXP(-LN(2)/2))/(LN(2)/2)*AQ118*AT118*VLOOKUP('Données projet'!$B$10,Paramètres!$A$1:$I$89,3,0)*0.475*44/12</f>
        <v>2.5890407420004896E-8</v>
      </c>
      <c r="AX118" s="23">
        <f t="shared" si="60"/>
        <v>12.273894151392872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273.00000000000023</v>
      </c>
      <c r="BE118" s="14">
        <f>BD118*VLOOKUP('Données projet'!$B$11,Paramètres!$A$1:$I$89,3,0)*VLOOKUP('Données projet'!$B$11,Paramètres!$A$1:$I$89,5,0)</f>
        <v>212.9400000000002</v>
      </c>
      <c r="BF118" s="14">
        <f t="shared" si="91"/>
        <v>52.577528895212915</v>
      </c>
      <c r="BG118" s="22">
        <f t="shared" si="61"/>
        <v>462.44302949249618</v>
      </c>
      <c r="BH118" s="62">
        <f t="shared" si="62"/>
        <v>743.52473503559349</v>
      </c>
      <c r="BI118" s="62">
        <f ca="1">AVERAGE(OFFSET($BH$3,0,0,'Données projet'!$E$11+1,1))-AVERAGE(OFFSET($H$3,0,0,'Données projet'!$E$11+1,1))</f>
        <v>304.39782420428173</v>
      </c>
      <c r="BJ118" s="62">
        <f t="shared" si="92"/>
        <v>360.34132229290537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10.982753383521951</v>
      </c>
      <c r="BQ118" s="23">
        <f>EXP(-LN(2)/25)*BQ117+(1-EXP(-LN(2)/25))/(LN(2)/25)*Calculateur!BL118*Calculateur!BN118*VLOOKUP('Données projet'!$B$11,Paramètres!$A$1:$I$89,3,0)*0.475*44/12</f>
        <v>1.2911407419805128</v>
      </c>
      <c r="BR118" s="23">
        <f>EXP(-LN(2)/2)*BR117+(1-EXP(-LN(2)/2))/(LN(2)/2)*BL118*BO118*VLOOKUP('Données projet'!$B$11,Paramètres!$A$1:$I$89,3,0)*0.475*44/12</f>
        <v>2.5890407420004896E-8</v>
      </c>
      <c r="BS118" s="24">
        <f t="shared" si="63"/>
        <v>12.273894151392872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273.00000000000023</v>
      </c>
      <c r="BZ118" s="14">
        <f>BY118*VLOOKUP('Données projet'!$B$12,Paramètres!$A$1:$I$89,3,0)*VLOOKUP('Données projet'!$B$12,Paramètres!$A$1:$I$89,5,0)</f>
        <v>212.9400000000002</v>
      </c>
      <c r="CA118" s="14">
        <f t="shared" si="93"/>
        <v>52.577528895212915</v>
      </c>
      <c r="CB118" s="22">
        <f t="shared" si="64"/>
        <v>462.44302949249618</v>
      </c>
      <c r="CC118" s="62">
        <f t="shared" si="65"/>
        <v>743.52473503559349</v>
      </c>
      <c r="CD118" s="62">
        <f ca="1">AVERAGE(OFFSET($CC$3,0,0,'Données projet'!$E$12+1,1))-AVERAGE(OFFSET($H$3,0,0,'Données projet'!$E$12+1,1))</f>
        <v>304.39782420428173</v>
      </c>
      <c r="CE118" s="62">
        <f t="shared" si="94"/>
        <v>360.34132229290537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10.982753383521951</v>
      </c>
      <c r="CL118" s="23">
        <f>EXP(-LN(2)/25)*CL117+(1-EXP(-LN(2)/25))/(LN(2)/25)*Calculateur!CG118*Calculateur!CI118*VLOOKUP('Données projet'!$B$12,Paramètres!$A$1:$I$89,3,0)*0.475*44/12</f>
        <v>1.2911407419805128</v>
      </c>
      <c r="CM118" s="23">
        <f>EXP(-LN(2)/2)*CM117+(1-EXP(-LN(2)/2))/(LN(2)/2)*CG118*CJ118*VLOOKUP('Données projet'!$B$12,Paramètres!$A$1:$I$89,3,0)*0.475*44/12</f>
        <v>2.5890407420004896E-8</v>
      </c>
      <c r="CN118" s="24">
        <f t="shared" si="66"/>
        <v>12.273894151392872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1.7053025658242404E-13</v>
      </c>
      <c r="O119" s="14">
        <f>N119*VLOOKUP('Données projet'!$B$9,Paramètres!$A$1:$I$89,3,0)*VLOOKUP('Données projet'!$B$9,Paramètres!$A$1:$I$89,5,0)</f>
        <v>7.9808160080574461E-14</v>
      </c>
      <c r="P119" s="14">
        <f t="shared" si="87"/>
        <v>1.2308384591775343E-12</v>
      </c>
      <c r="Q119" s="22">
        <f t="shared" si="107"/>
        <v>2.282709528541206E-12</v>
      </c>
      <c r="R119" s="62">
        <f t="shared" si="55"/>
        <v>281.29424389472376</v>
      </c>
      <c r="S119" s="62">
        <f ca="1">AVERAGE(OFFSET($R$3,0,0,'Données projet'!$E$9+1,1))-AVERAGE(OFFSET($H$3,0,0,'Données projet'!$E$9+1,1))</f>
        <v>234.81928430389272</v>
      </c>
      <c r="T119" s="62">
        <f t="shared" si="88"/>
        <v>294.47057757403411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28.76808306104801</v>
      </c>
      <c r="AA119" s="23">
        <f>EXP(-LN(2)/25)*AA118+(1-EXP(-LN(2)/25))/(LN(2)/25)*Calculateur!V119*Calculateur!X119*VLOOKUP('Données projet'!$B$9,Paramètres!$A$1:$I$89,3,0)*0.475*44/12</f>
        <v>7.9687089474060526</v>
      </c>
      <c r="AB119" s="23">
        <f>EXP(-LN(2)/2)*AB118+(1-EXP(-LN(2)/2))/(LN(2)/2)*V119*Y119*VLOOKUP('Données projet'!$B$9,Paramètres!$A$1:$I$89,3,0)*0.475*44/12</f>
        <v>2.4310887756061486E-7</v>
      </c>
      <c r="AC119" s="24">
        <f t="shared" si="57"/>
        <v>36.736792251562939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273.00000000000023</v>
      </c>
      <c r="AJ119" s="14">
        <f>AI119*VLOOKUP('Données projet'!$B$10,Paramètres!$A$1:$I$89,3,0)*VLOOKUP('Données projet'!$B$10,Paramètres!$A$1:$I$89,5,0)</f>
        <v>212.9400000000002</v>
      </c>
      <c r="AK119" s="14">
        <f t="shared" si="89"/>
        <v>52.577528895212915</v>
      </c>
      <c r="AL119" s="22">
        <f t="shared" si="58"/>
        <v>462.44302949249618</v>
      </c>
      <c r="AM119" s="62">
        <f t="shared" si="59"/>
        <v>743.73727338721767</v>
      </c>
      <c r="AN119" s="62">
        <f ca="1">AVERAGE(OFFSET($AM$3,0,0,'Données projet'!$E$10+1,1))-AVERAGE(OFFSET($H$3,0,0,'Données projet'!$E$10+1,1))</f>
        <v>304.39782420428173</v>
      </c>
      <c r="AO119" s="62">
        <f t="shared" si="90"/>
        <v>360.34132229290537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10.767388288489196</v>
      </c>
      <c r="AV119" s="23">
        <f>EXP(-LN(2)/25)*AV118+(1-EXP(-LN(2)/25))/(LN(2)/25)*Calculateur!AQ119*Calculateur!AS119*VLOOKUP('Données projet'!$B$10,Paramètres!$A$1:$I$89,3,0)*0.475*44/12</f>
        <v>1.255834430492915</v>
      </c>
      <c r="AW119" s="23">
        <f>EXP(-LN(2)/2)*AW118+(1-EXP(-LN(2)/2))/(LN(2)/2)*AQ119*AT119*VLOOKUP('Données projet'!$B$10,Paramètres!$A$1:$I$89,3,0)*0.475*44/12</f>
        <v>1.8307282654367968E-8</v>
      </c>
      <c r="AX119" s="23">
        <f t="shared" si="60"/>
        <v>12.023222737289393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273.00000000000023</v>
      </c>
      <c r="BE119" s="14">
        <f>BD119*VLOOKUP('Données projet'!$B$11,Paramètres!$A$1:$I$89,3,0)*VLOOKUP('Données projet'!$B$11,Paramètres!$A$1:$I$89,5,0)</f>
        <v>212.9400000000002</v>
      </c>
      <c r="BF119" s="14">
        <f t="shared" si="91"/>
        <v>52.577528895212915</v>
      </c>
      <c r="BG119" s="22">
        <f t="shared" si="61"/>
        <v>462.44302949249618</v>
      </c>
      <c r="BH119" s="62">
        <f t="shared" si="62"/>
        <v>743.73727338721767</v>
      </c>
      <c r="BI119" s="62">
        <f ca="1">AVERAGE(OFFSET($BH$3,0,0,'Données projet'!$E$11+1,1))-AVERAGE(OFFSET($H$3,0,0,'Données projet'!$E$11+1,1))</f>
        <v>304.39782420428173</v>
      </c>
      <c r="BJ119" s="62">
        <f t="shared" si="92"/>
        <v>360.34132229290537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10.767388288489196</v>
      </c>
      <c r="BQ119" s="23">
        <f>EXP(-LN(2)/25)*BQ118+(1-EXP(-LN(2)/25))/(LN(2)/25)*Calculateur!BL119*Calculateur!BN119*VLOOKUP('Données projet'!$B$11,Paramètres!$A$1:$I$89,3,0)*0.475*44/12</f>
        <v>1.255834430492915</v>
      </c>
      <c r="BR119" s="23">
        <f>EXP(-LN(2)/2)*BR118+(1-EXP(-LN(2)/2))/(LN(2)/2)*BL119*BO119*VLOOKUP('Données projet'!$B$11,Paramètres!$A$1:$I$89,3,0)*0.475*44/12</f>
        <v>1.8307282654367968E-8</v>
      </c>
      <c r="BS119" s="24">
        <f t="shared" si="63"/>
        <v>12.023222737289393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273.00000000000023</v>
      </c>
      <c r="BZ119" s="14">
        <f>BY119*VLOOKUP('Données projet'!$B$12,Paramètres!$A$1:$I$89,3,0)*VLOOKUP('Données projet'!$B$12,Paramètres!$A$1:$I$89,5,0)</f>
        <v>212.9400000000002</v>
      </c>
      <c r="CA119" s="14">
        <f t="shared" si="93"/>
        <v>52.577528895212915</v>
      </c>
      <c r="CB119" s="22">
        <f t="shared" si="64"/>
        <v>462.44302949249618</v>
      </c>
      <c r="CC119" s="62">
        <f t="shared" si="65"/>
        <v>743.73727338721767</v>
      </c>
      <c r="CD119" s="62">
        <f ca="1">AVERAGE(OFFSET($CC$3,0,0,'Données projet'!$E$12+1,1))-AVERAGE(OFFSET($H$3,0,0,'Données projet'!$E$12+1,1))</f>
        <v>304.39782420428173</v>
      </c>
      <c r="CE119" s="62">
        <f t="shared" si="94"/>
        <v>360.34132229290537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10.767388288489196</v>
      </c>
      <c r="CL119" s="23">
        <f>EXP(-LN(2)/25)*CL118+(1-EXP(-LN(2)/25))/(LN(2)/25)*Calculateur!CG119*Calculateur!CI119*VLOOKUP('Données projet'!$B$12,Paramètres!$A$1:$I$89,3,0)*0.475*44/12</f>
        <v>1.255834430492915</v>
      </c>
      <c r="CM119" s="23">
        <f>EXP(-LN(2)/2)*CM118+(1-EXP(-LN(2)/2))/(LN(2)/2)*CG119*CJ119*VLOOKUP('Données projet'!$B$12,Paramètres!$A$1:$I$89,3,0)*0.475*44/12</f>
        <v>1.8307282654367968E-8</v>
      </c>
      <c r="CN119" s="24">
        <f t="shared" si="66"/>
        <v>12.023222737289393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1.7053025658242404E-13</v>
      </c>
      <c r="O120" s="14">
        <f>N120*VLOOKUP('Données projet'!$B$9,Paramètres!$A$1:$I$89,3,0)*VLOOKUP('Données projet'!$B$9,Paramètres!$A$1:$I$89,5,0)</f>
        <v>7.9808160080574461E-14</v>
      </c>
      <c r="P120" s="14">
        <f t="shared" si="87"/>
        <v>1.2308384591775343E-12</v>
      </c>
      <c r="Q120" s="22">
        <f t="shared" si="107"/>
        <v>2.282709528541206E-12</v>
      </c>
      <c r="R120" s="62">
        <f t="shared" si="55"/>
        <v>281.50309518111192</v>
      </c>
      <c r="S120" s="62">
        <f ca="1">AVERAGE(OFFSET($R$3,0,0,'Données projet'!$E$9+1,1))-AVERAGE(OFFSET($H$3,0,0,'Données projet'!$E$9+1,1))</f>
        <v>234.81928430389272</v>
      </c>
      <c r="T120" s="62">
        <f t="shared" si="88"/>
        <v>294.47057757403411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28.203958499018924</v>
      </c>
      <c r="AA120" s="23">
        <f>EXP(-LN(2)/25)*AA119+(1-EXP(-LN(2)/25))/(LN(2)/25)*Calculateur!V120*Calculateur!X120*VLOOKUP('Données projet'!$B$9,Paramètres!$A$1:$I$89,3,0)*0.475*44/12</f>
        <v>7.7508041821830433</v>
      </c>
      <c r="AB120" s="23">
        <f>EXP(-LN(2)/2)*AB119+(1-EXP(-LN(2)/2))/(LN(2)/2)*V120*Y120*VLOOKUP('Données projet'!$B$9,Paramètres!$A$1:$I$89,3,0)*0.475*44/12</f>
        <v>1.7190393588976087E-7</v>
      </c>
      <c r="AC120" s="24">
        <f t="shared" si="57"/>
        <v>35.954762853105905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273.00000000000023</v>
      </c>
      <c r="AJ120" s="14">
        <f>AI120*VLOOKUP('Données projet'!$B$10,Paramètres!$A$1:$I$89,3,0)*VLOOKUP('Données projet'!$B$10,Paramètres!$A$1:$I$89,5,0)</f>
        <v>212.9400000000002</v>
      </c>
      <c r="AK120" s="14">
        <f t="shared" si="89"/>
        <v>52.577528895212915</v>
      </c>
      <c r="AL120" s="22">
        <f t="shared" si="58"/>
        <v>462.44302949249618</v>
      </c>
      <c r="AM120" s="62">
        <f t="shared" si="59"/>
        <v>743.94612467360582</v>
      </c>
      <c r="AN120" s="62">
        <f ca="1">AVERAGE(OFFSET($AM$3,0,0,'Données projet'!$E$10+1,1))-AVERAGE(OFFSET($H$3,0,0,'Données projet'!$E$10+1,1))</f>
        <v>304.39782420428173</v>
      </c>
      <c r="AO120" s="62">
        <f t="shared" si="90"/>
        <v>360.34132229290537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10.556246371610296</v>
      </c>
      <c r="AV120" s="23">
        <f>EXP(-LN(2)/25)*AV119+(1-EXP(-LN(2)/25))/(LN(2)/25)*Calculateur!AQ120*Calculateur!AS120*VLOOKUP('Données projet'!$B$10,Paramètres!$A$1:$I$89,3,0)*0.475*44/12</f>
        <v>1.2214935719496238</v>
      </c>
      <c r="AW120" s="23">
        <f>EXP(-LN(2)/2)*AW119+(1-EXP(-LN(2)/2))/(LN(2)/2)*AQ120*AT120*VLOOKUP('Données projet'!$B$10,Paramètres!$A$1:$I$89,3,0)*0.475*44/12</f>
        <v>1.2945203710002448E-8</v>
      </c>
      <c r="AX120" s="23">
        <f t="shared" si="60"/>
        <v>11.777739956505124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273.00000000000023</v>
      </c>
      <c r="BE120" s="14">
        <f>BD120*VLOOKUP('Données projet'!$B$11,Paramètres!$A$1:$I$89,3,0)*VLOOKUP('Données projet'!$B$11,Paramètres!$A$1:$I$89,5,0)</f>
        <v>212.9400000000002</v>
      </c>
      <c r="BF120" s="14">
        <f t="shared" si="91"/>
        <v>52.577528895212915</v>
      </c>
      <c r="BG120" s="22">
        <f t="shared" si="61"/>
        <v>462.44302949249618</v>
      </c>
      <c r="BH120" s="62">
        <f t="shared" si="62"/>
        <v>743.94612467360582</v>
      </c>
      <c r="BI120" s="62">
        <f ca="1">AVERAGE(OFFSET($BH$3,0,0,'Données projet'!$E$11+1,1))-AVERAGE(OFFSET($H$3,0,0,'Données projet'!$E$11+1,1))</f>
        <v>304.39782420428173</v>
      </c>
      <c r="BJ120" s="62">
        <f t="shared" si="92"/>
        <v>360.34132229290537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10.556246371610296</v>
      </c>
      <c r="BQ120" s="23">
        <f>EXP(-LN(2)/25)*BQ119+(1-EXP(-LN(2)/25))/(LN(2)/25)*Calculateur!BL120*Calculateur!BN120*VLOOKUP('Données projet'!$B$11,Paramètres!$A$1:$I$89,3,0)*0.475*44/12</f>
        <v>1.2214935719496238</v>
      </c>
      <c r="BR120" s="23">
        <f>EXP(-LN(2)/2)*BR119+(1-EXP(-LN(2)/2))/(LN(2)/2)*BL120*BO120*VLOOKUP('Données projet'!$B$11,Paramètres!$A$1:$I$89,3,0)*0.475*44/12</f>
        <v>1.2945203710002448E-8</v>
      </c>
      <c r="BS120" s="24">
        <f t="shared" si="63"/>
        <v>11.777739956505124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273.00000000000023</v>
      </c>
      <c r="BZ120" s="14">
        <f>BY120*VLOOKUP('Données projet'!$B$12,Paramètres!$A$1:$I$89,3,0)*VLOOKUP('Données projet'!$B$12,Paramètres!$A$1:$I$89,5,0)</f>
        <v>212.9400000000002</v>
      </c>
      <c r="CA120" s="14">
        <f t="shared" si="93"/>
        <v>52.577528895212915</v>
      </c>
      <c r="CB120" s="22">
        <f t="shared" si="64"/>
        <v>462.44302949249618</v>
      </c>
      <c r="CC120" s="62">
        <f t="shared" si="65"/>
        <v>743.94612467360582</v>
      </c>
      <c r="CD120" s="62">
        <f ca="1">AVERAGE(OFFSET($CC$3,0,0,'Données projet'!$E$12+1,1))-AVERAGE(OFFSET($H$3,0,0,'Données projet'!$E$12+1,1))</f>
        <v>304.39782420428173</v>
      </c>
      <c r="CE120" s="62">
        <f t="shared" si="94"/>
        <v>360.34132229290537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10.556246371610296</v>
      </c>
      <c r="CL120" s="23">
        <f>EXP(-LN(2)/25)*CL119+(1-EXP(-LN(2)/25))/(LN(2)/25)*Calculateur!CG120*Calculateur!CI120*VLOOKUP('Données projet'!$B$12,Paramètres!$A$1:$I$89,3,0)*0.475*44/12</f>
        <v>1.2214935719496238</v>
      </c>
      <c r="CM120" s="23">
        <f>EXP(-LN(2)/2)*CM119+(1-EXP(-LN(2)/2))/(LN(2)/2)*CG120*CJ120*VLOOKUP('Données projet'!$B$12,Paramètres!$A$1:$I$89,3,0)*0.475*44/12</f>
        <v>1.2945203710002448E-8</v>
      </c>
      <c r="CN120" s="24">
        <f t="shared" si="66"/>
        <v>11.777739956505124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1.7053025658242404E-13</v>
      </c>
      <c r="O121" s="14">
        <f>N121*VLOOKUP('Données projet'!$B$9,Paramètres!$A$1:$I$89,3,0)*VLOOKUP('Données projet'!$B$9,Paramètres!$A$1:$I$89,5,0)</f>
        <v>7.9808160080574461E-14</v>
      </c>
      <c r="P121" s="14">
        <f t="shared" si="87"/>
        <v>1.2308384591775343E-12</v>
      </c>
      <c r="Q121" s="22">
        <f t="shared" si="107"/>
        <v>2.282709528541206E-12</v>
      </c>
      <c r="R121" s="62">
        <f t="shared" si="55"/>
        <v>281.70832336460268</v>
      </c>
      <c r="S121" s="62">
        <f ca="1">AVERAGE(OFFSET($R$3,0,0,'Données projet'!$E$9+1,1))-AVERAGE(OFFSET($H$3,0,0,'Données projet'!$E$9+1,1))</f>
        <v>234.81928430389272</v>
      </c>
      <c r="T121" s="62">
        <f t="shared" si="88"/>
        <v>294.47057757403411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27.650896075569221</v>
      </c>
      <c r="AA121" s="23">
        <f>EXP(-LN(2)/25)*AA120+(1-EXP(-LN(2)/25))/(LN(2)/25)*Calculateur!V121*Calculateur!X121*VLOOKUP('Données projet'!$B$9,Paramètres!$A$1:$I$89,3,0)*0.475*44/12</f>
        <v>7.5388580342241704</v>
      </c>
      <c r="AB121" s="23">
        <f>EXP(-LN(2)/2)*AB120+(1-EXP(-LN(2)/2))/(LN(2)/2)*V121*Y121*VLOOKUP('Données projet'!$B$9,Paramètres!$A$1:$I$89,3,0)*0.475*44/12</f>
        <v>1.2155443878030743E-7</v>
      </c>
      <c r="AC121" s="24">
        <f t="shared" si="57"/>
        <v>35.189754231347827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273.00000000000023</v>
      </c>
      <c r="AJ121" s="14">
        <f>AI121*VLOOKUP('Données projet'!$B$10,Paramètres!$A$1:$I$89,3,0)*VLOOKUP('Données projet'!$B$10,Paramètres!$A$1:$I$89,5,0)</f>
        <v>212.9400000000002</v>
      </c>
      <c r="AK121" s="14">
        <f t="shared" si="89"/>
        <v>52.577528895212915</v>
      </c>
      <c r="AL121" s="22">
        <f t="shared" si="58"/>
        <v>462.44302949249618</v>
      </c>
      <c r="AM121" s="62">
        <f t="shared" si="59"/>
        <v>744.15135285709653</v>
      </c>
      <c r="AN121" s="62">
        <f ca="1">AVERAGE(OFFSET($AM$3,0,0,'Données projet'!$E$10+1,1))-AVERAGE(OFFSET($H$3,0,0,'Données projet'!$E$10+1,1))</f>
        <v>304.39782420428173</v>
      </c>
      <c r="AO121" s="62">
        <f t="shared" si="90"/>
        <v>360.34132229290537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10.349244818937539</v>
      </c>
      <c r="AV121" s="23">
        <f>EXP(-LN(2)/25)*AV120+(1-EXP(-LN(2)/25))/(LN(2)/25)*Calculateur!AQ121*Calculateur!AS121*VLOOKUP('Données projet'!$B$10,Paramètres!$A$1:$I$89,3,0)*0.475*44/12</f>
        <v>1.1880917659891062</v>
      </c>
      <c r="AW121" s="23">
        <f>EXP(-LN(2)/2)*AW120+(1-EXP(-LN(2)/2))/(LN(2)/2)*AQ121*AT121*VLOOKUP('Données projet'!$B$10,Paramètres!$A$1:$I$89,3,0)*0.475*44/12</f>
        <v>9.1536413271839841E-9</v>
      </c>
      <c r="AX121" s="23">
        <f t="shared" si="60"/>
        <v>11.537336594080287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273.00000000000023</v>
      </c>
      <c r="BE121" s="14">
        <f>BD121*VLOOKUP('Données projet'!$B$11,Paramètres!$A$1:$I$89,3,0)*VLOOKUP('Données projet'!$B$11,Paramètres!$A$1:$I$89,5,0)</f>
        <v>212.9400000000002</v>
      </c>
      <c r="BF121" s="14">
        <f t="shared" si="91"/>
        <v>52.577528895212915</v>
      </c>
      <c r="BG121" s="22">
        <f t="shared" si="61"/>
        <v>462.44302949249618</v>
      </c>
      <c r="BH121" s="62">
        <f t="shared" si="62"/>
        <v>744.15135285709653</v>
      </c>
      <c r="BI121" s="62">
        <f ca="1">AVERAGE(OFFSET($BH$3,0,0,'Données projet'!$E$11+1,1))-AVERAGE(OFFSET($H$3,0,0,'Données projet'!$E$11+1,1))</f>
        <v>304.39782420428173</v>
      </c>
      <c r="BJ121" s="62">
        <f t="shared" si="92"/>
        <v>360.34132229290537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10.349244818937539</v>
      </c>
      <c r="BQ121" s="23">
        <f>EXP(-LN(2)/25)*BQ120+(1-EXP(-LN(2)/25))/(LN(2)/25)*Calculateur!BL121*Calculateur!BN121*VLOOKUP('Données projet'!$B$11,Paramètres!$A$1:$I$89,3,0)*0.475*44/12</f>
        <v>1.1880917659891062</v>
      </c>
      <c r="BR121" s="23">
        <f>EXP(-LN(2)/2)*BR120+(1-EXP(-LN(2)/2))/(LN(2)/2)*BL121*BO121*VLOOKUP('Données projet'!$B$11,Paramètres!$A$1:$I$89,3,0)*0.475*44/12</f>
        <v>9.1536413271839841E-9</v>
      </c>
      <c r="BS121" s="24">
        <f t="shared" si="63"/>
        <v>11.537336594080287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273.00000000000023</v>
      </c>
      <c r="BZ121" s="14">
        <f>BY121*VLOOKUP('Données projet'!$B$12,Paramètres!$A$1:$I$89,3,0)*VLOOKUP('Données projet'!$B$12,Paramètres!$A$1:$I$89,5,0)</f>
        <v>212.9400000000002</v>
      </c>
      <c r="CA121" s="14">
        <f t="shared" si="93"/>
        <v>52.577528895212915</v>
      </c>
      <c r="CB121" s="22">
        <f t="shared" si="64"/>
        <v>462.44302949249618</v>
      </c>
      <c r="CC121" s="62">
        <f t="shared" si="65"/>
        <v>744.15135285709653</v>
      </c>
      <c r="CD121" s="62">
        <f ca="1">AVERAGE(OFFSET($CC$3,0,0,'Données projet'!$E$12+1,1))-AVERAGE(OFFSET($H$3,0,0,'Données projet'!$E$12+1,1))</f>
        <v>304.39782420428173</v>
      </c>
      <c r="CE121" s="62">
        <f t="shared" si="94"/>
        <v>360.34132229290537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10.349244818937539</v>
      </c>
      <c r="CL121" s="23">
        <f>EXP(-LN(2)/25)*CL120+(1-EXP(-LN(2)/25))/(LN(2)/25)*Calculateur!CG121*Calculateur!CI121*VLOOKUP('Données projet'!$B$12,Paramètres!$A$1:$I$89,3,0)*0.475*44/12</f>
        <v>1.1880917659891062</v>
      </c>
      <c r="CM121" s="23">
        <f>EXP(-LN(2)/2)*CM120+(1-EXP(-LN(2)/2))/(LN(2)/2)*CG121*CJ121*VLOOKUP('Données projet'!$B$12,Paramètres!$A$1:$I$89,3,0)*0.475*44/12</f>
        <v>9.1536413271839841E-9</v>
      </c>
      <c r="CN121" s="24">
        <f t="shared" si="66"/>
        <v>11.537336594080287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1.7053025658242404E-13</v>
      </c>
      <c r="O122" s="14">
        <f>N122*VLOOKUP('Données projet'!$B$9,Paramètres!$A$1:$I$89,3,0)*VLOOKUP('Données projet'!$B$9,Paramètres!$A$1:$I$89,5,0)</f>
        <v>7.9808160080574461E-14</v>
      </c>
      <c r="P122" s="14">
        <f t="shared" si="87"/>
        <v>1.2308384591775343E-12</v>
      </c>
      <c r="Q122" s="22">
        <f t="shared" si="107"/>
        <v>2.282709528541206E-12</v>
      </c>
      <c r="R122" s="62">
        <f t="shared" si="55"/>
        <v>281.90999129793141</v>
      </c>
      <c r="S122" s="62">
        <f ca="1">AVERAGE(OFFSET($R$3,0,0,'Données projet'!$E$9+1,1))-AVERAGE(OFFSET($H$3,0,0,'Données projet'!$E$9+1,1))</f>
        <v>234.81928430389272</v>
      </c>
      <c r="T122" s="62">
        <f t="shared" si="88"/>
        <v>294.47057757403411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27.108678868908598</v>
      </c>
      <c r="AA122" s="23">
        <f>EXP(-LN(2)/25)*AA121+(1-EXP(-LN(2)/25))/(LN(2)/25)*Calculateur!V122*Calculateur!X122*VLOOKUP('Données projet'!$B$9,Paramètres!$A$1:$I$89,3,0)*0.475*44/12</f>
        <v>7.3327075648269968</v>
      </c>
      <c r="AB122" s="23">
        <f>EXP(-LN(2)/2)*AB121+(1-EXP(-LN(2)/2))/(LN(2)/2)*V122*Y122*VLOOKUP('Données projet'!$B$9,Paramètres!$A$1:$I$89,3,0)*0.475*44/12</f>
        <v>8.5951967944880433E-8</v>
      </c>
      <c r="AC122" s="24">
        <f t="shared" si="57"/>
        <v>34.441386519687562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273.00000000000023</v>
      </c>
      <c r="AJ122" s="14">
        <f>AI122*VLOOKUP('Données projet'!$B$10,Paramètres!$A$1:$I$89,3,0)*VLOOKUP('Données projet'!$B$10,Paramètres!$A$1:$I$89,5,0)</f>
        <v>212.9400000000002</v>
      </c>
      <c r="AK122" s="14">
        <f t="shared" si="89"/>
        <v>52.577528895212915</v>
      </c>
      <c r="AL122" s="22">
        <f t="shared" si="58"/>
        <v>462.44302949249618</v>
      </c>
      <c r="AM122" s="62">
        <f t="shared" si="59"/>
        <v>744.35302079042526</v>
      </c>
      <c r="AN122" s="62">
        <f ca="1">AVERAGE(OFFSET($AM$3,0,0,'Données projet'!$E$10+1,1))-AVERAGE(OFFSET($H$3,0,0,'Données projet'!$E$10+1,1))</f>
        <v>304.39782420428173</v>
      </c>
      <c r="AO122" s="62">
        <f t="shared" si="90"/>
        <v>360.34132229290537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10.146302440454214</v>
      </c>
      <c r="AV122" s="23">
        <f>EXP(-LN(2)/25)*AV121+(1-EXP(-LN(2)/25))/(LN(2)/25)*Calculateur!AQ122*Calculateur!AS122*VLOOKUP('Données projet'!$B$10,Paramètres!$A$1:$I$89,3,0)*0.475*44/12</f>
        <v>1.1556033341691034</v>
      </c>
      <c r="AW122" s="23">
        <f>EXP(-LN(2)/2)*AW121+(1-EXP(-LN(2)/2))/(LN(2)/2)*AQ122*AT122*VLOOKUP('Données projet'!$B$10,Paramètres!$A$1:$I$89,3,0)*0.475*44/12</f>
        <v>6.4726018550012241E-9</v>
      </c>
      <c r="AX122" s="23">
        <f t="shared" si="60"/>
        <v>11.30190578109592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273.00000000000023</v>
      </c>
      <c r="BE122" s="14">
        <f>BD122*VLOOKUP('Données projet'!$B$11,Paramètres!$A$1:$I$89,3,0)*VLOOKUP('Données projet'!$B$11,Paramètres!$A$1:$I$89,5,0)</f>
        <v>212.9400000000002</v>
      </c>
      <c r="BF122" s="14">
        <f t="shared" si="91"/>
        <v>52.577528895212915</v>
      </c>
      <c r="BG122" s="22">
        <f t="shared" si="61"/>
        <v>462.44302949249618</v>
      </c>
      <c r="BH122" s="62">
        <f t="shared" si="62"/>
        <v>744.35302079042526</v>
      </c>
      <c r="BI122" s="62">
        <f ca="1">AVERAGE(OFFSET($BH$3,0,0,'Données projet'!$E$11+1,1))-AVERAGE(OFFSET($H$3,0,0,'Données projet'!$E$11+1,1))</f>
        <v>304.39782420428173</v>
      </c>
      <c r="BJ122" s="62">
        <f t="shared" si="92"/>
        <v>360.34132229290537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10.146302440454214</v>
      </c>
      <c r="BQ122" s="23">
        <f>EXP(-LN(2)/25)*BQ121+(1-EXP(-LN(2)/25))/(LN(2)/25)*Calculateur!BL122*Calculateur!BN122*VLOOKUP('Données projet'!$B$11,Paramètres!$A$1:$I$89,3,0)*0.475*44/12</f>
        <v>1.1556033341691034</v>
      </c>
      <c r="BR122" s="23">
        <f>EXP(-LN(2)/2)*BR121+(1-EXP(-LN(2)/2))/(LN(2)/2)*BL122*BO122*VLOOKUP('Données projet'!$B$11,Paramètres!$A$1:$I$89,3,0)*0.475*44/12</f>
        <v>6.4726018550012241E-9</v>
      </c>
      <c r="BS122" s="24">
        <f t="shared" si="63"/>
        <v>11.30190578109592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273.00000000000023</v>
      </c>
      <c r="BZ122" s="14">
        <f>BY122*VLOOKUP('Données projet'!$B$12,Paramètres!$A$1:$I$89,3,0)*VLOOKUP('Données projet'!$B$12,Paramètres!$A$1:$I$89,5,0)</f>
        <v>212.9400000000002</v>
      </c>
      <c r="CA122" s="14">
        <f t="shared" si="93"/>
        <v>52.577528895212915</v>
      </c>
      <c r="CB122" s="22">
        <f t="shared" si="64"/>
        <v>462.44302949249618</v>
      </c>
      <c r="CC122" s="62">
        <f t="shared" si="65"/>
        <v>744.35302079042526</v>
      </c>
      <c r="CD122" s="62">
        <f ca="1">AVERAGE(OFFSET($CC$3,0,0,'Données projet'!$E$12+1,1))-AVERAGE(OFFSET($H$3,0,0,'Données projet'!$E$12+1,1))</f>
        <v>304.39782420428173</v>
      </c>
      <c r="CE122" s="62">
        <f t="shared" si="94"/>
        <v>360.34132229290537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10.146302440454214</v>
      </c>
      <c r="CL122" s="23">
        <f>EXP(-LN(2)/25)*CL121+(1-EXP(-LN(2)/25))/(LN(2)/25)*Calculateur!CG122*Calculateur!CI122*VLOOKUP('Données projet'!$B$12,Paramètres!$A$1:$I$89,3,0)*0.475*44/12</f>
        <v>1.1556033341691034</v>
      </c>
      <c r="CM122" s="23">
        <f>EXP(-LN(2)/2)*CM121+(1-EXP(-LN(2)/2))/(LN(2)/2)*CG122*CJ122*VLOOKUP('Données projet'!$B$12,Paramètres!$A$1:$I$89,3,0)*0.475*44/12</f>
        <v>6.4726018550012241E-9</v>
      </c>
      <c r="CN122" s="24">
        <f t="shared" si="66"/>
        <v>11.30190578109592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1.7053025658242404E-13</v>
      </c>
      <c r="O123" s="14">
        <f>N123*VLOOKUP('Données projet'!$B$9,Paramètres!$A$1:$I$89,3,0)*VLOOKUP('Données projet'!$B$9,Paramètres!$A$1:$I$89,5,0)</f>
        <v>7.9808160080574461E-14</v>
      </c>
      <c r="P123" s="14">
        <f t="shared" si="87"/>
        <v>1.2308384591775343E-12</v>
      </c>
      <c r="Q123" s="22">
        <f t="shared" si="107"/>
        <v>2.282709528541206E-12</v>
      </c>
      <c r="R123" s="62">
        <f t="shared" si="55"/>
        <v>282.10816074347889</v>
      </c>
      <c r="S123" s="62">
        <f ca="1">AVERAGE(OFFSET($R$3,0,0,'Données projet'!$E$9+1,1))-AVERAGE(OFFSET($H$3,0,0,'Données projet'!$E$9+1,1))</f>
        <v>234.81928430389272</v>
      </c>
      <c r="T123" s="62">
        <f t="shared" si="88"/>
        <v>294.47057757403411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26.577094210950747</v>
      </c>
      <c r="AA123" s="23">
        <f>EXP(-LN(2)/25)*AA122+(1-EXP(-LN(2)/25))/(LN(2)/25)*Calculateur!V123*Calculateur!X123*VLOOKUP('Données projet'!$B$9,Paramètres!$A$1:$I$89,3,0)*0.475*44/12</f>
        <v>7.1321942908564706</v>
      </c>
      <c r="AB123" s="23">
        <f>EXP(-LN(2)/2)*AB122+(1-EXP(-LN(2)/2))/(LN(2)/2)*V123*Y123*VLOOKUP('Données projet'!$B$9,Paramètres!$A$1:$I$89,3,0)*0.475*44/12</f>
        <v>6.0777219390153714E-8</v>
      </c>
      <c r="AC123" s="24">
        <f t="shared" si="57"/>
        <v>33.709288562584433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273.00000000000023</v>
      </c>
      <c r="AJ123" s="14">
        <f>AI123*VLOOKUP('Données projet'!$B$10,Paramètres!$A$1:$I$89,3,0)*VLOOKUP('Données projet'!$B$10,Paramètres!$A$1:$I$89,5,0)</f>
        <v>212.9400000000002</v>
      </c>
      <c r="AK123" s="14">
        <f t="shared" si="89"/>
        <v>52.577528895212915</v>
      </c>
      <c r="AL123" s="22">
        <f t="shared" si="58"/>
        <v>462.44302949249618</v>
      </c>
      <c r="AM123" s="62">
        <f t="shared" si="59"/>
        <v>744.55119023597285</v>
      </c>
      <c r="AN123" s="62">
        <f ca="1">AVERAGE(OFFSET($AM$3,0,0,'Données projet'!$E$10+1,1))-AVERAGE(OFFSET($H$3,0,0,'Données projet'!$E$10+1,1))</f>
        <v>304.39782420428173</v>
      </c>
      <c r="AO123" s="62">
        <f t="shared" si="90"/>
        <v>360.34132229290537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9.9473396382303179</v>
      </c>
      <c r="AV123" s="23">
        <f>EXP(-LN(2)/25)*AV122+(1-EXP(-LN(2)/25))/(LN(2)/25)*Calculateur!AQ123*Calculateur!AS123*VLOOKUP('Données projet'!$B$10,Paramètres!$A$1:$I$89,3,0)*0.475*44/12</f>
        <v>1.124003300225711</v>
      </c>
      <c r="AW123" s="23">
        <f>EXP(-LN(2)/2)*AW122+(1-EXP(-LN(2)/2))/(LN(2)/2)*AQ123*AT123*VLOOKUP('Données projet'!$B$10,Paramètres!$A$1:$I$89,3,0)*0.475*44/12</f>
        <v>4.5768206635919921E-9</v>
      </c>
      <c r="AX123" s="23">
        <f t="shared" si="60"/>
        <v>11.07134294303285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273.00000000000023</v>
      </c>
      <c r="BE123" s="14">
        <f>BD123*VLOOKUP('Données projet'!$B$11,Paramètres!$A$1:$I$89,3,0)*VLOOKUP('Données projet'!$B$11,Paramètres!$A$1:$I$89,5,0)</f>
        <v>212.9400000000002</v>
      </c>
      <c r="BF123" s="14">
        <f t="shared" si="91"/>
        <v>52.577528895212915</v>
      </c>
      <c r="BG123" s="22">
        <f t="shared" si="61"/>
        <v>462.44302949249618</v>
      </c>
      <c r="BH123" s="62">
        <f t="shared" si="62"/>
        <v>744.55119023597285</v>
      </c>
      <c r="BI123" s="62">
        <f ca="1">AVERAGE(OFFSET($BH$3,0,0,'Données projet'!$E$11+1,1))-AVERAGE(OFFSET($H$3,0,0,'Données projet'!$E$11+1,1))</f>
        <v>304.39782420428173</v>
      </c>
      <c r="BJ123" s="62">
        <f t="shared" si="92"/>
        <v>360.34132229290537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9.9473396382303179</v>
      </c>
      <c r="BQ123" s="23">
        <f>EXP(-LN(2)/25)*BQ122+(1-EXP(-LN(2)/25))/(LN(2)/25)*Calculateur!BL123*Calculateur!BN123*VLOOKUP('Données projet'!$B$11,Paramètres!$A$1:$I$89,3,0)*0.475*44/12</f>
        <v>1.124003300225711</v>
      </c>
      <c r="BR123" s="23">
        <f>EXP(-LN(2)/2)*BR122+(1-EXP(-LN(2)/2))/(LN(2)/2)*BL123*BO123*VLOOKUP('Données projet'!$B$11,Paramètres!$A$1:$I$89,3,0)*0.475*44/12</f>
        <v>4.5768206635919921E-9</v>
      </c>
      <c r="BS123" s="24">
        <f t="shared" si="63"/>
        <v>11.07134294303285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273.00000000000023</v>
      </c>
      <c r="BZ123" s="14">
        <f>BY123*VLOOKUP('Données projet'!$B$12,Paramètres!$A$1:$I$89,3,0)*VLOOKUP('Données projet'!$B$12,Paramètres!$A$1:$I$89,5,0)</f>
        <v>212.9400000000002</v>
      </c>
      <c r="CA123" s="14">
        <f t="shared" si="93"/>
        <v>52.577528895212915</v>
      </c>
      <c r="CB123" s="22">
        <f t="shared" si="64"/>
        <v>462.44302949249618</v>
      </c>
      <c r="CC123" s="62">
        <f t="shared" si="65"/>
        <v>744.55119023597285</v>
      </c>
      <c r="CD123" s="62">
        <f ca="1">AVERAGE(OFFSET($CC$3,0,0,'Données projet'!$E$12+1,1))-AVERAGE(OFFSET($H$3,0,0,'Données projet'!$E$12+1,1))</f>
        <v>304.39782420428173</v>
      </c>
      <c r="CE123" s="62">
        <f t="shared" si="94"/>
        <v>360.34132229290537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9.9473396382303179</v>
      </c>
      <c r="CL123" s="23">
        <f>EXP(-LN(2)/25)*CL122+(1-EXP(-LN(2)/25))/(LN(2)/25)*Calculateur!CG123*Calculateur!CI123*VLOOKUP('Données projet'!$B$12,Paramètres!$A$1:$I$89,3,0)*0.475*44/12</f>
        <v>1.124003300225711</v>
      </c>
      <c r="CM123" s="23">
        <f>EXP(-LN(2)/2)*CM122+(1-EXP(-LN(2)/2))/(LN(2)/2)*CG123*CJ123*VLOOKUP('Données projet'!$B$12,Paramètres!$A$1:$I$89,3,0)*0.475*44/12</f>
        <v>4.5768206635919921E-9</v>
      </c>
      <c r="CN123" s="24">
        <f t="shared" si="66"/>
        <v>11.07134294303285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1.7053025658242404E-13</v>
      </c>
      <c r="O124" s="14">
        <f>N124*VLOOKUP('Données projet'!$B$9,Paramètres!$A$1:$I$89,3,0)*VLOOKUP('Données projet'!$B$9,Paramètres!$A$1:$I$89,5,0)</f>
        <v>7.9808160080574461E-14</v>
      </c>
      <c r="P124" s="14">
        <f t="shared" si="87"/>
        <v>1.2308384591775343E-12</v>
      </c>
      <c r="Q124" s="22">
        <f t="shared" si="107"/>
        <v>2.282709528541206E-12</v>
      </c>
      <c r="R124" s="62">
        <f t="shared" si="55"/>
        <v>282.30289239218666</v>
      </c>
      <c r="S124" s="62">
        <f ca="1">AVERAGE(OFFSET($R$3,0,0,'Données projet'!$E$9+1,1))-AVERAGE(OFFSET($H$3,0,0,'Données projet'!$E$9+1,1))</f>
        <v>234.81928430389272</v>
      </c>
      <c r="T124" s="62">
        <f t="shared" si="88"/>
        <v>294.47057757403411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26.055933603900826</v>
      </c>
      <c r="AA124" s="23">
        <f>EXP(-LN(2)/25)*AA123+(1-EXP(-LN(2)/25))/(LN(2)/25)*Calculateur!V124*Calculateur!X124*VLOOKUP('Données projet'!$B$9,Paramètres!$A$1:$I$89,3,0)*0.475*44/12</f>
        <v>6.9371640629072031</v>
      </c>
      <c r="AB124" s="23">
        <f>EXP(-LN(2)/2)*AB123+(1-EXP(-LN(2)/2))/(LN(2)/2)*V124*Y124*VLOOKUP('Données projet'!$B$9,Paramètres!$A$1:$I$89,3,0)*0.475*44/12</f>
        <v>4.2975983972440217E-8</v>
      </c>
      <c r="AC124" s="24">
        <f t="shared" si="57"/>
        <v>32.99309770978401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273.00000000000023</v>
      </c>
      <c r="AJ124" s="14">
        <f>AI124*VLOOKUP('Données projet'!$B$10,Paramètres!$A$1:$I$89,3,0)*VLOOKUP('Données projet'!$B$10,Paramètres!$A$1:$I$89,5,0)</f>
        <v>212.9400000000002</v>
      </c>
      <c r="AK124" s="14">
        <f t="shared" si="89"/>
        <v>52.577528895212915</v>
      </c>
      <c r="AL124" s="22">
        <f t="shared" si="58"/>
        <v>462.44302949249618</v>
      </c>
      <c r="AM124" s="62">
        <f t="shared" si="59"/>
        <v>744.74592188468057</v>
      </c>
      <c r="AN124" s="62">
        <f ca="1">AVERAGE(OFFSET($AM$3,0,0,'Données projet'!$E$10+1,1))-AVERAGE(OFFSET($H$3,0,0,'Données projet'!$E$10+1,1))</f>
        <v>304.39782420428173</v>
      </c>
      <c r="AO124" s="62">
        <f t="shared" si="90"/>
        <v>360.34132229290537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9.7522783752027067</v>
      </c>
      <c r="AV124" s="23">
        <f>EXP(-LN(2)/25)*AV123+(1-EXP(-LN(2)/25))/(LN(2)/25)*Calculateur!AQ124*Calculateur!AS124*VLOOKUP('Données projet'!$B$10,Paramètres!$A$1:$I$89,3,0)*0.475*44/12</f>
        <v>1.0932673708722744</v>
      </c>
      <c r="AW124" s="23">
        <f>EXP(-LN(2)/2)*AW123+(1-EXP(-LN(2)/2))/(LN(2)/2)*AQ124*AT124*VLOOKUP('Données projet'!$B$10,Paramètres!$A$1:$I$89,3,0)*0.475*44/12</f>
        <v>3.236300927500612E-9</v>
      </c>
      <c r="AX124" s="23">
        <f t="shared" si="60"/>
        <v>10.845545749311281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273.00000000000023</v>
      </c>
      <c r="BE124" s="14">
        <f>BD124*VLOOKUP('Données projet'!$B$11,Paramètres!$A$1:$I$89,3,0)*VLOOKUP('Données projet'!$B$11,Paramètres!$A$1:$I$89,5,0)</f>
        <v>212.9400000000002</v>
      </c>
      <c r="BF124" s="14">
        <f t="shared" si="91"/>
        <v>52.577528895212915</v>
      </c>
      <c r="BG124" s="22">
        <f t="shared" si="61"/>
        <v>462.44302949249618</v>
      </c>
      <c r="BH124" s="62">
        <f t="shared" si="62"/>
        <v>744.74592188468057</v>
      </c>
      <c r="BI124" s="62">
        <f ca="1">AVERAGE(OFFSET($BH$3,0,0,'Données projet'!$E$11+1,1))-AVERAGE(OFFSET($H$3,0,0,'Données projet'!$E$11+1,1))</f>
        <v>304.39782420428173</v>
      </c>
      <c r="BJ124" s="62">
        <f t="shared" si="92"/>
        <v>360.34132229290537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9.7522783752027067</v>
      </c>
      <c r="BQ124" s="23">
        <f>EXP(-LN(2)/25)*BQ123+(1-EXP(-LN(2)/25))/(LN(2)/25)*Calculateur!BL124*Calculateur!BN124*VLOOKUP('Données projet'!$B$11,Paramètres!$A$1:$I$89,3,0)*0.475*44/12</f>
        <v>1.0932673708722744</v>
      </c>
      <c r="BR124" s="23">
        <f>EXP(-LN(2)/2)*BR123+(1-EXP(-LN(2)/2))/(LN(2)/2)*BL124*BO124*VLOOKUP('Données projet'!$B$11,Paramètres!$A$1:$I$89,3,0)*0.475*44/12</f>
        <v>3.236300927500612E-9</v>
      </c>
      <c r="BS124" s="24">
        <f t="shared" si="63"/>
        <v>10.845545749311281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273.00000000000023</v>
      </c>
      <c r="BZ124" s="14">
        <f>BY124*VLOOKUP('Données projet'!$B$12,Paramètres!$A$1:$I$89,3,0)*VLOOKUP('Données projet'!$B$12,Paramètres!$A$1:$I$89,5,0)</f>
        <v>212.9400000000002</v>
      </c>
      <c r="CA124" s="14">
        <f t="shared" si="93"/>
        <v>52.577528895212915</v>
      </c>
      <c r="CB124" s="22">
        <f t="shared" si="64"/>
        <v>462.44302949249618</v>
      </c>
      <c r="CC124" s="62">
        <f t="shared" si="65"/>
        <v>744.74592188468057</v>
      </c>
      <c r="CD124" s="62">
        <f ca="1">AVERAGE(OFFSET($CC$3,0,0,'Données projet'!$E$12+1,1))-AVERAGE(OFFSET($H$3,0,0,'Données projet'!$E$12+1,1))</f>
        <v>304.39782420428173</v>
      </c>
      <c r="CE124" s="62">
        <f t="shared" si="94"/>
        <v>360.34132229290537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9.7522783752027067</v>
      </c>
      <c r="CL124" s="23">
        <f>EXP(-LN(2)/25)*CL123+(1-EXP(-LN(2)/25))/(LN(2)/25)*Calculateur!CG124*Calculateur!CI124*VLOOKUP('Données projet'!$B$12,Paramètres!$A$1:$I$89,3,0)*0.475*44/12</f>
        <v>1.0932673708722744</v>
      </c>
      <c r="CM124" s="23">
        <f>EXP(-LN(2)/2)*CM123+(1-EXP(-LN(2)/2))/(LN(2)/2)*CG124*CJ124*VLOOKUP('Données projet'!$B$12,Paramètres!$A$1:$I$89,3,0)*0.475*44/12</f>
        <v>3.236300927500612E-9</v>
      </c>
      <c r="CN124" s="24">
        <f t="shared" si="66"/>
        <v>10.845545749311281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1.7053025658242404E-13</v>
      </c>
      <c r="O125" s="14">
        <f>N125*VLOOKUP('Données projet'!$B$9,Paramètres!$A$1:$I$89,3,0)*VLOOKUP('Données projet'!$B$9,Paramètres!$A$1:$I$89,5,0)</f>
        <v>7.9808160080574461E-14</v>
      </c>
      <c r="P125" s="14">
        <f t="shared" si="87"/>
        <v>1.2308384591775343E-12</v>
      </c>
      <c r="Q125" s="22">
        <f t="shared" si="107"/>
        <v>2.282709528541206E-12</v>
      </c>
      <c r="R125" s="62">
        <f t="shared" si="55"/>
        <v>282.49424588214407</v>
      </c>
      <c r="S125" s="62">
        <f ca="1">AVERAGE(OFFSET($R$3,0,0,'Données projet'!$E$9+1,1))-AVERAGE(OFFSET($H$3,0,0,'Données projet'!$E$9+1,1))</f>
        <v>234.81928430389272</v>
      </c>
      <c r="T125" s="62">
        <f t="shared" si="88"/>
        <v>294.47057757403411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25.544992638478568</v>
      </c>
      <c r="AA125" s="23">
        <f>EXP(-LN(2)/25)*AA124+(1-EXP(-LN(2)/25))/(LN(2)/25)*Calculateur!V125*Calculateur!X125*VLOOKUP('Données projet'!$B$9,Paramètres!$A$1:$I$89,3,0)*0.475*44/12</f>
        <v>6.7474669467974024</v>
      </c>
      <c r="AB125" s="23">
        <f>EXP(-LN(2)/2)*AB124+(1-EXP(-LN(2)/2))/(LN(2)/2)*V125*Y125*VLOOKUP('Données projet'!$B$9,Paramètres!$A$1:$I$89,3,0)*0.475*44/12</f>
        <v>3.0388609695076857E-8</v>
      </c>
      <c r="AC125" s="24">
        <f t="shared" si="57"/>
        <v>32.292459615664583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273.00000000000023</v>
      </c>
      <c r="AJ125" s="14">
        <f>AI125*VLOOKUP('Données projet'!$B$10,Paramètres!$A$1:$I$89,3,0)*VLOOKUP('Données projet'!$B$10,Paramètres!$A$1:$I$89,5,0)</f>
        <v>212.9400000000002</v>
      </c>
      <c r="AK125" s="14">
        <f t="shared" si="89"/>
        <v>52.577528895212915</v>
      </c>
      <c r="AL125" s="22">
        <f t="shared" si="58"/>
        <v>462.44302949249618</v>
      </c>
      <c r="AM125" s="62">
        <f t="shared" si="59"/>
        <v>744.93727537463792</v>
      </c>
      <c r="AN125" s="62">
        <f ca="1">AVERAGE(OFFSET($AM$3,0,0,'Données projet'!$E$10+1,1))-AVERAGE(OFFSET($H$3,0,0,'Données projet'!$E$10+1,1))</f>
        <v>304.39782420428173</v>
      </c>
      <c r="AO125" s="62">
        <f t="shared" si="90"/>
        <v>360.34132229290537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9.5610421445674447</v>
      </c>
      <c r="AV125" s="23">
        <f>EXP(-LN(2)/25)*AV124+(1-EXP(-LN(2)/25))/(LN(2)/25)*Calculateur!AQ125*Calculateur!AS125*VLOOKUP('Données projet'!$B$10,Paramètres!$A$1:$I$89,3,0)*0.475*44/12</f>
        <v>1.0633719171233398</v>
      </c>
      <c r="AW125" s="23">
        <f>EXP(-LN(2)/2)*AW124+(1-EXP(-LN(2)/2))/(LN(2)/2)*AQ125*AT125*VLOOKUP('Données projet'!$B$10,Paramètres!$A$1:$I$89,3,0)*0.475*44/12</f>
        <v>2.288410331795996E-9</v>
      </c>
      <c r="AX125" s="23">
        <f t="shared" si="60"/>
        <v>10.624414063979193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273.00000000000023</v>
      </c>
      <c r="BE125" s="14">
        <f>BD125*VLOOKUP('Données projet'!$B$11,Paramètres!$A$1:$I$89,3,0)*VLOOKUP('Données projet'!$B$11,Paramètres!$A$1:$I$89,5,0)</f>
        <v>212.9400000000002</v>
      </c>
      <c r="BF125" s="14">
        <f t="shared" si="91"/>
        <v>52.577528895212915</v>
      </c>
      <c r="BG125" s="22">
        <f t="shared" si="61"/>
        <v>462.44302949249618</v>
      </c>
      <c r="BH125" s="62">
        <f t="shared" si="62"/>
        <v>744.93727537463792</v>
      </c>
      <c r="BI125" s="62">
        <f ca="1">AVERAGE(OFFSET($BH$3,0,0,'Données projet'!$E$11+1,1))-AVERAGE(OFFSET($H$3,0,0,'Données projet'!$E$11+1,1))</f>
        <v>304.39782420428173</v>
      </c>
      <c r="BJ125" s="62">
        <f t="shared" si="92"/>
        <v>360.34132229290537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9.5610421445674447</v>
      </c>
      <c r="BQ125" s="23">
        <f>EXP(-LN(2)/25)*BQ124+(1-EXP(-LN(2)/25))/(LN(2)/25)*Calculateur!BL125*Calculateur!BN125*VLOOKUP('Données projet'!$B$11,Paramètres!$A$1:$I$89,3,0)*0.475*44/12</f>
        <v>1.0633719171233398</v>
      </c>
      <c r="BR125" s="23">
        <f>EXP(-LN(2)/2)*BR124+(1-EXP(-LN(2)/2))/(LN(2)/2)*BL125*BO125*VLOOKUP('Données projet'!$B$11,Paramètres!$A$1:$I$89,3,0)*0.475*44/12</f>
        <v>2.288410331795996E-9</v>
      </c>
      <c r="BS125" s="24">
        <f t="shared" si="63"/>
        <v>10.624414063979193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273.00000000000023</v>
      </c>
      <c r="BZ125" s="14">
        <f>BY125*VLOOKUP('Données projet'!$B$12,Paramètres!$A$1:$I$89,3,0)*VLOOKUP('Données projet'!$B$12,Paramètres!$A$1:$I$89,5,0)</f>
        <v>212.9400000000002</v>
      </c>
      <c r="CA125" s="14">
        <f t="shared" si="93"/>
        <v>52.577528895212915</v>
      </c>
      <c r="CB125" s="22">
        <f t="shared" si="64"/>
        <v>462.44302949249618</v>
      </c>
      <c r="CC125" s="62">
        <f t="shared" si="65"/>
        <v>744.93727537463792</v>
      </c>
      <c r="CD125" s="62">
        <f ca="1">AVERAGE(OFFSET($CC$3,0,0,'Données projet'!$E$12+1,1))-AVERAGE(OFFSET($H$3,0,0,'Données projet'!$E$12+1,1))</f>
        <v>304.39782420428173</v>
      </c>
      <c r="CE125" s="62">
        <f t="shared" si="94"/>
        <v>360.34132229290537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9.5610421445674447</v>
      </c>
      <c r="CL125" s="23">
        <f>EXP(-LN(2)/25)*CL124+(1-EXP(-LN(2)/25))/(LN(2)/25)*Calculateur!CG125*Calculateur!CI125*VLOOKUP('Données projet'!$B$12,Paramètres!$A$1:$I$89,3,0)*0.475*44/12</f>
        <v>1.0633719171233398</v>
      </c>
      <c r="CM125" s="23">
        <f>EXP(-LN(2)/2)*CM124+(1-EXP(-LN(2)/2))/(LN(2)/2)*CG125*CJ125*VLOOKUP('Données projet'!$B$12,Paramètres!$A$1:$I$89,3,0)*0.475*44/12</f>
        <v>2.288410331795996E-9</v>
      </c>
      <c r="CN125" s="24">
        <f t="shared" si="66"/>
        <v>10.624414063979193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1.7053025658242404E-13</v>
      </c>
      <c r="O126" s="14">
        <f>N126*VLOOKUP('Données projet'!$B$9,Paramètres!$A$1:$I$89,3,0)*VLOOKUP('Données projet'!$B$9,Paramètres!$A$1:$I$89,5,0)</f>
        <v>7.9808160080574461E-14</v>
      </c>
      <c r="P126" s="14">
        <f t="shared" si="87"/>
        <v>1.2308384591775343E-12</v>
      </c>
      <c r="Q126" s="22">
        <f t="shared" si="107"/>
        <v>2.282709528541206E-12</v>
      </c>
      <c r="R126" s="62">
        <f t="shared" si="55"/>
        <v>282.68227981685294</v>
      </c>
      <c r="S126" s="62">
        <f ca="1">AVERAGE(OFFSET($R$3,0,0,'Données projet'!$E$9+1,1))-AVERAGE(OFFSET($H$3,0,0,'Données projet'!$E$9+1,1))</f>
        <v>234.81928430389272</v>
      </c>
      <c r="T126" s="62">
        <f t="shared" si="88"/>
        <v>294.47057757403411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25.044070913745028</v>
      </c>
      <c r="AA126" s="23">
        <f>EXP(-LN(2)/25)*AA125+(1-EXP(-LN(2)/25))/(LN(2)/25)*Calculateur!V126*Calculateur!X126*VLOOKUP('Données projet'!$B$9,Paramètres!$A$1:$I$89,3,0)*0.475*44/12</f>
        <v>6.5629571083033627</v>
      </c>
      <c r="AB126" s="23">
        <f>EXP(-LN(2)/2)*AB125+(1-EXP(-LN(2)/2))/(LN(2)/2)*V126*Y126*VLOOKUP('Données projet'!$B$9,Paramètres!$A$1:$I$89,3,0)*0.475*44/12</f>
        <v>2.1487991986220108E-8</v>
      </c>
      <c r="AC126" s="24">
        <f t="shared" si="57"/>
        <v>31.607028043536381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273.00000000000023</v>
      </c>
      <c r="AJ126" s="14">
        <f>AI126*VLOOKUP('Données projet'!$B$10,Paramètres!$A$1:$I$89,3,0)*VLOOKUP('Données projet'!$B$10,Paramètres!$A$1:$I$89,5,0)</f>
        <v>212.9400000000002</v>
      </c>
      <c r="AK126" s="14">
        <f t="shared" si="89"/>
        <v>52.577528895212915</v>
      </c>
      <c r="AL126" s="22">
        <f t="shared" si="58"/>
        <v>462.44302949249618</v>
      </c>
      <c r="AM126" s="62">
        <f t="shared" si="59"/>
        <v>745.1253093093469</v>
      </c>
      <c r="AN126" s="62">
        <f ca="1">AVERAGE(OFFSET($AM$3,0,0,'Données projet'!$E$10+1,1))-AVERAGE(OFFSET($H$3,0,0,'Données projet'!$E$10+1,1))</f>
        <v>304.39782420428173</v>
      </c>
      <c r="AO126" s="62">
        <f t="shared" si="90"/>
        <v>360.34132229290537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9.3735559397723573</v>
      </c>
      <c r="AV126" s="23">
        <f>EXP(-LN(2)/25)*AV125+(1-EXP(-LN(2)/25))/(LN(2)/25)*Calculateur!AQ126*Calculateur!AS126*VLOOKUP('Données projet'!$B$10,Paramètres!$A$1:$I$89,3,0)*0.475*44/12</f>
        <v>1.0342939561293032</v>
      </c>
      <c r="AW126" s="23">
        <f>EXP(-LN(2)/2)*AW125+(1-EXP(-LN(2)/2))/(LN(2)/2)*AQ126*AT126*VLOOKUP('Données projet'!$B$10,Paramètres!$A$1:$I$89,3,0)*0.475*44/12</f>
        <v>1.618150463750306E-9</v>
      </c>
      <c r="AX126" s="23">
        <f t="shared" si="60"/>
        <v>10.407849897519812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273.00000000000023</v>
      </c>
      <c r="BE126" s="14">
        <f>BD126*VLOOKUP('Données projet'!$B$11,Paramètres!$A$1:$I$89,3,0)*VLOOKUP('Données projet'!$B$11,Paramètres!$A$1:$I$89,5,0)</f>
        <v>212.9400000000002</v>
      </c>
      <c r="BF126" s="14">
        <f t="shared" si="91"/>
        <v>52.577528895212915</v>
      </c>
      <c r="BG126" s="22">
        <f t="shared" si="61"/>
        <v>462.44302949249618</v>
      </c>
      <c r="BH126" s="62">
        <f t="shared" si="62"/>
        <v>745.1253093093469</v>
      </c>
      <c r="BI126" s="62">
        <f ca="1">AVERAGE(OFFSET($BH$3,0,0,'Données projet'!$E$11+1,1))-AVERAGE(OFFSET($H$3,0,0,'Données projet'!$E$11+1,1))</f>
        <v>304.39782420428173</v>
      </c>
      <c r="BJ126" s="62">
        <f t="shared" si="92"/>
        <v>360.34132229290537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9.3735559397723573</v>
      </c>
      <c r="BQ126" s="23">
        <f>EXP(-LN(2)/25)*BQ125+(1-EXP(-LN(2)/25))/(LN(2)/25)*Calculateur!BL126*Calculateur!BN126*VLOOKUP('Données projet'!$B$11,Paramètres!$A$1:$I$89,3,0)*0.475*44/12</f>
        <v>1.0342939561293032</v>
      </c>
      <c r="BR126" s="23">
        <f>EXP(-LN(2)/2)*BR125+(1-EXP(-LN(2)/2))/(LN(2)/2)*BL126*BO126*VLOOKUP('Données projet'!$B$11,Paramètres!$A$1:$I$89,3,0)*0.475*44/12</f>
        <v>1.618150463750306E-9</v>
      </c>
      <c r="BS126" s="24">
        <f t="shared" si="63"/>
        <v>10.407849897519812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273.00000000000023</v>
      </c>
      <c r="BZ126" s="14">
        <f>BY126*VLOOKUP('Données projet'!$B$12,Paramètres!$A$1:$I$89,3,0)*VLOOKUP('Données projet'!$B$12,Paramètres!$A$1:$I$89,5,0)</f>
        <v>212.9400000000002</v>
      </c>
      <c r="CA126" s="14">
        <f t="shared" si="93"/>
        <v>52.577528895212915</v>
      </c>
      <c r="CB126" s="22">
        <f t="shared" si="64"/>
        <v>462.44302949249618</v>
      </c>
      <c r="CC126" s="62">
        <f t="shared" si="65"/>
        <v>745.1253093093469</v>
      </c>
      <c r="CD126" s="62">
        <f ca="1">AVERAGE(OFFSET($CC$3,0,0,'Données projet'!$E$12+1,1))-AVERAGE(OFFSET($H$3,0,0,'Données projet'!$E$12+1,1))</f>
        <v>304.39782420428173</v>
      </c>
      <c r="CE126" s="62">
        <f t="shared" si="94"/>
        <v>360.34132229290537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9.3735559397723573</v>
      </c>
      <c r="CL126" s="23">
        <f>EXP(-LN(2)/25)*CL125+(1-EXP(-LN(2)/25))/(LN(2)/25)*Calculateur!CG126*Calculateur!CI126*VLOOKUP('Données projet'!$B$12,Paramètres!$A$1:$I$89,3,0)*0.475*44/12</f>
        <v>1.0342939561293032</v>
      </c>
      <c r="CM126" s="23">
        <f>EXP(-LN(2)/2)*CM125+(1-EXP(-LN(2)/2))/(LN(2)/2)*CG126*CJ126*VLOOKUP('Données projet'!$B$12,Paramètres!$A$1:$I$89,3,0)*0.475*44/12</f>
        <v>1.618150463750306E-9</v>
      </c>
      <c r="CN126" s="24">
        <f t="shared" si="66"/>
        <v>10.407849897519812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1.7053025658242404E-13</v>
      </c>
      <c r="O127" s="14">
        <f>N127*VLOOKUP('Données projet'!$B$9,Paramètres!$A$1:$I$89,3,0)*VLOOKUP('Données projet'!$B$9,Paramètres!$A$1:$I$89,5,0)</f>
        <v>7.9808160080574461E-14</v>
      </c>
      <c r="P127" s="14">
        <f t="shared" si="87"/>
        <v>1.2308384591775343E-12</v>
      </c>
      <c r="Q127" s="22">
        <f t="shared" si="107"/>
        <v>2.282709528541206E-12</v>
      </c>
      <c r="R127" s="62">
        <f t="shared" si="55"/>
        <v>282.86705178317561</v>
      </c>
      <c r="S127" s="62">
        <f ca="1">AVERAGE(OFFSET($R$3,0,0,'Données projet'!$E$9+1,1))-AVERAGE(OFFSET($H$3,0,0,'Données projet'!$E$9+1,1))</f>
        <v>234.81928430389272</v>
      </c>
      <c r="T127" s="62">
        <f t="shared" si="88"/>
        <v>294.47057757403411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24.552971958501427</v>
      </c>
      <c r="AA127" s="23">
        <f>EXP(-LN(2)/25)*AA126+(1-EXP(-LN(2)/25))/(LN(2)/25)*Calculateur!V127*Calculateur!X127*VLOOKUP('Données projet'!$B$9,Paramètres!$A$1:$I$89,3,0)*0.475*44/12</f>
        <v>6.3834927010458928</v>
      </c>
      <c r="AB127" s="23">
        <f>EXP(-LN(2)/2)*AB126+(1-EXP(-LN(2)/2))/(LN(2)/2)*V127*Y127*VLOOKUP('Données projet'!$B$9,Paramètres!$A$1:$I$89,3,0)*0.475*44/12</f>
        <v>1.5194304847538429E-8</v>
      </c>
      <c r="AC127" s="24">
        <f t="shared" si="57"/>
        <v>30.936464674741625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273.00000000000023</v>
      </c>
      <c r="AJ127" s="14">
        <f>AI127*VLOOKUP('Données projet'!$B$10,Paramètres!$A$1:$I$89,3,0)*VLOOKUP('Données projet'!$B$10,Paramètres!$A$1:$I$89,5,0)</f>
        <v>212.9400000000002</v>
      </c>
      <c r="AK127" s="14">
        <f t="shared" si="89"/>
        <v>52.577528895212915</v>
      </c>
      <c r="AL127" s="22">
        <f t="shared" si="58"/>
        <v>462.44302949249618</v>
      </c>
      <c r="AM127" s="62">
        <f t="shared" si="59"/>
        <v>745.31008127566952</v>
      </c>
      <c r="AN127" s="62">
        <f ca="1">AVERAGE(OFFSET($AM$3,0,0,'Données projet'!$E$10+1,1))-AVERAGE(OFFSET($H$3,0,0,'Données projet'!$E$10+1,1))</f>
        <v>304.39782420428173</v>
      </c>
      <c r="AO127" s="62">
        <f t="shared" si="90"/>
        <v>360.34132229290537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9.1897462250980073</v>
      </c>
      <c r="AV127" s="23">
        <f>EXP(-LN(2)/25)*AV126+(1-EXP(-LN(2)/25))/(LN(2)/25)*Calculateur!AQ127*Calculateur!AS127*VLOOKUP('Données projet'!$B$10,Paramètres!$A$1:$I$89,3,0)*0.475*44/12</f>
        <v>1.0060111335077921</v>
      </c>
      <c r="AW127" s="23">
        <f>EXP(-LN(2)/2)*AW126+(1-EXP(-LN(2)/2))/(LN(2)/2)*AQ127*AT127*VLOOKUP('Données projet'!$B$10,Paramètres!$A$1:$I$89,3,0)*0.475*44/12</f>
        <v>1.144205165897998E-9</v>
      </c>
      <c r="AX127" s="23">
        <f t="shared" si="60"/>
        <v>10.195757359750004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273.00000000000023</v>
      </c>
      <c r="BE127" s="14">
        <f>BD127*VLOOKUP('Données projet'!$B$11,Paramètres!$A$1:$I$89,3,0)*VLOOKUP('Données projet'!$B$11,Paramètres!$A$1:$I$89,5,0)</f>
        <v>212.9400000000002</v>
      </c>
      <c r="BF127" s="14">
        <f t="shared" si="91"/>
        <v>52.577528895212915</v>
      </c>
      <c r="BG127" s="22">
        <f t="shared" si="61"/>
        <v>462.44302949249618</v>
      </c>
      <c r="BH127" s="62">
        <f t="shared" si="62"/>
        <v>745.31008127566952</v>
      </c>
      <c r="BI127" s="62">
        <f ca="1">AVERAGE(OFFSET($BH$3,0,0,'Données projet'!$E$11+1,1))-AVERAGE(OFFSET($H$3,0,0,'Données projet'!$E$11+1,1))</f>
        <v>304.39782420428173</v>
      </c>
      <c r="BJ127" s="62">
        <f t="shared" si="92"/>
        <v>360.34132229290537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9.1897462250980073</v>
      </c>
      <c r="BQ127" s="23">
        <f>EXP(-LN(2)/25)*BQ126+(1-EXP(-LN(2)/25))/(LN(2)/25)*Calculateur!BL127*Calculateur!BN127*VLOOKUP('Données projet'!$B$11,Paramètres!$A$1:$I$89,3,0)*0.475*44/12</f>
        <v>1.0060111335077921</v>
      </c>
      <c r="BR127" s="23">
        <f>EXP(-LN(2)/2)*BR126+(1-EXP(-LN(2)/2))/(LN(2)/2)*BL127*BO127*VLOOKUP('Données projet'!$B$11,Paramètres!$A$1:$I$89,3,0)*0.475*44/12</f>
        <v>1.144205165897998E-9</v>
      </c>
      <c r="BS127" s="24">
        <f t="shared" si="63"/>
        <v>10.195757359750004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273.00000000000023</v>
      </c>
      <c r="BZ127" s="14">
        <f>BY127*VLOOKUP('Données projet'!$B$12,Paramètres!$A$1:$I$89,3,0)*VLOOKUP('Données projet'!$B$12,Paramètres!$A$1:$I$89,5,0)</f>
        <v>212.9400000000002</v>
      </c>
      <c r="CA127" s="14">
        <f t="shared" si="93"/>
        <v>52.577528895212915</v>
      </c>
      <c r="CB127" s="22">
        <f t="shared" si="64"/>
        <v>462.44302949249618</v>
      </c>
      <c r="CC127" s="62">
        <f t="shared" si="65"/>
        <v>745.31008127566952</v>
      </c>
      <c r="CD127" s="62">
        <f ca="1">AVERAGE(OFFSET($CC$3,0,0,'Données projet'!$E$12+1,1))-AVERAGE(OFFSET($H$3,0,0,'Données projet'!$E$12+1,1))</f>
        <v>304.39782420428173</v>
      </c>
      <c r="CE127" s="62">
        <f t="shared" si="94"/>
        <v>360.34132229290537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9.1897462250980073</v>
      </c>
      <c r="CL127" s="23">
        <f>EXP(-LN(2)/25)*CL126+(1-EXP(-LN(2)/25))/(LN(2)/25)*Calculateur!CG127*Calculateur!CI127*VLOOKUP('Données projet'!$B$12,Paramètres!$A$1:$I$89,3,0)*0.475*44/12</f>
        <v>1.0060111335077921</v>
      </c>
      <c r="CM127" s="23">
        <f>EXP(-LN(2)/2)*CM126+(1-EXP(-LN(2)/2))/(LN(2)/2)*CG127*CJ127*VLOOKUP('Données projet'!$B$12,Paramètres!$A$1:$I$89,3,0)*0.475*44/12</f>
        <v>1.144205165897998E-9</v>
      </c>
      <c r="CN127" s="24">
        <f t="shared" si="66"/>
        <v>10.195757359750004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1.7053025658242404E-13</v>
      </c>
      <c r="O128" s="14">
        <f>N128*VLOOKUP('Données projet'!$B$9,Paramètres!$A$1:$I$89,3,0)*VLOOKUP('Données projet'!$B$9,Paramètres!$A$1:$I$89,5,0)</f>
        <v>7.9808160080574461E-14</v>
      </c>
      <c r="P128" s="14">
        <f t="shared" si="87"/>
        <v>1.2308384591775343E-12</v>
      </c>
      <c r="Q128" s="22">
        <f t="shared" si="107"/>
        <v>2.282709528541206E-12</v>
      </c>
      <c r="R128" s="62">
        <f t="shared" si="55"/>
        <v>283.04861836897078</v>
      </c>
      <c r="S128" s="62">
        <f ca="1">AVERAGE(OFFSET($R$3,0,0,'Données projet'!$E$9+1,1))-AVERAGE(OFFSET($H$3,0,0,'Données projet'!$E$9+1,1))</f>
        <v>234.81928430389272</v>
      </c>
      <c r="T128" s="62">
        <f t="shared" si="88"/>
        <v>294.47057757403411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24.071503154229369</v>
      </c>
      <c r="AA128" s="23">
        <f>EXP(-LN(2)/25)*AA127+(1-EXP(-LN(2)/25))/(LN(2)/25)*Calculateur!V128*Calculateur!X128*VLOOKUP('Données projet'!$B$9,Paramètres!$A$1:$I$89,3,0)*0.475*44/12</f>
        <v>6.208935757442501</v>
      </c>
      <c r="AB128" s="23">
        <f>EXP(-LN(2)/2)*AB127+(1-EXP(-LN(2)/2))/(LN(2)/2)*V128*Y128*VLOOKUP('Données projet'!$B$9,Paramètres!$A$1:$I$89,3,0)*0.475*44/12</f>
        <v>1.0743995993110054E-8</v>
      </c>
      <c r="AC128" s="24">
        <f t="shared" si="57"/>
        <v>30.280438922415865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273.00000000000023</v>
      </c>
      <c r="AJ128" s="14">
        <f>AI128*VLOOKUP('Données projet'!$B$10,Paramètres!$A$1:$I$89,3,0)*VLOOKUP('Données projet'!$B$10,Paramètres!$A$1:$I$89,5,0)</f>
        <v>212.9400000000002</v>
      </c>
      <c r="AK128" s="14">
        <f t="shared" si="89"/>
        <v>52.577528895212915</v>
      </c>
      <c r="AL128" s="22">
        <f t="shared" si="58"/>
        <v>462.44302949249618</v>
      </c>
      <c r="AM128" s="62">
        <f t="shared" si="59"/>
        <v>745.49164786146468</v>
      </c>
      <c r="AN128" s="62">
        <f ca="1">AVERAGE(OFFSET($AM$3,0,0,'Données projet'!$E$10+1,1))-AVERAGE(OFFSET($H$3,0,0,'Données projet'!$E$10+1,1))</f>
        <v>304.39782420428173</v>
      </c>
      <c r="AO128" s="62">
        <f t="shared" si="90"/>
        <v>360.34132229290537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9.0095409068155661</v>
      </c>
      <c r="AV128" s="23">
        <f>EXP(-LN(2)/25)*AV127+(1-EXP(-LN(2)/25))/(LN(2)/25)*Calculateur!AQ128*Calculateur!AS128*VLOOKUP('Données projet'!$B$10,Paramètres!$A$1:$I$89,3,0)*0.475*44/12</f>
        <v>0.97850170615819532</v>
      </c>
      <c r="AW128" s="23">
        <f>EXP(-LN(2)/2)*AW127+(1-EXP(-LN(2)/2))/(LN(2)/2)*AQ128*AT128*VLOOKUP('Données projet'!$B$10,Paramètres!$A$1:$I$89,3,0)*0.475*44/12</f>
        <v>8.0907523187515301E-10</v>
      </c>
      <c r="AX128" s="23">
        <f t="shared" si="60"/>
        <v>9.9880426137828362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273.00000000000023</v>
      </c>
      <c r="BE128" s="14">
        <f>BD128*VLOOKUP('Données projet'!$B$11,Paramètres!$A$1:$I$89,3,0)*VLOOKUP('Données projet'!$B$11,Paramètres!$A$1:$I$89,5,0)</f>
        <v>212.9400000000002</v>
      </c>
      <c r="BF128" s="14">
        <f t="shared" si="91"/>
        <v>52.577528895212915</v>
      </c>
      <c r="BG128" s="22">
        <f t="shared" si="61"/>
        <v>462.44302949249618</v>
      </c>
      <c r="BH128" s="62">
        <f t="shared" si="62"/>
        <v>745.49164786146468</v>
      </c>
      <c r="BI128" s="62">
        <f ca="1">AVERAGE(OFFSET($BH$3,0,0,'Données projet'!$E$11+1,1))-AVERAGE(OFFSET($H$3,0,0,'Données projet'!$E$11+1,1))</f>
        <v>304.39782420428173</v>
      </c>
      <c r="BJ128" s="62">
        <f t="shared" si="92"/>
        <v>360.34132229290537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9.0095409068155661</v>
      </c>
      <c r="BQ128" s="23">
        <f>EXP(-LN(2)/25)*BQ127+(1-EXP(-LN(2)/25))/(LN(2)/25)*Calculateur!BL128*Calculateur!BN128*VLOOKUP('Données projet'!$B$11,Paramètres!$A$1:$I$89,3,0)*0.475*44/12</f>
        <v>0.97850170615819532</v>
      </c>
      <c r="BR128" s="23">
        <f>EXP(-LN(2)/2)*BR127+(1-EXP(-LN(2)/2))/(LN(2)/2)*BL128*BO128*VLOOKUP('Données projet'!$B$11,Paramètres!$A$1:$I$89,3,0)*0.475*44/12</f>
        <v>8.0907523187515301E-10</v>
      </c>
      <c r="BS128" s="24">
        <f t="shared" si="63"/>
        <v>9.9880426137828362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273.00000000000023</v>
      </c>
      <c r="BZ128" s="14">
        <f>BY128*VLOOKUP('Données projet'!$B$12,Paramètres!$A$1:$I$89,3,0)*VLOOKUP('Données projet'!$B$12,Paramètres!$A$1:$I$89,5,0)</f>
        <v>212.9400000000002</v>
      </c>
      <c r="CA128" s="14">
        <f t="shared" si="93"/>
        <v>52.577528895212915</v>
      </c>
      <c r="CB128" s="22">
        <f t="shared" si="64"/>
        <v>462.44302949249618</v>
      </c>
      <c r="CC128" s="62">
        <f t="shared" si="65"/>
        <v>745.49164786146468</v>
      </c>
      <c r="CD128" s="62">
        <f ca="1">AVERAGE(OFFSET($CC$3,0,0,'Données projet'!$E$12+1,1))-AVERAGE(OFFSET($H$3,0,0,'Données projet'!$E$12+1,1))</f>
        <v>304.39782420428173</v>
      </c>
      <c r="CE128" s="62">
        <f t="shared" si="94"/>
        <v>360.34132229290537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9.0095409068155661</v>
      </c>
      <c r="CL128" s="23">
        <f>EXP(-LN(2)/25)*CL127+(1-EXP(-LN(2)/25))/(LN(2)/25)*Calculateur!CG128*Calculateur!CI128*VLOOKUP('Données projet'!$B$12,Paramètres!$A$1:$I$89,3,0)*0.475*44/12</f>
        <v>0.97850170615819532</v>
      </c>
      <c r="CM128" s="23">
        <f>EXP(-LN(2)/2)*CM127+(1-EXP(-LN(2)/2))/(LN(2)/2)*CG128*CJ128*VLOOKUP('Données projet'!$B$12,Paramètres!$A$1:$I$89,3,0)*0.475*44/12</f>
        <v>8.0907523187515301E-10</v>
      </c>
      <c r="CN128" s="24">
        <f t="shared" si="66"/>
        <v>9.9880426137828362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1.7053025658242404E-13</v>
      </c>
      <c r="O129" s="14">
        <f>N129*VLOOKUP('Données projet'!$B$9,Paramètres!$A$1:$I$89,3,0)*VLOOKUP('Données projet'!$B$9,Paramètres!$A$1:$I$89,5,0)</f>
        <v>7.9808160080574461E-14</v>
      </c>
      <c r="P129" s="14">
        <f t="shared" si="87"/>
        <v>1.2308384591775343E-12</v>
      </c>
      <c r="Q129" s="22">
        <f t="shared" si="107"/>
        <v>2.282709528541206E-12</v>
      </c>
      <c r="R129" s="62">
        <f t="shared" si="55"/>
        <v>283.22703518042448</v>
      </c>
      <c r="S129" s="62">
        <f ca="1">AVERAGE(OFFSET($R$3,0,0,'Données projet'!$E$9+1,1))-AVERAGE(OFFSET($H$3,0,0,'Données projet'!$E$9+1,1))</f>
        <v>234.81928430389272</v>
      </c>
      <c r="T129" s="62">
        <f t="shared" si="88"/>
        <v>294.47057757403411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23.599475659542112</v>
      </c>
      <c r="AA129" s="23">
        <f>EXP(-LN(2)/25)*AA128+(1-EXP(-LN(2)/25))/(LN(2)/25)*Calculateur!V129*Calculateur!X129*VLOOKUP('Données projet'!$B$9,Paramètres!$A$1:$I$89,3,0)*0.475*44/12</f>
        <v>6.0391520826414951</v>
      </c>
      <c r="AB129" s="23">
        <f>EXP(-LN(2)/2)*AB128+(1-EXP(-LN(2)/2))/(LN(2)/2)*V129*Y129*VLOOKUP('Données projet'!$B$9,Paramètres!$A$1:$I$89,3,0)*0.475*44/12</f>
        <v>7.5971524237692143E-9</v>
      </c>
      <c r="AC129" s="24">
        <f t="shared" si="57"/>
        <v>29.63862774978076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273.00000000000023</v>
      </c>
      <c r="AJ129" s="14">
        <f>AI129*VLOOKUP('Données projet'!$B$10,Paramètres!$A$1:$I$89,3,0)*VLOOKUP('Données projet'!$B$10,Paramètres!$A$1:$I$89,5,0)</f>
        <v>212.9400000000002</v>
      </c>
      <c r="AK129" s="14">
        <f t="shared" si="89"/>
        <v>52.577528895212915</v>
      </c>
      <c r="AL129" s="22">
        <f t="shared" si="58"/>
        <v>462.44302949249618</v>
      </c>
      <c r="AM129" s="62">
        <f t="shared" si="59"/>
        <v>745.67006467291844</v>
      </c>
      <c r="AN129" s="62">
        <f ca="1">AVERAGE(OFFSET($AM$3,0,0,'Données projet'!$E$10+1,1))-AVERAGE(OFFSET($H$3,0,0,'Données projet'!$E$10+1,1))</f>
        <v>304.39782420428173</v>
      </c>
      <c r="AO129" s="62">
        <f t="shared" si="90"/>
        <v>360.34132229290537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8.8328693049102522</v>
      </c>
      <c r="AV129" s="23">
        <f>EXP(-LN(2)/25)*AV128+(1-EXP(-LN(2)/25))/(LN(2)/25)*Calculateur!AQ129*Calculateur!AS129*VLOOKUP('Données projet'!$B$10,Paramètres!$A$1:$I$89,3,0)*0.475*44/12</f>
        <v>0.95174452554613109</v>
      </c>
      <c r="AW129" s="23">
        <f>EXP(-LN(2)/2)*AW128+(1-EXP(-LN(2)/2))/(LN(2)/2)*AQ129*AT129*VLOOKUP('Données projet'!$B$10,Paramètres!$A$1:$I$89,3,0)*0.475*44/12</f>
        <v>5.7210258294899901E-10</v>
      </c>
      <c r="AX129" s="23">
        <f t="shared" si="60"/>
        <v>9.7846138310284854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273.00000000000023</v>
      </c>
      <c r="BE129" s="14">
        <f>BD129*VLOOKUP('Données projet'!$B$11,Paramètres!$A$1:$I$89,3,0)*VLOOKUP('Données projet'!$B$11,Paramètres!$A$1:$I$89,5,0)</f>
        <v>212.9400000000002</v>
      </c>
      <c r="BF129" s="14">
        <f t="shared" si="91"/>
        <v>52.577528895212915</v>
      </c>
      <c r="BG129" s="22">
        <f t="shared" si="61"/>
        <v>462.44302949249618</v>
      </c>
      <c r="BH129" s="62">
        <f t="shared" si="62"/>
        <v>745.67006467291844</v>
      </c>
      <c r="BI129" s="62">
        <f ca="1">AVERAGE(OFFSET($BH$3,0,0,'Données projet'!$E$11+1,1))-AVERAGE(OFFSET($H$3,0,0,'Données projet'!$E$11+1,1))</f>
        <v>304.39782420428173</v>
      </c>
      <c r="BJ129" s="62">
        <f t="shared" si="92"/>
        <v>360.34132229290537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8.8328693049102522</v>
      </c>
      <c r="BQ129" s="23">
        <f>EXP(-LN(2)/25)*BQ128+(1-EXP(-LN(2)/25))/(LN(2)/25)*Calculateur!BL129*Calculateur!BN129*VLOOKUP('Données projet'!$B$11,Paramètres!$A$1:$I$89,3,0)*0.475*44/12</f>
        <v>0.95174452554613109</v>
      </c>
      <c r="BR129" s="23">
        <f>EXP(-LN(2)/2)*BR128+(1-EXP(-LN(2)/2))/(LN(2)/2)*BL129*BO129*VLOOKUP('Données projet'!$B$11,Paramètres!$A$1:$I$89,3,0)*0.475*44/12</f>
        <v>5.7210258294899901E-10</v>
      </c>
      <c r="BS129" s="24">
        <f t="shared" si="63"/>
        <v>9.7846138310284854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273.00000000000023</v>
      </c>
      <c r="BZ129" s="14">
        <f>BY129*VLOOKUP('Données projet'!$B$12,Paramètres!$A$1:$I$89,3,0)*VLOOKUP('Données projet'!$B$12,Paramètres!$A$1:$I$89,5,0)</f>
        <v>212.9400000000002</v>
      </c>
      <c r="CA129" s="14">
        <f t="shared" si="93"/>
        <v>52.577528895212915</v>
      </c>
      <c r="CB129" s="22">
        <f t="shared" si="64"/>
        <v>462.44302949249618</v>
      </c>
      <c r="CC129" s="62">
        <f t="shared" si="65"/>
        <v>745.67006467291844</v>
      </c>
      <c r="CD129" s="62">
        <f ca="1">AVERAGE(OFFSET($CC$3,0,0,'Données projet'!$E$12+1,1))-AVERAGE(OFFSET($H$3,0,0,'Données projet'!$E$12+1,1))</f>
        <v>304.39782420428173</v>
      </c>
      <c r="CE129" s="62">
        <f t="shared" si="94"/>
        <v>360.34132229290537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8.8328693049102522</v>
      </c>
      <c r="CL129" s="23">
        <f>EXP(-LN(2)/25)*CL128+(1-EXP(-LN(2)/25))/(LN(2)/25)*Calculateur!CG129*Calculateur!CI129*VLOOKUP('Données projet'!$B$12,Paramètres!$A$1:$I$89,3,0)*0.475*44/12</f>
        <v>0.95174452554613109</v>
      </c>
      <c r="CM129" s="23">
        <f>EXP(-LN(2)/2)*CM128+(1-EXP(-LN(2)/2))/(LN(2)/2)*CG129*CJ129*VLOOKUP('Données projet'!$B$12,Paramètres!$A$1:$I$89,3,0)*0.475*44/12</f>
        <v>5.7210258294899901E-10</v>
      </c>
      <c r="CN129" s="24">
        <f t="shared" si="66"/>
        <v>9.7846138310284854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1.7053025658242404E-13</v>
      </c>
      <c r="O130" s="14">
        <f>N130*VLOOKUP('Données projet'!$B$9,Paramètres!$A$1:$I$89,3,0)*VLOOKUP('Données projet'!$B$9,Paramètres!$A$1:$I$89,5,0)</f>
        <v>7.9808160080574461E-14</v>
      </c>
      <c r="P130" s="14">
        <f t="shared" si="87"/>
        <v>1.2308384591775343E-12</v>
      </c>
      <c r="Q130" s="22">
        <f t="shared" si="107"/>
        <v>2.282709528541206E-12</v>
      </c>
      <c r="R130" s="62">
        <f t="shared" si="55"/>
        <v>283.4023568590797</v>
      </c>
      <c r="S130" s="62">
        <f ca="1">AVERAGE(OFFSET($R$3,0,0,'Données projet'!$E$9+1,1))-AVERAGE(OFFSET($H$3,0,0,'Données projet'!$E$9+1,1))</f>
        <v>234.81928430389272</v>
      </c>
      <c r="T130" s="62">
        <f t="shared" si="88"/>
        <v>294.47057757403411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23.136704336117329</v>
      </c>
      <c r="AA130" s="23">
        <f>EXP(-LN(2)/25)*AA129+(1-EXP(-LN(2)/25))/(LN(2)/25)*Calculateur!V130*Calculateur!X130*VLOOKUP('Données projet'!$B$9,Paramètres!$A$1:$I$89,3,0)*0.475*44/12</f>
        <v>5.8740111513564583</v>
      </c>
      <c r="AB130" s="23">
        <f>EXP(-LN(2)/2)*AB129+(1-EXP(-LN(2)/2))/(LN(2)/2)*V130*Y130*VLOOKUP('Données projet'!$B$9,Paramètres!$A$1:$I$89,3,0)*0.475*44/12</f>
        <v>5.3719979965550271E-9</v>
      </c>
      <c r="AC130" s="24">
        <f t="shared" si="57"/>
        <v>29.010715492845787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273.00000000000023</v>
      </c>
      <c r="AJ130" s="14">
        <f>AI130*VLOOKUP('Données projet'!$B$10,Paramètres!$A$1:$I$89,3,0)*VLOOKUP('Données projet'!$B$10,Paramètres!$A$1:$I$89,5,0)</f>
        <v>212.9400000000002</v>
      </c>
      <c r="AK130" s="14">
        <f t="shared" si="89"/>
        <v>52.577528895212915</v>
      </c>
      <c r="AL130" s="22">
        <f t="shared" si="58"/>
        <v>462.44302949249618</v>
      </c>
      <c r="AM130" s="62">
        <f t="shared" si="59"/>
        <v>745.84538635157355</v>
      </c>
      <c r="AN130" s="62">
        <f ca="1">AVERAGE(OFFSET($AM$3,0,0,'Données projet'!$E$10+1,1))-AVERAGE(OFFSET($H$3,0,0,'Données projet'!$E$10+1,1))</f>
        <v>304.39782420428173</v>
      </c>
      <c r="AO130" s="62">
        <f t="shared" si="90"/>
        <v>360.34132229290537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8.6596621253592652</v>
      </c>
      <c r="AV130" s="23">
        <f>EXP(-LN(2)/25)*AV129+(1-EXP(-LN(2)/25))/(LN(2)/25)*Calculateur!AQ130*Calculateur!AS130*VLOOKUP('Données projet'!$B$10,Paramètres!$A$1:$I$89,3,0)*0.475*44/12</f>
        <v>0.92571902144500273</v>
      </c>
      <c r="AW130" s="23">
        <f>EXP(-LN(2)/2)*AW129+(1-EXP(-LN(2)/2))/(LN(2)/2)*AQ130*AT130*VLOOKUP('Données projet'!$B$10,Paramètres!$A$1:$I$89,3,0)*0.475*44/12</f>
        <v>4.045376159375765E-10</v>
      </c>
      <c r="AX130" s="23">
        <f t="shared" si="60"/>
        <v>9.5853811472088051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273.00000000000023</v>
      </c>
      <c r="BE130" s="14">
        <f>BD130*VLOOKUP('Données projet'!$B$11,Paramètres!$A$1:$I$89,3,0)*VLOOKUP('Données projet'!$B$11,Paramètres!$A$1:$I$89,5,0)</f>
        <v>212.9400000000002</v>
      </c>
      <c r="BF130" s="14">
        <f t="shared" si="91"/>
        <v>52.577528895212915</v>
      </c>
      <c r="BG130" s="22">
        <f t="shared" si="61"/>
        <v>462.44302949249618</v>
      </c>
      <c r="BH130" s="62">
        <f t="shared" si="62"/>
        <v>745.84538635157355</v>
      </c>
      <c r="BI130" s="62">
        <f ca="1">AVERAGE(OFFSET($BH$3,0,0,'Données projet'!$E$11+1,1))-AVERAGE(OFFSET($H$3,0,0,'Données projet'!$E$11+1,1))</f>
        <v>304.39782420428173</v>
      </c>
      <c r="BJ130" s="62">
        <f t="shared" si="92"/>
        <v>360.34132229290537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8.6596621253592652</v>
      </c>
      <c r="BQ130" s="23">
        <f>EXP(-LN(2)/25)*BQ129+(1-EXP(-LN(2)/25))/(LN(2)/25)*Calculateur!BL130*Calculateur!BN130*VLOOKUP('Données projet'!$B$11,Paramètres!$A$1:$I$89,3,0)*0.475*44/12</f>
        <v>0.92571902144500273</v>
      </c>
      <c r="BR130" s="23">
        <f>EXP(-LN(2)/2)*BR129+(1-EXP(-LN(2)/2))/(LN(2)/2)*BL130*BO130*VLOOKUP('Données projet'!$B$11,Paramètres!$A$1:$I$89,3,0)*0.475*44/12</f>
        <v>4.045376159375765E-10</v>
      </c>
      <c r="BS130" s="24">
        <f t="shared" si="63"/>
        <v>9.5853811472088051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273.00000000000023</v>
      </c>
      <c r="BZ130" s="14">
        <f>BY130*VLOOKUP('Données projet'!$B$12,Paramètres!$A$1:$I$89,3,0)*VLOOKUP('Données projet'!$B$12,Paramètres!$A$1:$I$89,5,0)</f>
        <v>212.9400000000002</v>
      </c>
      <c r="CA130" s="14">
        <f t="shared" si="93"/>
        <v>52.577528895212915</v>
      </c>
      <c r="CB130" s="22">
        <f t="shared" si="64"/>
        <v>462.44302949249618</v>
      </c>
      <c r="CC130" s="62">
        <f t="shared" si="65"/>
        <v>745.84538635157355</v>
      </c>
      <c r="CD130" s="62">
        <f ca="1">AVERAGE(OFFSET($CC$3,0,0,'Données projet'!$E$12+1,1))-AVERAGE(OFFSET($H$3,0,0,'Données projet'!$E$12+1,1))</f>
        <v>304.39782420428173</v>
      </c>
      <c r="CE130" s="62">
        <f t="shared" si="94"/>
        <v>360.34132229290537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8.6596621253592652</v>
      </c>
      <c r="CL130" s="23">
        <f>EXP(-LN(2)/25)*CL129+(1-EXP(-LN(2)/25))/(LN(2)/25)*Calculateur!CG130*Calculateur!CI130*VLOOKUP('Données projet'!$B$12,Paramètres!$A$1:$I$89,3,0)*0.475*44/12</f>
        <v>0.92571902144500273</v>
      </c>
      <c r="CM130" s="23">
        <f>EXP(-LN(2)/2)*CM129+(1-EXP(-LN(2)/2))/(LN(2)/2)*CG130*CJ130*VLOOKUP('Données projet'!$B$12,Paramètres!$A$1:$I$89,3,0)*0.475*44/12</f>
        <v>4.045376159375765E-10</v>
      </c>
      <c r="CN130" s="24">
        <f t="shared" si="66"/>
        <v>9.5853811472088051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1.7053025658242404E-13</v>
      </c>
      <c r="O131" s="14">
        <f>N131*VLOOKUP('Données projet'!$B$9,Paramètres!$A$1:$I$89,3,0)*VLOOKUP('Données projet'!$B$9,Paramètres!$A$1:$I$89,5,0)</f>
        <v>7.9808160080574461E-14</v>
      </c>
      <c r="P131" s="14">
        <f t="shared" si="87"/>
        <v>1.2308384591775343E-12</v>
      </c>
      <c r="Q131" s="22">
        <f t="shared" ref="Q131:Q153" si="108">(O131+P131)*0.475*44/12</f>
        <v>2.282709528541206E-12</v>
      </c>
      <c r="R131" s="62">
        <f t="shared" ref="R131:R194" si="109">Q131+(I131+J131)*44/12</f>
        <v>283.5746370985708</v>
      </c>
      <c r="S131" s="62">
        <f ca="1">AVERAGE(OFFSET($R$3,0,0,'Données projet'!$E$9+1,1))-AVERAGE(OFFSET($H$3,0,0,'Données projet'!$E$9+1,1))</f>
        <v>234.81928430389272</v>
      </c>
      <c r="T131" s="62">
        <f t="shared" si="88"/>
        <v>294.47057757403411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22.683007676082269</v>
      </c>
      <c r="AA131" s="23">
        <f>EXP(-LN(2)/25)*AA130+(1-EXP(-LN(2)/25))/(LN(2)/25)*Calculateur!V131*Calculateur!X131*VLOOKUP('Données projet'!$B$9,Paramètres!$A$1:$I$89,3,0)*0.475*44/12</f>
        <v>5.7133860075217946</v>
      </c>
      <c r="AB131" s="23">
        <f>EXP(-LN(2)/2)*AB130+(1-EXP(-LN(2)/2))/(LN(2)/2)*V131*Y131*VLOOKUP('Données projet'!$B$9,Paramètres!$A$1:$I$89,3,0)*0.475*44/12</f>
        <v>3.7985762118846072E-9</v>
      </c>
      <c r="AC131" s="24">
        <f t="shared" si="57"/>
        <v>28.396393687402639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273.00000000000023</v>
      </c>
      <c r="AJ131" s="14">
        <f>AI131*VLOOKUP('Données projet'!$B$10,Paramètres!$A$1:$I$89,3,0)*VLOOKUP('Données projet'!$B$10,Paramètres!$A$1:$I$89,5,0)</f>
        <v>212.9400000000002</v>
      </c>
      <c r="AK131" s="14">
        <f t="shared" si="89"/>
        <v>52.577528895212915</v>
      </c>
      <c r="AL131" s="22">
        <f t="shared" si="58"/>
        <v>462.44302949249618</v>
      </c>
      <c r="AM131" s="62">
        <f t="shared" si="59"/>
        <v>746.01766659106465</v>
      </c>
      <c r="AN131" s="62">
        <f ca="1">AVERAGE(OFFSET($AM$3,0,0,'Données projet'!$E$10+1,1))-AVERAGE(OFFSET($H$3,0,0,'Données projet'!$E$10+1,1))</f>
        <v>304.39782420428173</v>
      </c>
      <c r="AO131" s="62">
        <f t="shared" si="90"/>
        <v>360.34132229290537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8.4898514329533246</v>
      </c>
      <c r="AV131" s="23">
        <f>EXP(-LN(2)/25)*AV130+(1-EXP(-LN(2)/25))/(LN(2)/25)*Calculateur!AQ131*Calculateur!AS131*VLOOKUP('Données projet'!$B$10,Paramètres!$A$1:$I$89,3,0)*0.475*44/12</f>
        <v>0.9004051861221416</v>
      </c>
      <c r="AW131" s="23">
        <f>EXP(-LN(2)/2)*AW130+(1-EXP(-LN(2)/2))/(LN(2)/2)*AQ131*AT131*VLOOKUP('Données projet'!$B$10,Paramètres!$A$1:$I$89,3,0)*0.475*44/12</f>
        <v>2.860512914744995E-10</v>
      </c>
      <c r="AX131" s="23">
        <f t="shared" si="60"/>
        <v>9.3902566193615176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273.00000000000023</v>
      </c>
      <c r="BE131" s="14">
        <f>BD131*VLOOKUP('Données projet'!$B$11,Paramètres!$A$1:$I$89,3,0)*VLOOKUP('Données projet'!$B$11,Paramètres!$A$1:$I$89,5,0)</f>
        <v>212.9400000000002</v>
      </c>
      <c r="BF131" s="14">
        <f t="shared" si="91"/>
        <v>52.577528895212915</v>
      </c>
      <c r="BG131" s="22">
        <f t="shared" si="61"/>
        <v>462.44302949249618</v>
      </c>
      <c r="BH131" s="62">
        <f t="shared" si="62"/>
        <v>746.01766659106465</v>
      </c>
      <c r="BI131" s="62">
        <f ca="1">AVERAGE(OFFSET($BH$3,0,0,'Données projet'!$E$11+1,1))-AVERAGE(OFFSET($H$3,0,0,'Données projet'!$E$11+1,1))</f>
        <v>304.39782420428173</v>
      </c>
      <c r="BJ131" s="62">
        <f t="shared" si="92"/>
        <v>360.34132229290537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8.4898514329533246</v>
      </c>
      <c r="BQ131" s="23">
        <f>EXP(-LN(2)/25)*BQ130+(1-EXP(-LN(2)/25))/(LN(2)/25)*Calculateur!BL131*Calculateur!BN131*VLOOKUP('Données projet'!$B$11,Paramètres!$A$1:$I$89,3,0)*0.475*44/12</f>
        <v>0.9004051861221416</v>
      </c>
      <c r="BR131" s="23">
        <f>EXP(-LN(2)/2)*BR130+(1-EXP(-LN(2)/2))/(LN(2)/2)*BL131*BO131*VLOOKUP('Données projet'!$B$11,Paramètres!$A$1:$I$89,3,0)*0.475*44/12</f>
        <v>2.860512914744995E-10</v>
      </c>
      <c r="BS131" s="24">
        <f t="shared" si="63"/>
        <v>9.3902566193615176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273.00000000000023</v>
      </c>
      <c r="BZ131" s="14">
        <f>BY131*VLOOKUP('Données projet'!$B$12,Paramètres!$A$1:$I$89,3,0)*VLOOKUP('Données projet'!$B$12,Paramètres!$A$1:$I$89,5,0)</f>
        <v>212.9400000000002</v>
      </c>
      <c r="CA131" s="14">
        <f t="shared" si="93"/>
        <v>52.577528895212915</v>
      </c>
      <c r="CB131" s="22">
        <f t="shared" si="64"/>
        <v>462.44302949249618</v>
      </c>
      <c r="CC131" s="62">
        <f t="shared" si="65"/>
        <v>746.01766659106465</v>
      </c>
      <c r="CD131" s="62">
        <f ca="1">AVERAGE(OFFSET($CC$3,0,0,'Données projet'!$E$12+1,1))-AVERAGE(OFFSET($H$3,0,0,'Données projet'!$E$12+1,1))</f>
        <v>304.39782420428173</v>
      </c>
      <c r="CE131" s="62">
        <f t="shared" si="94"/>
        <v>360.34132229290537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8.4898514329533246</v>
      </c>
      <c r="CL131" s="23">
        <f>EXP(-LN(2)/25)*CL130+(1-EXP(-LN(2)/25))/(LN(2)/25)*Calculateur!CG131*Calculateur!CI131*VLOOKUP('Données projet'!$B$12,Paramètres!$A$1:$I$89,3,0)*0.475*44/12</f>
        <v>0.9004051861221416</v>
      </c>
      <c r="CM131" s="23">
        <f>EXP(-LN(2)/2)*CM130+(1-EXP(-LN(2)/2))/(LN(2)/2)*CG131*CJ131*VLOOKUP('Données projet'!$B$12,Paramètres!$A$1:$I$89,3,0)*0.475*44/12</f>
        <v>2.860512914744995E-10</v>
      </c>
      <c r="CN131" s="24">
        <f t="shared" si="66"/>
        <v>9.3902566193615176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1.7053025658242404E-13</v>
      </c>
      <c r="O132" s="14">
        <f>N132*VLOOKUP('Données projet'!$B$9,Paramètres!$A$1:$I$89,3,0)*VLOOKUP('Données projet'!$B$9,Paramètres!$A$1:$I$89,5,0)</f>
        <v>7.9808160080574461E-14</v>
      </c>
      <c r="P132" s="14">
        <f t="shared" si="87"/>
        <v>1.2308384591775343E-12</v>
      </c>
      <c r="Q132" s="22">
        <f t="shared" si="108"/>
        <v>2.282709528541206E-12</v>
      </c>
      <c r="R132" s="62">
        <f t="shared" si="109"/>
        <v>283.74392866106763</v>
      </c>
      <c r="S132" s="62">
        <f ca="1">AVERAGE(OFFSET($R$3,0,0,'Données projet'!$E$9+1,1))-AVERAGE(OFFSET($H$3,0,0,'Données projet'!$E$9+1,1))</f>
        <v>234.81928430389272</v>
      </c>
      <c r="T132" s="62">
        <f t="shared" si="88"/>
        <v>294.47057757403411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22.238207730822857</v>
      </c>
      <c r="AA132" s="23">
        <f>EXP(-LN(2)/25)*AA131+(1-EXP(-LN(2)/25))/(LN(2)/25)*Calculateur!V132*Calculateur!X132*VLOOKUP('Données projet'!$B$9,Paramètres!$A$1:$I$89,3,0)*0.475*44/12</f>
        <v>5.5571531666921992</v>
      </c>
      <c r="AB132" s="23">
        <f>EXP(-LN(2)/2)*AB131+(1-EXP(-LN(2)/2))/(LN(2)/2)*V132*Y132*VLOOKUP('Données projet'!$B$9,Paramètres!$A$1:$I$89,3,0)*0.475*44/12</f>
        <v>2.6859989982775135E-9</v>
      </c>
      <c r="AC132" s="24">
        <f t="shared" ref="AC132:AC153" si="111">SUM(Z132:AB132)</f>
        <v>27.795360900201057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273.00000000000023</v>
      </c>
      <c r="AJ132" s="14">
        <f>AI132*VLOOKUP('Données projet'!$B$10,Paramètres!$A$1:$I$89,3,0)*VLOOKUP('Données projet'!$B$10,Paramètres!$A$1:$I$89,5,0)</f>
        <v>212.9400000000002</v>
      </c>
      <c r="AK132" s="14">
        <f t="shared" si="89"/>
        <v>52.577528895212915</v>
      </c>
      <c r="AL132" s="22">
        <f t="shared" ref="AL132:AL153" si="112">(AJ132+AK132)*0.475*44/12</f>
        <v>462.44302949249618</v>
      </c>
      <c r="AM132" s="62">
        <f t="shared" ref="AM132:AM195" si="113">AL132+(AD132+AE132)*44/12</f>
        <v>746.18695815356159</v>
      </c>
      <c r="AN132" s="62">
        <f ca="1">AVERAGE(OFFSET($AM$3,0,0,'Données projet'!$E$10+1,1))-AVERAGE(OFFSET($H$3,0,0,'Données projet'!$E$10+1,1))</f>
        <v>304.39782420428173</v>
      </c>
      <c r="AO132" s="62">
        <f t="shared" si="90"/>
        <v>360.34132229290537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8.3233706246511687</v>
      </c>
      <c r="AV132" s="23">
        <f>EXP(-LN(2)/25)*AV131+(1-EXP(-LN(2)/25))/(LN(2)/25)*Calculateur!AQ132*Calculateur!AS132*VLOOKUP('Données projet'!$B$10,Paramètres!$A$1:$I$89,3,0)*0.475*44/12</f>
        <v>0.8757835589573808</v>
      </c>
      <c r="AW132" s="23">
        <f>EXP(-LN(2)/2)*AW131+(1-EXP(-LN(2)/2))/(LN(2)/2)*AQ132*AT132*VLOOKUP('Données projet'!$B$10,Paramètres!$A$1:$I$89,3,0)*0.475*44/12</f>
        <v>2.0226880796878825E-10</v>
      </c>
      <c r="AX132" s="23">
        <f t="shared" ref="AX132:AX153" si="114">SUM(AU132:AW132)</f>
        <v>9.1991541838108173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273.00000000000023</v>
      </c>
      <c r="BE132" s="14">
        <f>BD132*VLOOKUP('Données projet'!$B$11,Paramètres!$A$1:$I$89,3,0)*VLOOKUP('Données projet'!$B$11,Paramètres!$A$1:$I$89,5,0)</f>
        <v>212.9400000000002</v>
      </c>
      <c r="BF132" s="14">
        <f t="shared" si="91"/>
        <v>52.577528895212915</v>
      </c>
      <c r="BG132" s="22">
        <f t="shared" ref="BG132:BG153" si="115">(BE132+BF132)*0.475*44/12</f>
        <v>462.44302949249618</v>
      </c>
      <c r="BH132" s="62">
        <f t="shared" ref="BH132:BH195" si="116">BG132+(AY132+AZ132)*44/12</f>
        <v>746.18695815356159</v>
      </c>
      <c r="BI132" s="62">
        <f ca="1">AVERAGE(OFFSET($BH$3,0,0,'Données projet'!$E$11+1,1))-AVERAGE(OFFSET($H$3,0,0,'Données projet'!$E$11+1,1))</f>
        <v>304.39782420428173</v>
      </c>
      <c r="BJ132" s="62">
        <f t="shared" si="92"/>
        <v>360.34132229290537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8.3233706246511687</v>
      </c>
      <c r="BQ132" s="23">
        <f>EXP(-LN(2)/25)*BQ131+(1-EXP(-LN(2)/25))/(LN(2)/25)*Calculateur!BL132*Calculateur!BN132*VLOOKUP('Données projet'!$B$11,Paramètres!$A$1:$I$89,3,0)*0.475*44/12</f>
        <v>0.8757835589573808</v>
      </c>
      <c r="BR132" s="23">
        <f>EXP(-LN(2)/2)*BR131+(1-EXP(-LN(2)/2))/(LN(2)/2)*BL132*BO132*VLOOKUP('Données projet'!$B$11,Paramètres!$A$1:$I$89,3,0)*0.475*44/12</f>
        <v>2.0226880796878825E-10</v>
      </c>
      <c r="BS132" s="24">
        <f t="shared" ref="BS132:BS153" si="117">SUM(BP132:BR132)</f>
        <v>9.1991541838108173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273.00000000000023</v>
      </c>
      <c r="BZ132" s="14">
        <f>BY132*VLOOKUP('Données projet'!$B$12,Paramètres!$A$1:$I$89,3,0)*VLOOKUP('Données projet'!$B$12,Paramètres!$A$1:$I$89,5,0)</f>
        <v>212.9400000000002</v>
      </c>
      <c r="CA132" s="14">
        <f t="shared" si="93"/>
        <v>52.577528895212915</v>
      </c>
      <c r="CB132" s="22">
        <f t="shared" ref="CB132:CB153" si="118">(BZ132+CA132)*0.475*44/12</f>
        <v>462.44302949249618</v>
      </c>
      <c r="CC132" s="62">
        <f t="shared" ref="CC132:CC195" si="119">CB132+(BT132+BU132)*44/12</f>
        <v>746.18695815356159</v>
      </c>
      <c r="CD132" s="62">
        <f ca="1">AVERAGE(OFFSET($CC$3,0,0,'Données projet'!$E$12+1,1))-AVERAGE(OFFSET($H$3,0,0,'Données projet'!$E$12+1,1))</f>
        <v>304.39782420428173</v>
      </c>
      <c r="CE132" s="62">
        <f t="shared" si="94"/>
        <v>360.34132229290537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8.3233706246511687</v>
      </c>
      <c r="CL132" s="23">
        <f>EXP(-LN(2)/25)*CL131+(1-EXP(-LN(2)/25))/(LN(2)/25)*Calculateur!CG132*Calculateur!CI132*VLOOKUP('Données projet'!$B$12,Paramètres!$A$1:$I$89,3,0)*0.475*44/12</f>
        <v>0.8757835589573808</v>
      </c>
      <c r="CM132" s="23">
        <f>EXP(-LN(2)/2)*CM131+(1-EXP(-LN(2)/2))/(LN(2)/2)*CG132*CJ132*VLOOKUP('Données projet'!$B$12,Paramètres!$A$1:$I$89,3,0)*0.475*44/12</f>
        <v>2.0226880796878825E-10</v>
      </c>
      <c r="CN132" s="24">
        <f t="shared" ref="CN132:CN153" si="120">SUM(CK132:CM132)</f>
        <v>9.1991541838108173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1.7053025658242404E-13</v>
      </c>
      <c r="O133" s="14">
        <f>N133*VLOOKUP('Données projet'!$B$9,Paramètres!$A$1:$I$89,3,0)*VLOOKUP('Données projet'!$B$9,Paramètres!$A$1:$I$89,5,0)</f>
        <v>7.9808160080574461E-14</v>
      </c>
      <c r="P133" s="14">
        <f t="shared" ref="P133:P196" si="141">EXP(-1.0587+0.8836*LN(O133)+0.284)</f>
        <v>1.2308384591775343E-12</v>
      </c>
      <c r="Q133" s="22">
        <f t="shared" si="108"/>
        <v>2.282709528541206E-12</v>
      </c>
      <c r="R133" s="62">
        <f t="shared" si="109"/>
        <v>283.91028339343438</v>
      </c>
      <c r="S133" s="62">
        <f ca="1">AVERAGE(OFFSET($R$3,0,0,'Données projet'!$E$9+1,1))-AVERAGE(OFFSET($H$3,0,0,'Données projet'!$E$9+1,1))</f>
        <v>234.81928430389272</v>
      </c>
      <c r="T133" s="62">
        <f t="shared" ref="T133:T196" si="142">$T$3</f>
        <v>294.47057757403411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21.802130041188807</v>
      </c>
      <c r="AA133" s="23">
        <f>EXP(-LN(2)/25)*AA132+(1-EXP(-LN(2)/25))/(LN(2)/25)*Calculateur!V133*Calculateur!X133*VLOOKUP('Données projet'!$B$9,Paramètres!$A$1:$I$89,3,0)*0.475*44/12</f>
        <v>5.405192521111017</v>
      </c>
      <c r="AB133" s="23">
        <f>EXP(-LN(2)/2)*AB132+(1-EXP(-LN(2)/2))/(LN(2)/2)*V133*Y133*VLOOKUP('Données projet'!$B$9,Paramètres!$A$1:$I$89,3,0)*0.475*44/12</f>
        <v>1.8992881059423036E-9</v>
      </c>
      <c r="AC133" s="24">
        <f t="shared" si="111"/>
        <v>27.20732256419911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273.00000000000023</v>
      </c>
      <c r="AJ133" s="14">
        <f>AI133*VLOOKUP('Données projet'!$B$10,Paramètres!$A$1:$I$89,3,0)*VLOOKUP('Données projet'!$B$10,Paramètres!$A$1:$I$89,5,0)</f>
        <v>212.9400000000002</v>
      </c>
      <c r="AK133" s="14">
        <f t="shared" ref="AK133:AK153" si="143">EXP(-1.0587+0.8836*LN(AJ133)+0.284)</f>
        <v>52.577528895212915</v>
      </c>
      <c r="AL133" s="22">
        <f t="shared" si="112"/>
        <v>462.44302949249618</v>
      </c>
      <c r="AM133" s="62">
        <f t="shared" si="113"/>
        <v>746.35331288592829</v>
      </c>
      <c r="AN133" s="62">
        <f ca="1">AVERAGE(OFFSET($AM$3,0,0,'Données projet'!$E$10+1,1))-AVERAGE(OFFSET($H$3,0,0,'Données projet'!$E$10+1,1))</f>
        <v>304.39782420428173</v>
      </c>
      <c r="AO133" s="62">
        <f t="shared" ref="AO133:AO196" si="144">$AO$3</f>
        <v>360.34132229290537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8.1601544034565521</v>
      </c>
      <c r="AV133" s="23">
        <f>EXP(-LN(2)/25)*AV132+(1-EXP(-LN(2)/25))/(LN(2)/25)*Calculateur!AQ133*Calculateur!AS133*VLOOKUP('Données projet'!$B$10,Paramètres!$A$1:$I$89,3,0)*0.475*44/12</f>
        <v>0.85183521148223551</v>
      </c>
      <c r="AW133" s="23">
        <f>EXP(-LN(2)/2)*AW132+(1-EXP(-LN(2)/2))/(LN(2)/2)*AQ133*AT133*VLOOKUP('Données projet'!$B$10,Paramètres!$A$1:$I$89,3,0)*0.475*44/12</f>
        <v>1.4302564573724975E-10</v>
      </c>
      <c r="AX133" s="23">
        <f t="shared" si="114"/>
        <v>9.0119896150818128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273.00000000000023</v>
      </c>
      <c r="BE133" s="14">
        <f>BD133*VLOOKUP('Données projet'!$B$11,Paramètres!$A$1:$I$89,3,0)*VLOOKUP('Données projet'!$B$11,Paramètres!$A$1:$I$89,5,0)</f>
        <v>212.9400000000002</v>
      </c>
      <c r="BF133" s="14">
        <f t="shared" ref="BF133:BF153" si="145">EXP(-1.0587+0.8836*LN(BE133)+0.284)</f>
        <v>52.577528895212915</v>
      </c>
      <c r="BG133" s="22">
        <f t="shared" si="115"/>
        <v>462.44302949249618</v>
      </c>
      <c r="BH133" s="62">
        <f t="shared" si="116"/>
        <v>746.35331288592829</v>
      </c>
      <c r="BI133" s="62">
        <f ca="1">AVERAGE(OFFSET($BH$3,0,0,'Données projet'!$E$11+1,1))-AVERAGE(OFFSET($H$3,0,0,'Données projet'!$E$11+1,1))</f>
        <v>304.39782420428173</v>
      </c>
      <c r="BJ133" s="62">
        <f t="shared" ref="BJ133:BJ196" si="146">$BJ$3</f>
        <v>360.34132229290537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8.1601544034565521</v>
      </c>
      <c r="BQ133" s="23">
        <f>EXP(-LN(2)/25)*BQ132+(1-EXP(-LN(2)/25))/(LN(2)/25)*Calculateur!BL133*Calculateur!BN133*VLOOKUP('Données projet'!$B$11,Paramètres!$A$1:$I$89,3,0)*0.475*44/12</f>
        <v>0.85183521148223551</v>
      </c>
      <c r="BR133" s="23">
        <f>EXP(-LN(2)/2)*BR132+(1-EXP(-LN(2)/2))/(LN(2)/2)*BL133*BO133*VLOOKUP('Données projet'!$B$11,Paramètres!$A$1:$I$89,3,0)*0.475*44/12</f>
        <v>1.4302564573724975E-10</v>
      </c>
      <c r="BS133" s="24">
        <f t="shared" si="117"/>
        <v>9.0119896150818128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273.00000000000023</v>
      </c>
      <c r="BZ133" s="14">
        <f>BY133*VLOOKUP('Données projet'!$B$12,Paramètres!$A$1:$I$89,3,0)*VLOOKUP('Données projet'!$B$12,Paramètres!$A$1:$I$89,5,0)</f>
        <v>212.9400000000002</v>
      </c>
      <c r="CA133" s="14">
        <f t="shared" ref="CA133:CA153" si="147">EXP(-1.0587+0.8836*LN(BZ133)+0.284)</f>
        <v>52.577528895212915</v>
      </c>
      <c r="CB133" s="22">
        <f t="shared" si="118"/>
        <v>462.44302949249618</v>
      </c>
      <c r="CC133" s="62">
        <f t="shared" si="119"/>
        <v>746.35331288592829</v>
      </c>
      <c r="CD133" s="62">
        <f ca="1">AVERAGE(OFFSET($CC$3,0,0,'Données projet'!$E$12+1,1))-AVERAGE(OFFSET($H$3,0,0,'Données projet'!$E$12+1,1))</f>
        <v>304.39782420428173</v>
      </c>
      <c r="CE133" s="62">
        <f t="shared" ref="CE133:CE196" si="148">$CE$3</f>
        <v>360.34132229290537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8.1601544034565521</v>
      </c>
      <c r="CL133" s="23">
        <f>EXP(-LN(2)/25)*CL132+(1-EXP(-LN(2)/25))/(LN(2)/25)*Calculateur!CG133*Calculateur!CI133*VLOOKUP('Données projet'!$B$12,Paramètres!$A$1:$I$89,3,0)*0.475*44/12</f>
        <v>0.85183521148223551</v>
      </c>
      <c r="CM133" s="23">
        <f>EXP(-LN(2)/2)*CM132+(1-EXP(-LN(2)/2))/(LN(2)/2)*CG133*CJ133*VLOOKUP('Données projet'!$B$12,Paramètres!$A$1:$I$89,3,0)*0.475*44/12</f>
        <v>1.4302564573724975E-10</v>
      </c>
      <c r="CN133" s="24">
        <f t="shared" si="120"/>
        <v>9.0119896150818128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1.7053025658242404E-13</v>
      </c>
      <c r="O134" s="14">
        <f>N134*VLOOKUP('Données projet'!$B$9,Paramètres!$A$1:$I$89,3,0)*VLOOKUP('Données projet'!$B$9,Paramètres!$A$1:$I$89,5,0)</f>
        <v>7.9808160080574461E-14</v>
      </c>
      <c r="P134" s="14">
        <f t="shared" si="141"/>
        <v>1.2308384591775343E-12</v>
      </c>
      <c r="Q134" s="22">
        <f t="shared" si="108"/>
        <v>2.282709528541206E-12</v>
      </c>
      <c r="R134" s="62">
        <f t="shared" si="109"/>
        <v>284.073752243108</v>
      </c>
      <c r="S134" s="62">
        <f ca="1">AVERAGE(OFFSET($R$3,0,0,'Données projet'!$E$9+1,1))-AVERAGE(OFFSET($H$3,0,0,'Données projet'!$E$9+1,1))</f>
        <v>234.81928430389272</v>
      </c>
      <c r="T134" s="62">
        <f t="shared" si="142"/>
        <v>294.47057757403411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21.374603569067354</v>
      </c>
      <c r="AA134" s="23">
        <f>EXP(-LN(2)/25)*AA133+(1-EXP(-LN(2)/25))/(LN(2)/25)*Calculateur!V134*Calculateur!X134*VLOOKUP('Données projet'!$B$9,Paramètres!$A$1:$I$89,3,0)*0.475*44/12</f>
        <v>5.2573872473745151</v>
      </c>
      <c r="AB134" s="23">
        <f>EXP(-LN(2)/2)*AB133+(1-EXP(-LN(2)/2))/(LN(2)/2)*V134*Y134*VLOOKUP('Données projet'!$B$9,Paramètres!$A$1:$I$89,3,0)*0.475*44/12</f>
        <v>1.3429994991387568E-9</v>
      </c>
      <c r="AC134" s="24">
        <f t="shared" si="111"/>
        <v>26.631990817784871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273.00000000000023</v>
      </c>
      <c r="AJ134" s="14">
        <f>AI134*VLOOKUP('Données projet'!$B$10,Paramètres!$A$1:$I$89,3,0)*VLOOKUP('Données projet'!$B$10,Paramètres!$A$1:$I$89,5,0)</f>
        <v>212.9400000000002</v>
      </c>
      <c r="AK134" s="14">
        <f t="shared" si="143"/>
        <v>52.577528895212915</v>
      </c>
      <c r="AL134" s="22">
        <f t="shared" si="112"/>
        <v>462.44302949249618</v>
      </c>
      <c r="AM134" s="62">
        <f t="shared" si="113"/>
        <v>746.51678173560185</v>
      </c>
      <c r="AN134" s="62">
        <f ca="1">AVERAGE(OFFSET($AM$3,0,0,'Données projet'!$E$10+1,1))-AVERAGE(OFFSET($H$3,0,0,'Données projet'!$E$10+1,1))</f>
        <v>304.39782420428173</v>
      </c>
      <c r="AO134" s="62">
        <f t="shared" si="144"/>
        <v>360.34132229290537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8.0001387528074979</v>
      </c>
      <c r="AV134" s="23">
        <f>EXP(-LN(2)/25)*AV133+(1-EXP(-LN(2)/25))/(LN(2)/25)*Calculateur!AQ134*Calculateur!AS134*VLOOKUP('Données projet'!$B$10,Paramètres!$A$1:$I$89,3,0)*0.475*44/12</f>
        <v>0.82854173282818688</v>
      </c>
      <c r="AW134" s="23">
        <f>EXP(-LN(2)/2)*AW133+(1-EXP(-LN(2)/2))/(LN(2)/2)*AQ134*AT134*VLOOKUP('Données projet'!$B$10,Paramètres!$A$1:$I$89,3,0)*0.475*44/12</f>
        <v>1.0113440398439413E-10</v>
      </c>
      <c r="AX134" s="23">
        <f t="shared" si="114"/>
        <v>8.82868048573682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273.00000000000023</v>
      </c>
      <c r="BE134" s="14">
        <f>BD134*VLOOKUP('Données projet'!$B$11,Paramètres!$A$1:$I$89,3,0)*VLOOKUP('Données projet'!$B$11,Paramètres!$A$1:$I$89,5,0)</f>
        <v>212.9400000000002</v>
      </c>
      <c r="BF134" s="14">
        <f t="shared" si="145"/>
        <v>52.577528895212915</v>
      </c>
      <c r="BG134" s="22">
        <f t="shared" si="115"/>
        <v>462.44302949249618</v>
      </c>
      <c r="BH134" s="62">
        <f t="shared" si="116"/>
        <v>746.51678173560185</v>
      </c>
      <c r="BI134" s="62">
        <f ca="1">AVERAGE(OFFSET($BH$3,0,0,'Données projet'!$E$11+1,1))-AVERAGE(OFFSET($H$3,0,0,'Données projet'!$E$11+1,1))</f>
        <v>304.39782420428173</v>
      </c>
      <c r="BJ134" s="62">
        <f t="shared" si="146"/>
        <v>360.34132229290537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8.0001387528074979</v>
      </c>
      <c r="BQ134" s="23">
        <f>EXP(-LN(2)/25)*BQ133+(1-EXP(-LN(2)/25))/(LN(2)/25)*Calculateur!BL134*Calculateur!BN134*VLOOKUP('Données projet'!$B$11,Paramètres!$A$1:$I$89,3,0)*0.475*44/12</f>
        <v>0.82854173282818688</v>
      </c>
      <c r="BR134" s="23">
        <f>EXP(-LN(2)/2)*BR133+(1-EXP(-LN(2)/2))/(LN(2)/2)*BL134*BO134*VLOOKUP('Données projet'!$B$11,Paramètres!$A$1:$I$89,3,0)*0.475*44/12</f>
        <v>1.0113440398439413E-10</v>
      </c>
      <c r="BS134" s="24">
        <f t="shared" si="117"/>
        <v>8.82868048573682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273.00000000000023</v>
      </c>
      <c r="BZ134" s="14">
        <f>BY134*VLOOKUP('Données projet'!$B$12,Paramètres!$A$1:$I$89,3,0)*VLOOKUP('Données projet'!$B$12,Paramètres!$A$1:$I$89,5,0)</f>
        <v>212.9400000000002</v>
      </c>
      <c r="CA134" s="14">
        <f t="shared" si="147"/>
        <v>52.577528895212915</v>
      </c>
      <c r="CB134" s="22">
        <f t="shared" si="118"/>
        <v>462.44302949249618</v>
      </c>
      <c r="CC134" s="62">
        <f t="shared" si="119"/>
        <v>746.51678173560185</v>
      </c>
      <c r="CD134" s="62">
        <f ca="1">AVERAGE(OFFSET($CC$3,0,0,'Données projet'!$E$12+1,1))-AVERAGE(OFFSET($H$3,0,0,'Données projet'!$E$12+1,1))</f>
        <v>304.39782420428173</v>
      </c>
      <c r="CE134" s="62">
        <f t="shared" si="148"/>
        <v>360.34132229290537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8.0001387528074979</v>
      </c>
      <c r="CL134" s="23">
        <f>EXP(-LN(2)/25)*CL133+(1-EXP(-LN(2)/25))/(LN(2)/25)*Calculateur!CG134*Calculateur!CI134*VLOOKUP('Données projet'!$B$12,Paramètres!$A$1:$I$89,3,0)*0.475*44/12</f>
        <v>0.82854173282818688</v>
      </c>
      <c r="CM134" s="23">
        <f>EXP(-LN(2)/2)*CM133+(1-EXP(-LN(2)/2))/(LN(2)/2)*CG134*CJ134*VLOOKUP('Données projet'!$B$12,Paramètres!$A$1:$I$89,3,0)*0.475*44/12</f>
        <v>1.0113440398439413E-10</v>
      </c>
      <c r="CN134" s="24">
        <f t="shared" si="120"/>
        <v>8.82868048573682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1.7053025658242404E-13</v>
      </c>
      <c r="O135" s="14">
        <f>N135*VLOOKUP('Données projet'!$B$9,Paramètres!$A$1:$I$89,3,0)*VLOOKUP('Données projet'!$B$9,Paramètres!$A$1:$I$89,5,0)</f>
        <v>7.9808160080574461E-14</v>
      </c>
      <c r="P135" s="14">
        <f t="shared" si="141"/>
        <v>1.2308384591775343E-12</v>
      </c>
      <c r="Q135" s="22">
        <f t="shared" si="108"/>
        <v>2.282709528541206E-12</v>
      </c>
      <c r="R135" s="62">
        <f t="shared" si="109"/>
        <v>284.23438527370143</v>
      </c>
      <c r="S135" s="62">
        <f ca="1">AVERAGE(OFFSET($R$3,0,0,'Données projet'!$E$9+1,1))-AVERAGE(OFFSET($H$3,0,0,'Données projet'!$E$9+1,1))</f>
        <v>234.81928430389272</v>
      </c>
      <c r="T135" s="62">
        <f t="shared" si="142"/>
        <v>294.47057757403411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20.955460630298802</v>
      </c>
      <c r="AA135" s="23">
        <f>EXP(-LN(2)/25)*AA134+(1-EXP(-LN(2)/25))/(LN(2)/25)*Calculateur!V135*Calculateur!X135*VLOOKUP('Données projet'!$B$9,Paramètres!$A$1:$I$89,3,0)*0.475*44/12</f>
        <v>5.1136237166210794</v>
      </c>
      <c r="AB135" s="23">
        <f>EXP(-LN(2)/2)*AB134+(1-EXP(-LN(2)/2))/(LN(2)/2)*V135*Y135*VLOOKUP('Données projet'!$B$9,Paramètres!$A$1:$I$89,3,0)*0.475*44/12</f>
        <v>9.4964405297115179E-10</v>
      </c>
      <c r="AC135" s="24">
        <f t="shared" si="111"/>
        <v>26.069084347869524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273.00000000000023</v>
      </c>
      <c r="AJ135" s="14">
        <f>AI135*VLOOKUP('Données projet'!$B$10,Paramètres!$A$1:$I$89,3,0)*VLOOKUP('Données projet'!$B$10,Paramètres!$A$1:$I$89,5,0)</f>
        <v>212.9400000000002</v>
      </c>
      <c r="AK135" s="14">
        <f t="shared" si="143"/>
        <v>52.577528895212915</v>
      </c>
      <c r="AL135" s="22">
        <f t="shared" si="112"/>
        <v>462.44302949249618</v>
      </c>
      <c r="AM135" s="62">
        <f t="shared" si="113"/>
        <v>746.6774147661954</v>
      </c>
      <c r="AN135" s="62">
        <f ca="1">AVERAGE(OFFSET($AM$3,0,0,'Données projet'!$E$10+1,1))-AVERAGE(OFFSET($H$3,0,0,'Données projet'!$E$10+1,1))</f>
        <v>304.39782420428173</v>
      </c>
      <c r="AO135" s="62">
        <f t="shared" si="144"/>
        <v>360.34132229290537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7.8432609114677616</v>
      </c>
      <c r="AV135" s="23">
        <f>EXP(-LN(2)/25)*AV134+(1-EXP(-LN(2)/25))/(LN(2)/25)*Calculateur!AQ135*Calculateur!AS135*VLOOKUP('Données projet'!$B$10,Paramètres!$A$1:$I$89,3,0)*0.475*44/12</f>
        <v>0.80588521557288406</v>
      </c>
      <c r="AW135" s="23">
        <f>EXP(-LN(2)/2)*AW134+(1-EXP(-LN(2)/2))/(LN(2)/2)*AQ135*AT135*VLOOKUP('Données projet'!$B$10,Paramètres!$A$1:$I$89,3,0)*0.475*44/12</f>
        <v>7.1512822868624876E-11</v>
      </c>
      <c r="AX135" s="23">
        <f t="shared" si="114"/>
        <v>8.649146127112159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273.00000000000023</v>
      </c>
      <c r="BE135" s="14">
        <f>BD135*VLOOKUP('Données projet'!$B$11,Paramètres!$A$1:$I$89,3,0)*VLOOKUP('Données projet'!$B$11,Paramètres!$A$1:$I$89,5,0)</f>
        <v>212.9400000000002</v>
      </c>
      <c r="BF135" s="14">
        <f t="shared" si="145"/>
        <v>52.577528895212915</v>
      </c>
      <c r="BG135" s="22">
        <f t="shared" si="115"/>
        <v>462.44302949249618</v>
      </c>
      <c r="BH135" s="62">
        <f t="shared" si="116"/>
        <v>746.6774147661954</v>
      </c>
      <c r="BI135" s="62">
        <f ca="1">AVERAGE(OFFSET($BH$3,0,0,'Données projet'!$E$11+1,1))-AVERAGE(OFFSET($H$3,0,0,'Données projet'!$E$11+1,1))</f>
        <v>304.39782420428173</v>
      </c>
      <c r="BJ135" s="62">
        <f t="shared" si="146"/>
        <v>360.34132229290537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7.8432609114677616</v>
      </c>
      <c r="BQ135" s="23">
        <f>EXP(-LN(2)/25)*BQ134+(1-EXP(-LN(2)/25))/(LN(2)/25)*Calculateur!BL135*Calculateur!BN135*VLOOKUP('Données projet'!$B$11,Paramètres!$A$1:$I$89,3,0)*0.475*44/12</f>
        <v>0.80588521557288406</v>
      </c>
      <c r="BR135" s="23">
        <f>EXP(-LN(2)/2)*BR134+(1-EXP(-LN(2)/2))/(LN(2)/2)*BL135*BO135*VLOOKUP('Données projet'!$B$11,Paramètres!$A$1:$I$89,3,0)*0.475*44/12</f>
        <v>7.1512822868624876E-11</v>
      </c>
      <c r="BS135" s="24">
        <f t="shared" si="117"/>
        <v>8.649146127112159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273.00000000000023</v>
      </c>
      <c r="BZ135" s="14">
        <f>BY135*VLOOKUP('Données projet'!$B$12,Paramètres!$A$1:$I$89,3,0)*VLOOKUP('Données projet'!$B$12,Paramètres!$A$1:$I$89,5,0)</f>
        <v>212.9400000000002</v>
      </c>
      <c r="CA135" s="14">
        <f t="shared" si="147"/>
        <v>52.577528895212915</v>
      </c>
      <c r="CB135" s="22">
        <f t="shared" si="118"/>
        <v>462.44302949249618</v>
      </c>
      <c r="CC135" s="62">
        <f t="shared" si="119"/>
        <v>746.6774147661954</v>
      </c>
      <c r="CD135" s="62">
        <f ca="1">AVERAGE(OFFSET($CC$3,0,0,'Données projet'!$E$12+1,1))-AVERAGE(OFFSET($H$3,0,0,'Données projet'!$E$12+1,1))</f>
        <v>304.39782420428173</v>
      </c>
      <c r="CE135" s="62">
        <f t="shared" si="148"/>
        <v>360.34132229290537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7.8432609114677616</v>
      </c>
      <c r="CL135" s="23">
        <f>EXP(-LN(2)/25)*CL134+(1-EXP(-LN(2)/25))/(LN(2)/25)*Calculateur!CG135*Calculateur!CI135*VLOOKUP('Données projet'!$B$12,Paramètres!$A$1:$I$89,3,0)*0.475*44/12</f>
        <v>0.80588521557288406</v>
      </c>
      <c r="CM135" s="23">
        <f>EXP(-LN(2)/2)*CM134+(1-EXP(-LN(2)/2))/(LN(2)/2)*CG135*CJ135*VLOOKUP('Données projet'!$B$12,Paramètres!$A$1:$I$89,3,0)*0.475*44/12</f>
        <v>7.1512822868624876E-11</v>
      </c>
      <c r="CN135" s="24">
        <f t="shared" si="120"/>
        <v>8.649146127112159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1.7053025658242404E-13</v>
      </c>
      <c r="O136" s="14">
        <f>N136*VLOOKUP('Données projet'!$B$9,Paramètres!$A$1:$I$89,3,0)*VLOOKUP('Données projet'!$B$9,Paramètres!$A$1:$I$89,5,0)</f>
        <v>7.9808160080574461E-14</v>
      </c>
      <c r="P136" s="14">
        <f t="shared" si="141"/>
        <v>1.2308384591775343E-12</v>
      </c>
      <c r="Q136" s="22">
        <f t="shared" si="108"/>
        <v>2.282709528541206E-12</v>
      </c>
      <c r="R136" s="62">
        <f t="shared" si="109"/>
        <v>284.39223168033567</v>
      </c>
      <c r="S136" s="62">
        <f ca="1">AVERAGE(OFFSET($R$3,0,0,'Données projet'!$E$9+1,1))-AVERAGE(OFFSET($H$3,0,0,'Données projet'!$E$9+1,1))</f>
        <v>234.81928430389272</v>
      </c>
      <c r="T136" s="62">
        <f t="shared" si="142"/>
        <v>294.47057757403411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20.544536828907553</v>
      </c>
      <c r="AA136" s="23">
        <f>EXP(-LN(2)/25)*AA135+(1-EXP(-LN(2)/25))/(LN(2)/25)*Calculateur!V136*Calculateur!X136*VLOOKUP('Données projet'!$B$9,Paramètres!$A$1:$I$89,3,0)*0.475*44/12</f>
        <v>4.9737914071762921</v>
      </c>
      <c r="AB136" s="23">
        <f>EXP(-LN(2)/2)*AB135+(1-EXP(-LN(2)/2))/(LN(2)/2)*V136*Y136*VLOOKUP('Données projet'!$B$9,Paramètres!$A$1:$I$89,3,0)*0.475*44/12</f>
        <v>6.7149974956937839E-10</v>
      </c>
      <c r="AC136" s="24">
        <f t="shared" si="111"/>
        <v>25.518328236755345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273.00000000000023</v>
      </c>
      <c r="AJ136" s="14">
        <f>AI136*VLOOKUP('Données projet'!$B$10,Paramètres!$A$1:$I$89,3,0)*VLOOKUP('Données projet'!$B$10,Paramètres!$A$1:$I$89,5,0)</f>
        <v>212.9400000000002</v>
      </c>
      <c r="AK136" s="14">
        <f t="shared" si="143"/>
        <v>52.577528895212915</v>
      </c>
      <c r="AL136" s="22">
        <f t="shared" si="112"/>
        <v>462.44302949249618</v>
      </c>
      <c r="AM136" s="62">
        <f t="shared" si="113"/>
        <v>746.83526117282963</v>
      </c>
      <c r="AN136" s="62">
        <f ca="1">AVERAGE(OFFSET($AM$3,0,0,'Données projet'!$E$10+1,1))-AVERAGE(OFFSET($H$3,0,0,'Données projet'!$E$10+1,1))</f>
        <v>304.39782420428173</v>
      </c>
      <c r="AO136" s="62">
        <f t="shared" si="144"/>
        <v>360.34132229290537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7.6894593489106624</v>
      </c>
      <c r="AV136" s="23">
        <f>EXP(-LN(2)/25)*AV135+(1-EXP(-LN(2)/25))/(LN(2)/25)*Calculateur!AQ136*Calculateur!AS136*VLOOKUP('Données projet'!$B$10,Paramètres!$A$1:$I$89,3,0)*0.475*44/12</f>
        <v>0.78384824197338199</v>
      </c>
      <c r="AW136" s="23">
        <f>EXP(-LN(2)/2)*AW135+(1-EXP(-LN(2)/2))/(LN(2)/2)*AQ136*AT136*VLOOKUP('Données projet'!$B$10,Paramètres!$A$1:$I$89,3,0)*0.475*44/12</f>
        <v>5.0567201992197063E-11</v>
      </c>
      <c r="AX136" s="23">
        <f t="shared" si="114"/>
        <v>8.4733075909346116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273.00000000000023</v>
      </c>
      <c r="BE136" s="14">
        <f>BD136*VLOOKUP('Données projet'!$B$11,Paramètres!$A$1:$I$89,3,0)*VLOOKUP('Données projet'!$B$11,Paramètres!$A$1:$I$89,5,0)</f>
        <v>212.9400000000002</v>
      </c>
      <c r="BF136" s="14">
        <f t="shared" si="145"/>
        <v>52.577528895212915</v>
      </c>
      <c r="BG136" s="22">
        <f t="shared" si="115"/>
        <v>462.44302949249618</v>
      </c>
      <c r="BH136" s="62">
        <f t="shared" si="116"/>
        <v>746.83526117282963</v>
      </c>
      <c r="BI136" s="62">
        <f ca="1">AVERAGE(OFFSET($BH$3,0,0,'Données projet'!$E$11+1,1))-AVERAGE(OFFSET($H$3,0,0,'Données projet'!$E$11+1,1))</f>
        <v>304.39782420428173</v>
      </c>
      <c r="BJ136" s="62">
        <f t="shared" si="146"/>
        <v>360.34132229290537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7.6894593489106624</v>
      </c>
      <c r="BQ136" s="23">
        <f>EXP(-LN(2)/25)*BQ135+(1-EXP(-LN(2)/25))/(LN(2)/25)*Calculateur!BL136*Calculateur!BN136*VLOOKUP('Données projet'!$B$11,Paramètres!$A$1:$I$89,3,0)*0.475*44/12</f>
        <v>0.78384824197338199</v>
      </c>
      <c r="BR136" s="23">
        <f>EXP(-LN(2)/2)*BR135+(1-EXP(-LN(2)/2))/(LN(2)/2)*BL136*BO136*VLOOKUP('Données projet'!$B$11,Paramètres!$A$1:$I$89,3,0)*0.475*44/12</f>
        <v>5.0567201992197063E-11</v>
      </c>
      <c r="BS136" s="24">
        <f t="shared" si="117"/>
        <v>8.4733075909346116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273.00000000000023</v>
      </c>
      <c r="BZ136" s="14">
        <f>BY136*VLOOKUP('Données projet'!$B$12,Paramètres!$A$1:$I$89,3,0)*VLOOKUP('Données projet'!$B$12,Paramètres!$A$1:$I$89,5,0)</f>
        <v>212.9400000000002</v>
      </c>
      <c r="CA136" s="14">
        <f t="shared" si="147"/>
        <v>52.577528895212915</v>
      </c>
      <c r="CB136" s="22">
        <f t="shared" si="118"/>
        <v>462.44302949249618</v>
      </c>
      <c r="CC136" s="62">
        <f t="shared" si="119"/>
        <v>746.83526117282963</v>
      </c>
      <c r="CD136" s="62">
        <f ca="1">AVERAGE(OFFSET($CC$3,0,0,'Données projet'!$E$12+1,1))-AVERAGE(OFFSET($H$3,0,0,'Données projet'!$E$12+1,1))</f>
        <v>304.39782420428173</v>
      </c>
      <c r="CE136" s="62">
        <f t="shared" si="148"/>
        <v>360.34132229290537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7.6894593489106624</v>
      </c>
      <c r="CL136" s="23">
        <f>EXP(-LN(2)/25)*CL135+(1-EXP(-LN(2)/25))/(LN(2)/25)*Calculateur!CG136*Calculateur!CI136*VLOOKUP('Données projet'!$B$12,Paramètres!$A$1:$I$89,3,0)*0.475*44/12</f>
        <v>0.78384824197338199</v>
      </c>
      <c r="CM136" s="23">
        <f>EXP(-LN(2)/2)*CM135+(1-EXP(-LN(2)/2))/(LN(2)/2)*CG136*CJ136*VLOOKUP('Données projet'!$B$12,Paramètres!$A$1:$I$89,3,0)*0.475*44/12</f>
        <v>5.0567201992197063E-11</v>
      </c>
      <c r="CN136" s="24">
        <f t="shared" si="120"/>
        <v>8.4733075909346116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1.7053025658242404E-13</v>
      </c>
      <c r="O137" s="14">
        <f>N137*VLOOKUP('Données projet'!$B$9,Paramètres!$A$1:$I$89,3,0)*VLOOKUP('Données projet'!$B$9,Paramètres!$A$1:$I$89,5,0)</f>
        <v>7.9808160080574461E-14</v>
      </c>
      <c r="P137" s="14">
        <f t="shared" si="141"/>
        <v>1.2308384591775343E-12</v>
      </c>
      <c r="Q137" s="22">
        <f t="shared" si="108"/>
        <v>2.282709528541206E-12</v>
      </c>
      <c r="R137" s="62">
        <f t="shared" si="109"/>
        <v>284.54733980470655</v>
      </c>
      <c r="S137" s="62">
        <f ca="1">AVERAGE(OFFSET($R$3,0,0,'Données projet'!$E$9+1,1))-AVERAGE(OFFSET($H$3,0,0,'Données projet'!$E$9+1,1))</f>
        <v>234.81928430389272</v>
      </c>
      <c r="T137" s="62">
        <f t="shared" si="142"/>
        <v>294.47057757403411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20.141670992622814</v>
      </c>
      <c r="AA137" s="23">
        <f>EXP(-LN(2)/25)*AA136+(1-EXP(-LN(2)/25))/(LN(2)/25)*Calculateur!V137*Calculateur!X137*VLOOKUP('Données projet'!$B$9,Paramètres!$A$1:$I$89,3,0)*0.475*44/12</f>
        <v>4.8377828195867343</v>
      </c>
      <c r="AB137" s="23">
        <f>EXP(-LN(2)/2)*AB136+(1-EXP(-LN(2)/2))/(LN(2)/2)*V137*Y137*VLOOKUP('Données projet'!$B$9,Paramètres!$A$1:$I$89,3,0)*0.475*44/12</f>
        <v>4.7482202648557589E-10</v>
      </c>
      <c r="AC137" s="24">
        <f t="shared" si="111"/>
        <v>24.979453812684373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273.00000000000023</v>
      </c>
      <c r="AJ137" s="14">
        <f>AI137*VLOOKUP('Données projet'!$B$10,Paramètres!$A$1:$I$89,3,0)*VLOOKUP('Données projet'!$B$10,Paramètres!$A$1:$I$89,5,0)</f>
        <v>212.9400000000002</v>
      </c>
      <c r="AK137" s="14">
        <f t="shared" si="143"/>
        <v>52.577528895212915</v>
      </c>
      <c r="AL137" s="22">
        <f t="shared" si="112"/>
        <v>462.44302949249618</v>
      </c>
      <c r="AM137" s="62">
        <f t="shared" si="113"/>
        <v>746.99036929720046</v>
      </c>
      <c r="AN137" s="62">
        <f ca="1">AVERAGE(OFFSET($AM$3,0,0,'Données projet'!$E$10+1,1))-AVERAGE(OFFSET($H$3,0,0,'Données projet'!$E$10+1,1))</f>
        <v>304.39782420428173</v>
      </c>
      <c r="AO137" s="62">
        <f t="shared" si="144"/>
        <v>360.34132229290537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7.5386737411856179</v>
      </c>
      <c r="AV137" s="23">
        <f>EXP(-LN(2)/25)*AV136+(1-EXP(-LN(2)/25))/(LN(2)/25)*Calculateur!AQ137*Calculateur!AS137*VLOOKUP('Données projet'!$B$10,Paramètres!$A$1:$I$89,3,0)*0.475*44/12</f>
        <v>0.76241387057583232</v>
      </c>
      <c r="AW137" s="23">
        <f>EXP(-LN(2)/2)*AW136+(1-EXP(-LN(2)/2))/(LN(2)/2)*AQ137*AT137*VLOOKUP('Données projet'!$B$10,Paramètres!$A$1:$I$89,3,0)*0.475*44/12</f>
        <v>3.5756411434312438E-11</v>
      </c>
      <c r="AX137" s="23">
        <f t="shared" si="114"/>
        <v>8.3010876117972057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273.00000000000023</v>
      </c>
      <c r="BE137" s="14">
        <f>BD137*VLOOKUP('Données projet'!$B$11,Paramètres!$A$1:$I$89,3,0)*VLOOKUP('Données projet'!$B$11,Paramètres!$A$1:$I$89,5,0)</f>
        <v>212.9400000000002</v>
      </c>
      <c r="BF137" s="14">
        <f t="shared" si="145"/>
        <v>52.577528895212915</v>
      </c>
      <c r="BG137" s="22">
        <f t="shared" si="115"/>
        <v>462.44302949249618</v>
      </c>
      <c r="BH137" s="62">
        <f t="shared" si="116"/>
        <v>746.99036929720046</v>
      </c>
      <c r="BI137" s="62">
        <f ca="1">AVERAGE(OFFSET($BH$3,0,0,'Données projet'!$E$11+1,1))-AVERAGE(OFFSET($H$3,0,0,'Données projet'!$E$11+1,1))</f>
        <v>304.39782420428173</v>
      </c>
      <c r="BJ137" s="62">
        <f t="shared" si="146"/>
        <v>360.34132229290537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7.5386737411856179</v>
      </c>
      <c r="BQ137" s="23">
        <f>EXP(-LN(2)/25)*BQ136+(1-EXP(-LN(2)/25))/(LN(2)/25)*Calculateur!BL137*Calculateur!BN137*VLOOKUP('Données projet'!$B$11,Paramètres!$A$1:$I$89,3,0)*0.475*44/12</f>
        <v>0.76241387057583232</v>
      </c>
      <c r="BR137" s="23">
        <f>EXP(-LN(2)/2)*BR136+(1-EXP(-LN(2)/2))/(LN(2)/2)*BL137*BO137*VLOOKUP('Données projet'!$B$11,Paramètres!$A$1:$I$89,3,0)*0.475*44/12</f>
        <v>3.5756411434312438E-11</v>
      </c>
      <c r="BS137" s="24">
        <f t="shared" si="117"/>
        <v>8.3010876117972057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273.00000000000023</v>
      </c>
      <c r="BZ137" s="14">
        <f>BY137*VLOOKUP('Données projet'!$B$12,Paramètres!$A$1:$I$89,3,0)*VLOOKUP('Données projet'!$B$12,Paramètres!$A$1:$I$89,5,0)</f>
        <v>212.9400000000002</v>
      </c>
      <c r="CA137" s="14">
        <f t="shared" si="147"/>
        <v>52.577528895212915</v>
      </c>
      <c r="CB137" s="22">
        <f t="shared" si="118"/>
        <v>462.44302949249618</v>
      </c>
      <c r="CC137" s="62">
        <f t="shared" si="119"/>
        <v>746.99036929720046</v>
      </c>
      <c r="CD137" s="62">
        <f ca="1">AVERAGE(OFFSET($CC$3,0,0,'Données projet'!$E$12+1,1))-AVERAGE(OFFSET($H$3,0,0,'Données projet'!$E$12+1,1))</f>
        <v>304.39782420428173</v>
      </c>
      <c r="CE137" s="62">
        <f t="shared" si="148"/>
        <v>360.34132229290537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7.5386737411856179</v>
      </c>
      <c r="CL137" s="23">
        <f>EXP(-LN(2)/25)*CL136+(1-EXP(-LN(2)/25))/(LN(2)/25)*Calculateur!CG137*Calculateur!CI137*VLOOKUP('Données projet'!$B$12,Paramètres!$A$1:$I$89,3,0)*0.475*44/12</f>
        <v>0.76241387057583232</v>
      </c>
      <c r="CM137" s="23">
        <f>EXP(-LN(2)/2)*CM136+(1-EXP(-LN(2)/2))/(LN(2)/2)*CG137*CJ137*VLOOKUP('Données projet'!$B$12,Paramètres!$A$1:$I$89,3,0)*0.475*44/12</f>
        <v>3.5756411434312438E-11</v>
      </c>
      <c r="CN137" s="24">
        <f t="shared" si="120"/>
        <v>8.3010876117972057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1.7053025658242404E-13</v>
      </c>
      <c r="O138" s="14">
        <f>N138*VLOOKUP('Données projet'!$B$9,Paramètres!$A$1:$I$89,3,0)*VLOOKUP('Données projet'!$B$9,Paramètres!$A$1:$I$89,5,0)</f>
        <v>7.9808160080574461E-14</v>
      </c>
      <c r="P138" s="14">
        <f t="shared" si="141"/>
        <v>1.2308384591775343E-12</v>
      </c>
      <c r="Q138" s="22">
        <f t="shared" si="108"/>
        <v>2.282709528541206E-12</v>
      </c>
      <c r="R138" s="62">
        <f t="shared" si="109"/>
        <v>284.69975714988942</v>
      </c>
      <c r="S138" s="62">
        <f ca="1">AVERAGE(OFFSET($R$3,0,0,'Données projet'!$E$9+1,1))-AVERAGE(OFFSET($H$3,0,0,'Données projet'!$E$9+1,1))</f>
        <v>234.81928430389272</v>
      </c>
      <c r="T138" s="62">
        <f t="shared" si="142"/>
        <v>294.47057757403411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19.746705109663722</v>
      </c>
      <c r="AA138" s="23">
        <f>EXP(-LN(2)/25)*AA137+(1-EXP(-LN(2)/25))/(LN(2)/25)*Calculateur!V138*Calculateur!X138*VLOOKUP('Données projet'!$B$9,Paramètres!$A$1:$I$89,3,0)*0.475*44/12</f>
        <v>4.7054933939771937</v>
      </c>
      <c r="AB138" s="23">
        <f>EXP(-LN(2)/2)*AB137+(1-EXP(-LN(2)/2))/(LN(2)/2)*V138*Y138*VLOOKUP('Données projet'!$B$9,Paramètres!$A$1:$I$89,3,0)*0.475*44/12</f>
        <v>3.3574987478468919E-10</v>
      </c>
      <c r="AC138" s="24">
        <f t="shared" si="111"/>
        <v>24.452198503976664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273.00000000000023</v>
      </c>
      <c r="AJ138" s="14">
        <f>AI138*VLOOKUP('Données projet'!$B$10,Paramètres!$A$1:$I$89,3,0)*VLOOKUP('Données projet'!$B$10,Paramètres!$A$1:$I$89,5,0)</f>
        <v>212.9400000000002</v>
      </c>
      <c r="AK138" s="14">
        <f t="shared" si="143"/>
        <v>52.577528895212915</v>
      </c>
      <c r="AL138" s="22">
        <f t="shared" si="112"/>
        <v>462.44302949249618</v>
      </c>
      <c r="AM138" s="62">
        <f t="shared" si="113"/>
        <v>747.14278664238327</v>
      </c>
      <c r="AN138" s="62">
        <f ca="1">AVERAGE(OFFSET($AM$3,0,0,'Données projet'!$E$10+1,1))-AVERAGE(OFFSET($H$3,0,0,'Données projet'!$E$10+1,1))</f>
        <v>304.39782420428173</v>
      </c>
      <c r="AO138" s="62">
        <f t="shared" si="144"/>
        <v>360.34132229290537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7.3908449472579214</v>
      </c>
      <c r="AV138" s="23">
        <f>EXP(-LN(2)/25)*AV137+(1-EXP(-LN(2)/25))/(LN(2)/25)*Calculateur!AQ138*Calculateur!AS138*VLOOKUP('Données projet'!$B$10,Paramètres!$A$1:$I$89,3,0)*0.475*44/12</f>
        <v>0.74156562319133323</v>
      </c>
      <c r="AW138" s="23">
        <f>EXP(-LN(2)/2)*AW137+(1-EXP(-LN(2)/2))/(LN(2)/2)*AQ138*AT138*VLOOKUP('Données projet'!$B$10,Paramètres!$A$1:$I$89,3,0)*0.475*44/12</f>
        <v>2.5283600996098532E-11</v>
      </c>
      <c r="AX138" s="23">
        <f t="shared" si="114"/>
        <v>8.1324105704745371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273.00000000000023</v>
      </c>
      <c r="BE138" s="14">
        <f>BD138*VLOOKUP('Données projet'!$B$11,Paramètres!$A$1:$I$89,3,0)*VLOOKUP('Données projet'!$B$11,Paramètres!$A$1:$I$89,5,0)</f>
        <v>212.9400000000002</v>
      </c>
      <c r="BF138" s="14">
        <f t="shared" si="145"/>
        <v>52.577528895212915</v>
      </c>
      <c r="BG138" s="22">
        <f t="shared" si="115"/>
        <v>462.44302949249618</v>
      </c>
      <c r="BH138" s="62">
        <f t="shared" si="116"/>
        <v>747.14278664238327</v>
      </c>
      <c r="BI138" s="62">
        <f ca="1">AVERAGE(OFFSET($BH$3,0,0,'Données projet'!$E$11+1,1))-AVERAGE(OFFSET($H$3,0,0,'Données projet'!$E$11+1,1))</f>
        <v>304.39782420428173</v>
      </c>
      <c r="BJ138" s="62">
        <f t="shared" si="146"/>
        <v>360.34132229290537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7.3908449472579214</v>
      </c>
      <c r="BQ138" s="23">
        <f>EXP(-LN(2)/25)*BQ137+(1-EXP(-LN(2)/25))/(LN(2)/25)*Calculateur!BL138*Calculateur!BN138*VLOOKUP('Données projet'!$B$11,Paramètres!$A$1:$I$89,3,0)*0.475*44/12</f>
        <v>0.74156562319133323</v>
      </c>
      <c r="BR138" s="23">
        <f>EXP(-LN(2)/2)*BR137+(1-EXP(-LN(2)/2))/(LN(2)/2)*BL138*BO138*VLOOKUP('Données projet'!$B$11,Paramètres!$A$1:$I$89,3,0)*0.475*44/12</f>
        <v>2.5283600996098532E-11</v>
      </c>
      <c r="BS138" s="24">
        <f t="shared" si="117"/>
        <v>8.1324105704745371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273.00000000000023</v>
      </c>
      <c r="BZ138" s="14">
        <f>BY138*VLOOKUP('Données projet'!$B$12,Paramètres!$A$1:$I$89,3,0)*VLOOKUP('Données projet'!$B$12,Paramètres!$A$1:$I$89,5,0)</f>
        <v>212.9400000000002</v>
      </c>
      <c r="CA138" s="14">
        <f t="shared" si="147"/>
        <v>52.577528895212915</v>
      </c>
      <c r="CB138" s="22">
        <f t="shared" si="118"/>
        <v>462.44302949249618</v>
      </c>
      <c r="CC138" s="62">
        <f t="shared" si="119"/>
        <v>747.14278664238327</v>
      </c>
      <c r="CD138" s="62">
        <f ca="1">AVERAGE(OFFSET($CC$3,0,0,'Données projet'!$E$12+1,1))-AVERAGE(OFFSET($H$3,0,0,'Données projet'!$E$12+1,1))</f>
        <v>304.39782420428173</v>
      </c>
      <c r="CE138" s="62">
        <f t="shared" si="148"/>
        <v>360.34132229290537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7.3908449472579214</v>
      </c>
      <c r="CL138" s="23">
        <f>EXP(-LN(2)/25)*CL137+(1-EXP(-LN(2)/25))/(LN(2)/25)*Calculateur!CG138*Calculateur!CI138*VLOOKUP('Données projet'!$B$12,Paramètres!$A$1:$I$89,3,0)*0.475*44/12</f>
        <v>0.74156562319133323</v>
      </c>
      <c r="CM138" s="23">
        <f>EXP(-LN(2)/2)*CM137+(1-EXP(-LN(2)/2))/(LN(2)/2)*CG138*CJ138*VLOOKUP('Données projet'!$B$12,Paramètres!$A$1:$I$89,3,0)*0.475*44/12</f>
        <v>2.5283600996098532E-11</v>
      </c>
      <c r="CN138" s="24">
        <f t="shared" si="120"/>
        <v>8.1324105704745371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1.7053025658242404E-13</v>
      </c>
      <c r="O139" s="14">
        <f>N139*VLOOKUP('Données projet'!$B$9,Paramètres!$A$1:$I$89,3,0)*VLOOKUP('Données projet'!$B$9,Paramètres!$A$1:$I$89,5,0)</f>
        <v>7.9808160080574461E-14</v>
      </c>
      <c r="P139" s="14">
        <f t="shared" si="141"/>
        <v>1.2308384591775343E-12</v>
      </c>
      <c r="Q139" s="22">
        <f t="shared" si="108"/>
        <v>2.282709528541206E-12</v>
      </c>
      <c r="R139" s="62">
        <f t="shared" si="109"/>
        <v>284.84953039488749</v>
      </c>
      <c r="S139" s="62">
        <f ca="1">AVERAGE(OFFSET($R$3,0,0,'Données projet'!$E$9+1,1))-AVERAGE(OFFSET($H$3,0,0,'Données projet'!$E$9+1,1))</f>
        <v>234.81928430389272</v>
      </c>
      <c r="T139" s="62">
        <f t="shared" si="142"/>
        <v>294.47057757403411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19.359484266764056</v>
      </c>
      <c r="AA139" s="23">
        <f>EXP(-LN(2)/25)*AA138+(1-EXP(-LN(2)/25))/(LN(2)/25)*Calculateur!V139*Calculateur!X139*VLOOKUP('Données projet'!$B$9,Paramètres!$A$1:$I$89,3,0)*0.475*44/12</f>
        <v>4.5768214296677439</v>
      </c>
      <c r="AB139" s="23">
        <f>EXP(-LN(2)/2)*AB138+(1-EXP(-LN(2)/2))/(LN(2)/2)*V139*Y139*VLOOKUP('Données projet'!$B$9,Paramètres!$A$1:$I$89,3,0)*0.475*44/12</f>
        <v>2.3741101324278795E-10</v>
      </c>
      <c r="AC139" s="24">
        <f t="shared" si="111"/>
        <v>23.936305696669212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273.00000000000023</v>
      </c>
      <c r="AJ139" s="14">
        <f>AI139*VLOOKUP('Données projet'!$B$10,Paramètres!$A$1:$I$89,3,0)*VLOOKUP('Données projet'!$B$10,Paramètres!$A$1:$I$89,5,0)</f>
        <v>212.9400000000002</v>
      </c>
      <c r="AK139" s="14">
        <f t="shared" si="143"/>
        <v>52.577528895212915</v>
      </c>
      <c r="AL139" s="22">
        <f t="shared" si="112"/>
        <v>462.44302949249618</v>
      </c>
      <c r="AM139" s="62">
        <f t="shared" si="113"/>
        <v>747.29255988738146</v>
      </c>
      <c r="AN139" s="62">
        <f ca="1">AVERAGE(OFFSET($AM$3,0,0,'Données projet'!$E$10+1,1))-AVERAGE(OFFSET($H$3,0,0,'Données projet'!$E$10+1,1))</f>
        <v>304.39782420428173</v>
      </c>
      <c r="AO139" s="62">
        <f t="shared" si="144"/>
        <v>360.34132229290537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7.2459149858124867</v>
      </c>
      <c r="AV139" s="23">
        <f>EXP(-LN(2)/25)*AV138+(1-EXP(-LN(2)/25))/(LN(2)/25)*Calculateur!AQ139*Calculateur!AS139*VLOOKUP('Données projet'!$B$10,Paramètres!$A$1:$I$89,3,0)*0.475*44/12</f>
        <v>0.721287472227925</v>
      </c>
      <c r="AW139" s="23">
        <f>EXP(-LN(2)/2)*AW138+(1-EXP(-LN(2)/2))/(LN(2)/2)*AQ139*AT139*VLOOKUP('Données projet'!$B$10,Paramètres!$A$1:$I$89,3,0)*0.475*44/12</f>
        <v>1.7878205717156219E-11</v>
      </c>
      <c r="AX139" s="23">
        <f t="shared" si="114"/>
        <v>7.9672024580582894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273.00000000000023</v>
      </c>
      <c r="BE139" s="14">
        <f>BD139*VLOOKUP('Données projet'!$B$11,Paramètres!$A$1:$I$89,3,0)*VLOOKUP('Données projet'!$B$11,Paramètres!$A$1:$I$89,5,0)</f>
        <v>212.9400000000002</v>
      </c>
      <c r="BF139" s="14">
        <f t="shared" si="145"/>
        <v>52.577528895212915</v>
      </c>
      <c r="BG139" s="22">
        <f t="shared" si="115"/>
        <v>462.44302949249618</v>
      </c>
      <c r="BH139" s="62">
        <f t="shared" si="116"/>
        <v>747.29255988738146</v>
      </c>
      <c r="BI139" s="62">
        <f ca="1">AVERAGE(OFFSET($BH$3,0,0,'Données projet'!$E$11+1,1))-AVERAGE(OFFSET($H$3,0,0,'Données projet'!$E$11+1,1))</f>
        <v>304.39782420428173</v>
      </c>
      <c r="BJ139" s="62">
        <f t="shared" si="146"/>
        <v>360.34132229290537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7.2459149858124867</v>
      </c>
      <c r="BQ139" s="23">
        <f>EXP(-LN(2)/25)*BQ138+(1-EXP(-LN(2)/25))/(LN(2)/25)*Calculateur!BL139*Calculateur!BN139*VLOOKUP('Données projet'!$B$11,Paramètres!$A$1:$I$89,3,0)*0.475*44/12</f>
        <v>0.721287472227925</v>
      </c>
      <c r="BR139" s="23">
        <f>EXP(-LN(2)/2)*BR138+(1-EXP(-LN(2)/2))/(LN(2)/2)*BL139*BO139*VLOOKUP('Données projet'!$B$11,Paramètres!$A$1:$I$89,3,0)*0.475*44/12</f>
        <v>1.7878205717156219E-11</v>
      </c>
      <c r="BS139" s="24">
        <f t="shared" si="117"/>
        <v>7.9672024580582894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273.00000000000023</v>
      </c>
      <c r="BZ139" s="14">
        <f>BY139*VLOOKUP('Données projet'!$B$12,Paramètres!$A$1:$I$89,3,0)*VLOOKUP('Données projet'!$B$12,Paramètres!$A$1:$I$89,5,0)</f>
        <v>212.9400000000002</v>
      </c>
      <c r="CA139" s="14">
        <f t="shared" si="147"/>
        <v>52.577528895212915</v>
      </c>
      <c r="CB139" s="22">
        <f t="shared" si="118"/>
        <v>462.44302949249618</v>
      </c>
      <c r="CC139" s="62">
        <f t="shared" si="119"/>
        <v>747.29255988738146</v>
      </c>
      <c r="CD139" s="62">
        <f ca="1">AVERAGE(OFFSET($CC$3,0,0,'Données projet'!$E$12+1,1))-AVERAGE(OFFSET($H$3,0,0,'Données projet'!$E$12+1,1))</f>
        <v>304.39782420428173</v>
      </c>
      <c r="CE139" s="62">
        <f t="shared" si="148"/>
        <v>360.34132229290537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7.2459149858124867</v>
      </c>
      <c r="CL139" s="23">
        <f>EXP(-LN(2)/25)*CL138+(1-EXP(-LN(2)/25))/(LN(2)/25)*Calculateur!CG139*Calculateur!CI139*VLOOKUP('Données projet'!$B$12,Paramètres!$A$1:$I$89,3,0)*0.475*44/12</f>
        <v>0.721287472227925</v>
      </c>
      <c r="CM139" s="23">
        <f>EXP(-LN(2)/2)*CM138+(1-EXP(-LN(2)/2))/(LN(2)/2)*CG139*CJ139*VLOOKUP('Données projet'!$B$12,Paramètres!$A$1:$I$89,3,0)*0.475*44/12</f>
        <v>1.7878205717156219E-11</v>
      </c>
      <c r="CN139" s="24">
        <f t="shared" si="120"/>
        <v>7.9672024580582894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1.7053025658242404E-13</v>
      </c>
      <c r="O140" s="14">
        <f>N140*VLOOKUP('Données projet'!$B$9,Paramètres!$A$1:$I$89,3,0)*VLOOKUP('Données projet'!$B$9,Paramètres!$A$1:$I$89,5,0)</f>
        <v>7.9808160080574461E-14</v>
      </c>
      <c r="P140" s="14">
        <f t="shared" si="141"/>
        <v>1.2308384591775343E-12</v>
      </c>
      <c r="Q140" s="22">
        <f t="shared" si="108"/>
        <v>2.282709528541206E-12</v>
      </c>
      <c r="R140" s="62">
        <f t="shared" si="109"/>
        <v>284.99670540892765</v>
      </c>
      <c r="S140" s="62">
        <f ca="1">AVERAGE(OFFSET($R$3,0,0,'Données projet'!$E$9+1,1))-AVERAGE(OFFSET($H$3,0,0,'Données projet'!$E$9+1,1))</f>
        <v>234.81928430389272</v>
      </c>
      <c r="T140" s="62">
        <f t="shared" si="142"/>
        <v>294.47057757403411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18.979856588412261</v>
      </c>
      <c r="AA140" s="23">
        <f>EXP(-LN(2)/25)*AA139+(1-EXP(-LN(2)/25))/(LN(2)/25)*Calculateur!V140*Calculateur!X140*VLOOKUP('Données projet'!$B$9,Paramètres!$A$1:$I$89,3,0)*0.475*44/12</f>
        <v>4.4516680069889007</v>
      </c>
      <c r="AB140" s="23">
        <f>EXP(-LN(2)/2)*AB139+(1-EXP(-LN(2)/2))/(LN(2)/2)*V140*Y140*VLOOKUP('Données projet'!$B$9,Paramètres!$A$1:$I$89,3,0)*0.475*44/12</f>
        <v>1.678749373923446E-10</v>
      </c>
      <c r="AC140" s="24">
        <f t="shared" si="111"/>
        <v>23.431524595569037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273.00000000000023</v>
      </c>
      <c r="AJ140" s="14">
        <f>AI140*VLOOKUP('Données projet'!$B$10,Paramètres!$A$1:$I$89,3,0)*VLOOKUP('Données projet'!$B$10,Paramètres!$A$1:$I$89,5,0)</f>
        <v>212.9400000000002</v>
      </c>
      <c r="AK140" s="14">
        <f t="shared" si="143"/>
        <v>52.577528895212915</v>
      </c>
      <c r="AL140" s="22">
        <f t="shared" si="112"/>
        <v>462.44302949249618</v>
      </c>
      <c r="AM140" s="62">
        <f t="shared" si="113"/>
        <v>747.43973490142162</v>
      </c>
      <c r="AN140" s="62">
        <f ca="1">AVERAGE(OFFSET($AM$3,0,0,'Données projet'!$E$10+1,1))-AVERAGE(OFFSET($H$3,0,0,'Données projet'!$E$10+1,1))</f>
        <v>304.39782420428173</v>
      </c>
      <c r="AO140" s="62">
        <f t="shared" si="144"/>
        <v>360.34132229290537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7.1038270125124487</v>
      </c>
      <c r="AV140" s="23">
        <f>EXP(-LN(2)/25)*AV139+(1-EXP(-LN(2)/25))/(LN(2)/25)*Calculateur!AQ140*Calculateur!AS140*VLOOKUP('Données projet'!$B$10,Paramètres!$A$1:$I$89,3,0)*0.475*44/12</f>
        <v>0.70156382836899278</v>
      </c>
      <c r="AW140" s="23">
        <f>EXP(-LN(2)/2)*AW139+(1-EXP(-LN(2)/2))/(LN(2)/2)*AQ140*AT140*VLOOKUP('Données projet'!$B$10,Paramètres!$A$1:$I$89,3,0)*0.475*44/12</f>
        <v>1.2641800498049266E-11</v>
      </c>
      <c r="AX140" s="23">
        <f t="shared" si="114"/>
        <v>7.8053908408940833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273.00000000000023</v>
      </c>
      <c r="BE140" s="14">
        <f>BD140*VLOOKUP('Données projet'!$B$11,Paramètres!$A$1:$I$89,3,0)*VLOOKUP('Données projet'!$B$11,Paramètres!$A$1:$I$89,5,0)</f>
        <v>212.9400000000002</v>
      </c>
      <c r="BF140" s="14">
        <f t="shared" si="145"/>
        <v>52.577528895212915</v>
      </c>
      <c r="BG140" s="22">
        <f t="shared" si="115"/>
        <v>462.44302949249618</v>
      </c>
      <c r="BH140" s="62">
        <f t="shared" si="116"/>
        <v>747.43973490142162</v>
      </c>
      <c r="BI140" s="62">
        <f ca="1">AVERAGE(OFFSET($BH$3,0,0,'Données projet'!$E$11+1,1))-AVERAGE(OFFSET($H$3,0,0,'Données projet'!$E$11+1,1))</f>
        <v>304.39782420428173</v>
      </c>
      <c r="BJ140" s="62">
        <f t="shared" si="146"/>
        <v>360.34132229290537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7.1038270125124487</v>
      </c>
      <c r="BQ140" s="23">
        <f>EXP(-LN(2)/25)*BQ139+(1-EXP(-LN(2)/25))/(LN(2)/25)*Calculateur!BL140*Calculateur!BN140*VLOOKUP('Données projet'!$B$11,Paramètres!$A$1:$I$89,3,0)*0.475*44/12</f>
        <v>0.70156382836899278</v>
      </c>
      <c r="BR140" s="23">
        <f>EXP(-LN(2)/2)*BR139+(1-EXP(-LN(2)/2))/(LN(2)/2)*BL140*BO140*VLOOKUP('Données projet'!$B$11,Paramètres!$A$1:$I$89,3,0)*0.475*44/12</f>
        <v>1.2641800498049266E-11</v>
      </c>
      <c r="BS140" s="24">
        <f t="shared" si="117"/>
        <v>7.8053908408940833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273.00000000000023</v>
      </c>
      <c r="BZ140" s="14">
        <f>BY140*VLOOKUP('Données projet'!$B$12,Paramètres!$A$1:$I$89,3,0)*VLOOKUP('Données projet'!$B$12,Paramètres!$A$1:$I$89,5,0)</f>
        <v>212.9400000000002</v>
      </c>
      <c r="CA140" s="14">
        <f t="shared" si="147"/>
        <v>52.577528895212915</v>
      </c>
      <c r="CB140" s="22">
        <f t="shared" si="118"/>
        <v>462.44302949249618</v>
      </c>
      <c r="CC140" s="62">
        <f t="shared" si="119"/>
        <v>747.43973490142162</v>
      </c>
      <c r="CD140" s="62">
        <f ca="1">AVERAGE(OFFSET($CC$3,0,0,'Données projet'!$E$12+1,1))-AVERAGE(OFFSET($H$3,0,0,'Données projet'!$E$12+1,1))</f>
        <v>304.39782420428173</v>
      </c>
      <c r="CE140" s="62">
        <f t="shared" si="148"/>
        <v>360.34132229290537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7.1038270125124487</v>
      </c>
      <c r="CL140" s="23">
        <f>EXP(-LN(2)/25)*CL139+(1-EXP(-LN(2)/25))/(LN(2)/25)*Calculateur!CG140*Calculateur!CI140*VLOOKUP('Données projet'!$B$12,Paramètres!$A$1:$I$89,3,0)*0.475*44/12</f>
        <v>0.70156382836899278</v>
      </c>
      <c r="CM140" s="23">
        <f>EXP(-LN(2)/2)*CM139+(1-EXP(-LN(2)/2))/(LN(2)/2)*CG140*CJ140*VLOOKUP('Données projet'!$B$12,Paramètres!$A$1:$I$89,3,0)*0.475*44/12</f>
        <v>1.2641800498049266E-11</v>
      </c>
      <c r="CN140" s="24">
        <f t="shared" si="120"/>
        <v>7.8053908408940833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1.7053025658242404E-13</v>
      </c>
      <c r="O141" s="14">
        <f>N141*VLOOKUP('Données projet'!$B$9,Paramètres!$A$1:$I$89,3,0)*VLOOKUP('Données projet'!$B$9,Paramètres!$A$1:$I$89,5,0)</f>
        <v>7.9808160080574461E-14</v>
      </c>
      <c r="P141" s="14">
        <f t="shared" si="141"/>
        <v>1.2308384591775343E-12</v>
      </c>
      <c r="Q141" s="22">
        <f t="shared" si="108"/>
        <v>2.282709528541206E-12</v>
      </c>
      <c r="R141" s="62">
        <f t="shared" si="109"/>
        <v>285.14132726550821</v>
      </c>
      <c r="S141" s="62">
        <f ca="1">AVERAGE(OFFSET($R$3,0,0,'Données projet'!$E$9+1,1))-AVERAGE(OFFSET($H$3,0,0,'Données projet'!$E$9+1,1))</f>
        <v>234.81928430389272</v>
      </c>
      <c r="T141" s="62">
        <f t="shared" si="142"/>
        <v>294.47057757403411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18.607673177282923</v>
      </c>
      <c r="AA141" s="23">
        <f>EXP(-LN(2)/25)*AA140+(1-EXP(-LN(2)/25))/(LN(2)/25)*Calculateur!V141*Calculateur!X141*VLOOKUP('Données projet'!$B$9,Paramètres!$A$1:$I$89,3,0)*0.475*44/12</f>
        <v>4.3299369112347428</v>
      </c>
      <c r="AB141" s="23">
        <f>EXP(-LN(2)/2)*AB140+(1-EXP(-LN(2)/2))/(LN(2)/2)*V141*Y141*VLOOKUP('Données projet'!$B$9,Paramètres!$A$1:$I$89,3,0)*0.475*44/12</f>
        <v>1.1870550662139397E-10</v>
      </c>
      <c r="AC141" s="24">
        <f t="shared" si="111"/>
        <v>22.937610088636372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273.00000000000023</v>
      </c>
      <c r="AJ141" s="14">
        <f>AI141*VLOOKUP('Données projet'!$B$10,Paramètres!$A$1:$I$89,3,0)*VLOOKUP('Données projet'!$B$10,Paramètres!$A$1:$I$89,5,0)</f>
        <v>212.9400000000002</v>
      </c>
      <c r="AK141" s="14">
        <f t="shared" si="143"/>
        <v>52.577528895212915</v>
      </c>
      <c r="AL141" s="22">
        <f t="shared" si="112"/>
        <v>462.44302949249618</v>
      </c>
      <c r="AM141" s="62">
        <f t="shared" si="113"/>
        <v>747.58435675800206</v>
      </c>
      <c r="AN141" s="62">
        <f ca="1">AVERAGE(OFFSET($AM$3,0,0,'Données projet'!$E$10+1,1))-AVERAGE(OFFSET($H$3,0,0,'Données projet'!$E$10+1,1))</f>
        <v>304.39782420428173</v>
      </c>
      <c r="AO141" s="62">
        <f t="shared" si="144"/>
        <v>360.34132229290537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6.9645252977037186</v>
      </c>
      <c r="AV141" s="23">
        <f>EXP(-LN(2)/25)*AV140+(1-EXP(-LN(2)/25))/(LN(2)/25)*Calculateur!AQ141*Calculateur!AS141*VLOOKUP('Données projet'!$B$10,Paramètres!$A$1:$I$89,3,0)*0.475*44/12</f>
        <v>0.6823795285886044</v>
      </c>
      <c r="AW141" s="23">
        <f>EXP(-LN(2)/2)*AW140+(1-EXP(-LN(2)/2))/(LN(2)/2)*AQ141*AT141*VLOOKUP('Données projet'!$B$10,Paramètres!$A$1:$I$89,3,0)*0.475*44/12</f>
        <v>8.9391028585781095E-12</v>
      </c>
      <c r="AX141" s="23">
        <f t="shared" si="114"/>
        <v>7.6469048263012622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273.00000000000023</v>
      </c>
      <c r="BE141" s="14">
        <f>BD141*VLOOKUP('Données projet'!$B$11,Paramètres!$A$1:$I$89,3,0)*VLOOKUP('Données projet'!$B$11,Paramètres!$A$1:$I$89,5,0)</f>
        <v>212.9400000000002</v>
      </c>
      <c r="BF141" s="14">
        <f t="shared" si="145"/>
        <v>52.577528895212915</v>
      </c>
      <c r="BG141" s="22">
        <f t="shared" si="115"/>
        <v>462.44302949249618</v>
      </c>
      <c r="BH141" s="62">
        <f t="shared" si="116"/>
        <v>747.58435675800206</v>
      </c>
      <c r="BI141" s="62">
        <f ca="1">AVERAGE(OFFSET($BH$3,0,0,'Données projet'!$E$11+1,1))-AVERAGE(OFFSET($H$3,0,0,'Données projet'!$E$11+1,1))</f>
        <v>304.39782420428173</v>
      </c>
      <c r="BJ141" s="62">
        <f t="shared" si="146"/>
        <v>360.34132229290537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6.9645252977037186</v>
      </c>
      <c r="BQ141" s="23">
        <f>EXP(-LN(2)/25)*BQ140+(1-EXP(-LN(2)/25))/(LN(2)/25)*Calculateur!BL141*Calculateur!BN141*VLOOKUP('Données projet'!$B$11,Paramètres!$A$1:$I$89,3,0)*0.475*44/12</f>
        <v>0.6823795285886044</v>
      </c>
      <c r="BR141" s="23">
        <f>EXP(-LN(2)/2)*BR140+(1-EXP(-LN(2)/2))/(LN(2)/2)*BL141*BO141*VLOOKUP('Données projet'!$B$11,Paramètres!$A$1:$I$89,3,0)*0.475*44/12</f>
        <v>8.9391028585781095E-12</v>
      </c>
      <c r="BS141" s="24">
        <f t="shared" si="117"/>
        <v>7.6469048263012622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273.00000000000023</v>
      </c>
      <c r="BZ141" s="14">
        <f>BY141*VLOOKUP('Données projet'!$B$12,Paramètres!$A$1:$I$89,3,0)*VLOOKUP('Données projet'!$B$12,Paramètres!$A$1:$I$89,5,0)</f>
        <v>212.9400000000002</v>
      </c>
      <c r="CA141" s="14">
        <f t="shared" si="147"/>
        <v>52.577528895212915</v>
      </c>
      <c r="CB141" s="22">
        <f t="shared" si="118"/>
        <v>462.44302949249618</v>
      </c>
      <c r="CC141" s="62">
        <f t="shared" si="119"/>
        <v>747.58435675800206</v>
      </c>
      <c r="CD141" s="62">
        <f ca="1">AVERAGE(OFFSET($CC$3,0,0,'Données projet'!$E$12+1,1))-AVERAGE(OFFSET($H$3,0,0,'Données projet'!$E$12+1,1))</f>
        <v>304.39782420428173</v>
      </c>
      <c r="CE141" s="62">
        <f t="shared" si="148"/>
        <v>360.34132229290537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6.9645252977037186</v>
      </c>
      <c r="CL141" s="23">
        <f>EXP(-LN(2)/25)*CL140+(1-EXP(-LN(2)/25))/(LN(2)/25)*Calculateur!CG141*Calculateur!CI141*VLOOKUP('Données projet'!$B$12,Paramètres!$A$1:$I$89,3,0)*0.475*44/12</f>
        <v>0.6823795285886044</v>
      </c>
      <c r="CM141" s="23">
        <f>EXP(-LN(2)/2)*CM140+(1-EXP(-LN(2)/2))/(LN(2)/2)*CG141*CJ141*VLOOKUP('Données projet'!$B$12,Paramètres!$A$1:$I$89,3,0)*0.475*44/12</f>
        <v>8.9391028585781095E-12</v>
      </c>
      <c r="CN141" s="24">
        <f t="shared" si="120"/>
        <v>7.6469048263012622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1.7053025658242404E-13</v>
      </c>
      <c r="O142" s="14">
        <f>N142*VLOOKUP('Données projet'!$B$9,Paramètres!$A$1:$I$89,3,0)*VLOOKUP('Données projet'!$B$9,Paramètres!$A$1:$I$89,5,0)</f>
        <v>7.9808160080574461E-14</v>
      </c>
      <c r="P142" s="14">
        <f t="shared" si="141"/>
        <v>1.2308384591775343E-12</v>
      </c>
      <c r="Q142" s="22">
        <f t="shared" si="108"/>
        <v>2.282709528541206E-12</v>
      </c>
      <c r="R142" s="62">
        <f t="shared" si="109"/>
        <v>285.28344025620316</v>
      </c>
      <c r="S142" s="62">
        <f ca="1">AVERAGE(OFFSET($R$3,0,0,'Données projet'!$E$9+1,1))-AVERAGE(OFFSET($H$3,0,0,'Données projet'!$E$9+1,1))</f>
        <v>234.81928430389272</v>
      </c>
      <c r="T142" s="62">
        <f t="shared" si="142"/>
        <v>294.47057757403411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18.242788055836368</v>
      </c>
      <c r="AA142" s="23">
        <f>EXP(-LN(2)/25)*AA141+(1-EXP(-LN(2)/25))/(LN(2)/25)*Calculateur!V142*Calculateur!X142*VLOOKUP('Données projet'!$B$9,Paramètres!$A$1:$I$89,3,0)*0.475*44/12</f>
        <v>4.2115345586955426</v>
      </c>
      <c r="AB142" s="23">
        <f>EXP(-LN(2)/2)*AB141+(1-EXP(-LN(2)/2))/(LN(2)/2)*V142*Y142*VLOOKUP('Données projet'!$B$9,Paramètres!$A$1:$I$89,3,0)*0.475*44/12</f>
        <v>8.3937468696172298E-11</v>
      </c>
      <c r="AC142" s="24">
        <f t="shared" si="111"/>
        <v>22.454322614615847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273.00000000000023</v>
      </c>
      <c r="AJ142" s="14">
        <f>AI142*VLOOKUP('Données projet'!$B$10,Paramètres!$A$1:$I$89,3,0)*VLOOKUP('Données projet'!$B$10,Paramètres!$A$1:$I$89,5,0)</f>
        <v>212.9400000000002</v>
      </c>
      <c r="AK142" s="14">
        <f t="shared" si="143"/>
        <v>52.577528895212915</v>
      </c>
      <c r="AL142" s="22">
        <f t="shared" si="112"/>
        <v>462.44302949249618</v>
      </c>
      <c r="AM142" s="62">
        <f t="shared" si="113"/>
        <v>747.72646974869713</v>
      </c>
      <c r="AN142" s="62">
        <f ca="1">AVERAGE(OFFSET($AM$3,0,0,'Données projet'!$E$10+1,1))-AVERAGE(OFFSET($H$3,0,0,'Données projet'!$E$10+1,1))</f>
        <v>304.39782420428173</v>
      </c>
      <c r="AO142" s="62">
        <f t="shared" si="144"/>
        <v>360.34132229290537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6.8279552045567309</v>
      </c>
      <c r="AV142" s="23">
        <f>EXP(-LN(2)/25)*AV141+(1-EXP(-LN(2)/25))/(LN(2)/25)*Calculateur!AQ142*Calculateur!AS142*VLOOKUP('Données projet'!$B$10,Paramètres!$A$1:$I$89,3,0)*0.475*44/12</f>
        <v>0.66371982449456923</v>
      </c>
      <c r="AW142" s="23">
        <f>EXP(-LN(2)/2)*AW141+(1-EXP(-LN(2)/2))/(LN(2)/2)*AQ142*AT142*VLOOKUP('Données projet'!$B$10,Paramètres!$A$1:$I$89,3,0)*0.475*44/12</f>
        <v>6.3209002490246329E-12</v>
      </c>
      <c r="AX142" s="23">
        <f t="shared" si="114"/>
        <v>7.4916750290576211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273.00000000000023</v>
      </c>
      <c r="BE142" s="14">
        <f>BD142*VLOOKUP('Données projet'!$B$11,Paramètres!$A$1:$I$89,3,0)*VLOOKUP('Données projet'!$B$11,Paramètres!$A$1:$I$89,5,0)</f>
        <v>212.9400000000002</v>
      </c>
      <c r="BF142" s="14">
        <f t="shared" si="145"/>
        <v>52.577528895212915</v>
      </c>
      <c r="BG142" s="22">
        <f t="shared" si="115"/>
        <v>462.44302949249618</v>
      </c>
      <c r="BH142" s="62">
        <f t="shared" si="116"/>
        <v>747.72646974869713</v>
      </c>
      <c r="BI142" s="62">
        <f ca="1">AVERAGE(OFFSET($BH$3,0,0,'Données projet'!$E$11+1,1))-AVERAGE(OFFSET($H$3,0,0,'Données projet'!$E$11+1,1))</f>
        <v>304.39782420428173</v>
      </c>
      <c r="BJ142" s="62">
        <f t="shared" si="146"/>
        <v>360.34132229290537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6.8279552045567309</v>
      </c>
      <c r="BQ142" s="23">
        <f>EXP(-LN(2)/25)*BQ141+(1-EXP(-LN(2)/25))/(LN(2)/25)*Calculateur!BL142*Calculateur!BN142*VLOOKUP('Données projet'!$B$11,Paramètres!$A$1:$I$89,3,0)*0.475*44/12</f>
        <v>0.66371982449456923</v>
      </c>
      <c r="BR142" s="23">
        <f>EXP(-LN(2)/2)*BR141+(1-EXP(-LN(2)/2))/(LN(2)/2)*BL142*BO142*VLOOKUP('Données projet'!$B$11,Paramètres!$A$1:$I$89,3,0)*0.475*44/12</f>
        <v>6.3209002490246329E-12</v>
      </c>
      <c r="BS142" s="24">
        <f t="shared" si="117"/>
        <v>7.4916750290576211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273.00000000000023</v>
      </c>
      <c r="BZ142" s="14">
        <f>BY142*VLOOKUP('Données projet'!$B$12,Paramètres!$A$1:$I$89,3,0)*VLOOKUP('Données projet'!$B$12,Paramètres!$A$1:$I$89,5,0)</f>
        <v>212.9400000000002</v>
      </c>
      <c r="CA142" s="14">
        <f t="shared" si="147"/>
        <v>52.577528895212915</v>
      </c>
      <c r="CB142" s="22">
        <f t="shared" si="118"/>
        <v>462.44302949249618</v>
      </c>
      <c r="CC142" s="62">
        <f t="shared" si="119"/>
        <v>747.72646974869713</v>
      </c>
      <c r="CD142" s="62">
        <f ca="1">AVERAGE(OFFSET($CC$3,0,0,'Données projet'!$E$12+1,1))-AVERAGE(OFFSET($H$3,0,0,'Données projet'!$E$12+1,1))</f>
        <v>304.39782420428173</v>
      </c>
      <c r="CE142" s="62">
        <f t="shared" si="148"/>
        <v>360.34132229290537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6.8279552045567309</v>
      </c>
      <c r="CL142" s="23">
        <f>EXP(-LN(2)/25)*CL141+(1-EXP(-LN(2)/25))/(LN(2)/25)*Calculateur!CG142*Calculateur!CI142*VLOOKUP('Données projet'!$B$12,Paramètres!$A$1:$I$89,3,0)*0.475*44/12</f>
        <v>0.66371982449456923</v>
      </c>
      <c r="CM142" s="23">
        <f>EXP(-LN(2)/2)*CM141+(1-EXP(-LN(2)/2))/(LN(2)/2)*CG142*CJ142*VLOOKUP('Données projet'!$B$12,Paramètres!$A$1:$I$89,3,0)*0.475*44/12</f>
        <v>6.3209002490246329E-12</v>
      </c>
      <c r="CN142" s="24">
        <f t="shared" si="120"/>
        <v>7.4916750290576211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1.7053025658242404E-13</v>
      </c>
      <c r="O143" s="14">
        <f>N143*VLOOKUP('Données projet'!$B$9,Paramètres!$A$1:$I$89,3,0)*VLOOKUP('Données projet'!$B$9,Paramètres!$A$1:$I$89,5,0)</f>
        <v>7.9808160080574461E-14</v>
      </c>
      <c r="P143" s="14">
        <f t="shared" si="141"/>
        <v>1.2308384591775343E-12</v>
      </c>
      <c r="Q143" s="22">
        <f t="shared" si="108"/>
        <v>2.282709528541206E-12</v>
      </c>
      <c r="R143" s="62">
        <f t="shared" si="109"/>
        <v>285.42308790422663</v>
      </c>
      <c r="S143" s="62">
        <f ca="1">AVERAGE(OFFSET($R$3,0,0,'Données projet'!$E$9+1,1))-AVERAGE(OFFSET($H$3,0,0,'Données projet'!$E$9+1,1))</f>
        <v>234.81928430389272</v>
      </c>
      <c r="T143" s="62">
        <f t="shared" si="142"/>
        <v>294.47057757403411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17.885058109063429</v>
      </c>
      <c r="AA143" s="23">
        <f>EXP(-LN(2)/25)*AA142+(1-EXP(-LN(2)/25))/(LN(2)/25)*Calculateur!V143*Calculateur!X143*VLOOKUP('Données projet'!$B$9,Paramètres!$A$1:$I$89,3,0)*0.475*44/12</f>
        <v>4.0963699247130361</v>
      </c>
      <c r="AB143" s="23">
        <f>EXP(-LN(2)/2)*AB142+(1-EXP(-LN(2)/2))/(LN(2)/2)*V143*Y143*VLOOKUP('Données projet'!$B$9,Paramètres!$A$1:$I$89,3,0)*0.475*44/12</f>
        <v>5.9352753310696987E-11</v>
      </c>
      <c r="AC143" s="24">
        <f t="shared" si="111"/>
        <v>21.981428033835819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273.00000000000023</v>
      </c>
      <c r="AJ143" s="14">
        <f>AI143*VLOOKUP('Données projet'!$B$10,Paramètres!$A$1:$I$89,3,0)*VLOOKUP('Données projet'!$B$10,Paramètres!$A$1:$I$89,5,0)</f>
        <v>212.9400000000002</v>
      </c>
      <c r="AK143" s="14">
        <f t="shared" si="143"/>
        <v>52.577528895212915</v>
      </c>
      <c r="AL143" s="22">
        <f t="shared" si="112"/>
        <v>462.44302949249618</v>
      </c>
      <c r="AM143" s="62">
        <f t="shared" si="113"/>
        <v>747.86611739672048</v>
      </c>
      <c r="AN143" s="62">
        <f ca="1">AVERAGE(OFFSET($AM$3,0,0,'Données projet'!$E$10+1,1))-AVERAGE(OFFSET($H$3,0,0,'Données projet'!$E$10+1,1))</f>
        <v>304.39782420428173</v>
      </c>
      <c r="AO143" s="62">
        <f t="shared" si="144"/>
        <v>360.34132229290537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6.6940631676368243</v>
      </c>
      <c r="AV143" s="23">
        <f>EXP(-LN(2)/25)*AV142+(1-EXP(-LN(2)/25))/(LN(2)/25)*Calculateur!AQ143*Calculateur!AS143*VLOOKUP('Données projet'!$B$10,Paramètres!$A$1:$I$89,3,0)*0.475*44/12</f>
        <v>0.6455703709902566</v>
      </c>
      <c r="AW143" s="23">
        <f>EXP(-LN(2)/2)*AW142+(1-EXP(-LN(2)/2))/(LN(2)/2)*AQ143*AT143*VLOOKUP('Données projet'!$B$10,Paramètres!$A$1:$I$89,3,0)*0.475*44/12</f>
        <v>4.4695514292890548E-12</v>
      </c>
      <c r="AX143" s="23">
        <f t="shared" si="114"/>
        <v>7.3396335386315501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273.00000000000023</v>
      </c>
      <c r="BE143" s="14">
        <f>BD143*VLOOKUP('Données projet'!$B$11,Paramètres!$A$1:$I$89,3,0)*VLOOKUP('Données projet'!$B$11,Paramètres!$A$1:$I$89,5,0)</f>
        <v>212.9400000000002</v>
      </c>
      <c r="BF143" s="14">
        <f t="shared" si="145"/>
        <v>52.577528895212915</v>
      </c>
      <c r="BG143" s="22">
        <f t="shared" si="115"/>
        <v>462.44302949249618</v>
      </c>
      <c r="BH143" s="62">
        <f t="shared" si="116"/>
        <v>747.86611739672048</v>
      </c>
      <c r="BI143" s="62">
        <f ca="1">AVERAGE(OFFSET($BH$3,0,0,'Données projet'!$E$11+1,1))-AVERAGE(OFFSET($H$3,0,0,'Données projet'!$E$11+1,1))</f>
        <v>304.39782420428173</v>
      </c>
      <c r="BJ143" s="62">
        <f t="shared" si="146"/>
        <v>360.34132229290537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6.6940631676368243</v>
      </c>
      <c r="BQ143" s="23">
        <f>EXP(-LN(2)/25)*BQ142+(1-EXP(-LN(2)/25))/(LN(2)/25)*Calculateur!BL143*Calculateur!BN143*VLOOKUP('Données projet'!$B$11,Paramètres!$A$1:$I$89,3,0)*0.475*44/12</f>
        <v>0.6455703709902566</v>
      </c>
      <c r="BR143" s="23">
        <f>EXP(-LN(2)/2)*BR142+(1-EXP(-LN(2)/2))/(LN(2)/2)*BL143*BO143*VLOOKUP('Données projet'!$B$11,Paramètres!$A$1:$I$89,3,0)*0.475*44/12</f>
        <v>4.4695514292890548E-12</v>
      </c>
      <c r="BS143" s="24">
        <f t="shared" si="117"/>
        <v>7.3396335386315501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273.00000000000023</v>
      </c>
      <c r="BZ143" s="14">
        <f>BY143*VLOOKUP('Données projet'!$B$12,Paramètres!$A$1:$I$89,3,0)*VLOOKUP('Données projet'!$B$12,Paramètres!$A$1:$I$89,5,0)</f>
        <v>212.9400000000002</v>
      </c>
      <c r="CA143" s="14">
        <f t="shared" si="147"/>
        <v>52.577528895212915</v>
      </c>
      <c r="CB143" s="22">
        <f t="shared" si="118"/>
        <v>462.44302949249618</v>
      </c>
      <c r="CC143" s="62">
        <f t="shared" si="119"/>
        <v>747.86611739672048</v>
      </c>
      <c r="CD143" s="62">
        <f ca="1">AVERAGE(OFFSET($CC$3,0,0,'Données projet'!$E$12+1,1))-AVERAGE(OFFSET($H$3,0,0,'Données projet'!$E$12+1,1))</f>
        <v>304.39782420428173</v>
      </c>
      <c r="CE143" s="62">
        <f t="shared" si="148"/>
        <v>360.34132229290537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6.6940631676368243</v>
      </c>
      <c r="CL143" s="23">
        <f>EXP(-LN(2)/25)*CL142+(1-EXP(-LN(2)/25))/(LN(2)/25)*Calculateur!CG143*Calculateur!CI143*VLOOKUP('Données projet'!$B$12,Paramètres!$A$1:$I$89,3,0)*0.475*44/12</f>
        <v>0.6455703709902566</v>
      </c>
      <c r="CM143" s="23">
        <f>EXP(-LN(2)/2)*CM142+(1-EXP(-LN(2)/2))/(LN(2)/2)*CG143*CJ143*VLOOKUP('Données projet'!$B$12,Paramètres!$A$1:$I$89,3,0)*0.475*44/12</f>
        <v>4.4695514292890548E-12</v>
      </c>
      <c r="CN143" s="24">
        <f t="shared" si="120"/>
        <v>7.3396335386315501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1.7053025658242404E-13</v>
      </c>
      <c r="O144" s="14">
        <f>N144*VLOOKUP('Données projet'!$B$9,Paramètres!$A$1:$I$89,3,0)*VLOOKUP('Données projet'!$B$9,Paramètres!$A$1:$I$89,5,0)</f>
        <v>7.9808160080574461E-14</v>
      </c>
      <c r="P144" s="14">
        <f t="shared" si="141"/>
        <v>1.2308384591775343E-12</v>
      </c>
      <c r="Q144" s="22">
        <f t="shared" si="108"/>
        <v>2.282709528541206E-12</v>
      </c>
      <c r="R144" s="62">
        <f t="shared" si="109"/>
        <v>285.56031297776229</v>
      </c>
      <c r="S144" s="62">
        <f ca="1">AVERAGE(OFFSET($R$3,0,0,'Données projet'!$E$9+1,1))-AVERAGE(OFFSET($H$3,0,0,'Données projet'!$E$9+1,1))</f>
        <v>234.81928430389272</v>
      </c>
      <c r="T144" s="62">
        <f t="shared" si="142"/>
        <v>294.47057757403411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17.534343028352986</v>
      </c>
      <c r="AA144" s="23">
        <f>EXP(-LN(2)/25)*AA143+(1-EXP(-LN(2)/25))/(LN(2)/25)*Calculateur!V144*Calculateur!X144*VLOOKUP('Données projet'!$B$9,Paramètres!$A$1:$I$89,3,0)*0.475*44/12</f>
        <v>3.9843544737030263</v>
      </c>
      <c r="AB144" s="23">
        <f>EXP(-LN(2)/2)*AB143+(1-EXP(-LN(2)/2))/(LN(2)/2)*V144*Y144*VLOOKUP('Données projet'!$B$9,Paramètres!$A$1:$I$89,3,0)*0.475*44/12</f>
        <v>4.1968734348086149E-11</v>
      </c>
      <c r="AC144" s="24">
        <f t="shared" si="111"/>
        <v>21.518697502097979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273.00000000000023</v>
      </c>
      <c r="AJ144" s="14">
        <f>AI144*VLOOKUP('Données projet'!$B$10,Paramètres!$A$1:$I$89,3,0)*VLOOKUP('Données projet'!$B$10,Paramètres!$A$1:$I$89,5,0)</f>
        <v>212.9400000000002</v>
      </c>
      <c r="AK144" s="14">
        <f t="shared" si="143"/>
        <v>52.577528895212915</v>
      </c>
      <c r="AL144" s="22">
        <f t="shared" si="112"/>
        <v>462.44302949249618</v>
      </c>
      <c r="AM144" s="62">
        <f t="shared" si="113"/>
        <v>748.00334247025626</v>
      </c>
      <c r="AN144" s="62">
        <f ca="1">AVERAGE(OFFSET($AM$3,0,0,'Données projet'!$E$10+1,1))-AVERAGE(OFFSET($H$3,0,0,'Données projet'!$E$10+1,1))</f>
        <v>304.39782420428173</v>
      </c>
      <c r="AO144" s="62">
        <f t="shared" si="144"/>
        <v>360.34132229290537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6.5627966718948381</v>
      </c>
      <c r="AV144" s="23">
        <f>EXP(-LN(2)/25)*AV143+(1-EXP(-LN(2)/25))/(LN(2)/25)*Calculateur!AQ144*Calculateur!AS144*VLOOKUP('Données projet'!$B$10,Paramètres!$A$1:$I$89,3,0)*0.475*44/12</f>
        <v>0.62791721524645772</v>
      </c>
      <c r="AW144" s="23">
        <f>EXP(-LN(2)/2)*AW143+(1-EXP(-LN(2)/2))/(LN(2)/2)*AQ144*AT144*VLOOKUP('Données projet'!$B$10,Paramètres!$A$1:$I$89,3,0)*0.475*44/12</f>
        <v>3.1604501245123164E-12</v>
      </c>
      <c r="AX144" s="23">
        <f t="shared" si="114"/>
        <v>7.1907138871444563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273.00000000000023</v>
      </c>
      <c r="BE144" s="14">
        <f>BD144*VLOOKUP('Données projet'!$B$11,Paramètres!$A$1:$I$89,3,0)*VLOOKUP('Données projet'!$B$11,Paramètres!$A$1:$I$89,5,0)</f>
        <v>212.9400000000002</v>
      </c>
      <c r="BF144" s="14">
        <f t="shared" si="145"/>
        <v>52.577528895212915</v>
      </c>
      <c r="BG144" s="22">
        <f t="shared" si="115"/>
        <v>462.44302949249618</v>
      </c>
      <c r="BH144" s="62">
        <f t="shared" si="116"/>
        <v>748.00334247025626</v>
      </c>
      <c r="BI144" s="62">
        <f ca="1">AVERAGE(OFFSET($BH$3,0,0,'Données projet'!$E$11+1,1))-AVERAGE(OFFSET($H$3,0,0,'Données projet'!$E$11+1,1))</f>
        <v>304.39782420428173</v>
      </c>
      <c r="BJ144" s="62">
        <f t="shared" si="146"/>
        <v>360.34132229290537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6.5627966718948381</v>
      </c>
      <c r="BQ144" s="23">
        <f>EXP(-LN(2)/25)*BQ143+(1-EXP(-LN(2)/25))/(LN(2)/25)*Calculateur!BL144*Calculateur!BN144*VLOOKUP('Données projet'!$B$11,Paramètres!$A$1:$I$89,3,0)*0.475*44/12</f>
        <v>0.62791721524645772</v>
      </c>
      <c r="BR144" s="23">
        <f>EXP(-LN(2)/2)*BR143+(1-EXP(-LN(2)/2))/(LN(2)/2)*BL144*BO144*VLOOKUP('Données projet'!$B$11,Paramètres!$A$1:$I$89,3,0)*0.475*44/12</f>
        <v>3.1604501245123164E-12</v>
      </c>
      <c r="BS144" s="24">
        <f t="shared" si="117"/>
        <v>7.1907138871444563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273.00000000000023</v>
      </c>
      <c r="BZ144" s="14">
        <f>BY144*VLOOKUP('Données projet'!$B$12,Paramètres!$A$1:$I$89,3,0)*VLOOKUP('Données projet'!$B$12,Paramètres!$A$1:$I$89,5,0)</f>
        <v>212.9400000000002</v>
      </c>
      <c r="CA144" s="14">
        <f t="shared" si="147"/>
        <v>52.577528895212915</v>
      </c>
      <c r="CB144" s="22">
        <f t="shared" si="118"/>
        <v>462.44302949249618</v>
      </c>
      <c r="CC144" s="62">
        <f t="shared" si="119"/>
        <v>748.00334247025626</v>
      </c>
      <c r="CD144" s="62">
        <f ca="1">AVERAGE(OFFSET($CC$3,0,0,'Données projet'!$E$12+1,1))-AVERAGE(OFFSET($H$3,0,0,'Données projet'!$E$12+1,1))</f>
        <v>304.39782420428173</v>
      </c>
      <c r="CE144" s="62">
        <f t="shared" si="148"/>
        <v>360.34132229290537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6.5627966718948381</v>
      </c>
      <c r="CL144" s="23">
        <f>EXP(-LN(2)/25)*CL143+(1-EXP(-LN(2)/25))/(LN(2)/25)*Calculateur!CG144*Calculateur!CI144*VLOOKUP('Données projet'!$B$12,Paramètres!$A$1:$I$89,3,0)*0.475*44/12</f>
        <v>0.62791721524645772</v>
      </c>
      <c r="CM144" s="23">
        <f>EXP(-LN(2)/2)*CM143+(1-EXP(-LN(2)/2))/(LN(2)/2)*CG144*CJ144*VLOOKUP('Données projet'!$B$12,Paramètres!$A$1:$I$89,3,0)*0.475*44/12</f>
        <v>3.1604501245123164E-12</v>
      </c>
      <c r="CN144" s="24">
        <f t="shared" si="120"/>
        <v>7.1907138871444563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1.7053025658242404E-13</v>
      </c>
      <c r="O145" s="14">
        <f>N145*VLOOKUP('Données projet'!$B$9,Paramètres!$A$1:$I$89,3,0)*VLOOKUP('Données projet'!$B$9,Paramètres!$A$1:$I$89,5,0)</f>
        <v>7.9808160080574461E-14</v>
      </c>
      <c r="P145" s="14">
        <f t="shared" si="141"/>
        <v>1.2308384591775343E-12</v>
      </c>
      <c r="Q145" s="22">
        <f t="shared" si="108"/>
        <v>2.282709528541206E-12</v>
      </c>
      <c r="R145" s="62">
        <f t="shared" si="109"/>
        <v>285.69515750306135</v>
      </c>
      <c r="S145" s="62">
        <f ca="1">AVERAGE(OFFSET($R$3,0,0,'Données projet'!$E$9+1,1))-AVERAGE(OFFSET($H$3,0,0,'Données projet'!$E$9+1,1))</f>
        <v>234.81928430389272</v>
      </c>
      <c r="T145" s="62">
        <f t="shared" si="142"/>
        <v>294.47057757403411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17.190505256460199</v>
      </c>
      <c r="AA145" s="23">
        <f>EXP(-LN(2)/25)*AA144+(1-EXP(-LN(2)/25))/(LN(2)/25)*Calculateur!V145*Calculateur!X145*VLOOKUP('Données projet'!$B$9,Paramètres!$A$1:$I$89,3,0)*0.475*44/12</f>
        <v>3.8754020910915217</v>
      </c>
      <c r="AB145" s="23">
        <f>EXP(-LN(2)/2)*AB144+(1-EXP(-LN(2)/2))/(LN(2)/2)*V145*Y145*VLOOKUP('Données projet'!$B$9,Paramètres!$A$1:$I$89,3,0)*0.475*44/12</f>
        <v>2.9676376655348493E-11</v>
      </c>
      <c r="AC145" s="24">
        <f t="shared" si="111"/>
        <v>21.065907347581398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273.00000000000023</v>
      </c>
      <c r="AJ145" s="14">
        <f>AI145*VLOOKUP('Données projet'!$B$10,Paramètres!$A$1:$I$89,3,0)*VLOOKUP('Données projet'!$B$10,Paramètres!$A$1:$I$89,5,0)</f>
        <v>212.9400000000002</v>
      </c>
      <c r="AK145" s="14">
        <f t="shared" si="143"/>
        <v>52.577528895212915</v>
      </c>
      <c r="AL145" s="22">
        <f t="shared" si="112"/>
        <v>462.44302949249618</v>
      </c>
      <c r="AM145" s="62">
        <f t="shared" si="113"/>
        <v>748.13818699555532</v>
      </c>
      <c r="AN145" s="62">
        <f ca="1">AVERAGE(OFFSET($AM$3,0,0,'Données projet'!$E$10+1,1))-AVERAGE(OFFSET($H$3,0,0,'Données projet'!$E$10+1,1))</f>
        <v>304.39782420428173</v>
      </c>
      <c r="AO145" s="62">
        <f t="shared" si="144"/>
        <v>360.34132229290537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6.4341042320696955</v>
      </c>
      <c r="AV145" s="23">
        <f>EXP(-LN(2)/25)*AV144+(1-EXP(-LN(2)/25))/(LN(2)/25)*Calculateur!AQ145*Calculateur!AS145*VLOOKUP('Données projet'!$B$10,Paramètres!$A$1:$I$89,3,0)*0.475*44/12</f>
        <v>0.61074678597481213</v>
      </c>
      <c r="AW145" s="23">
        <f>EXP(-LN(2)/2)*AW144+(1-EXP(-LN(2)/2))/(LN(2)/2)*AQ145*AT145*VLOOKUP('Données projet'!$B$10,Paramètres!$A$1:$I$89,3,0)*0.475*44/12</f>
        <v>2.2347757146445274E-12</v>
      </c>
      <c r="AX145" s="23">
        <f t="shared" si="114"/>
        <v>7.0448510180467423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273.00000000000023</v>
      </c>
      <c r="BE145" s="14">
        <f>BD145*VLOOKUP('Données projet'!$B$11,Paramètres!$A$1:$I$89,3,0)*VLOOKUP('Données projet'!$B$11,Paramètres!$A$1:$I$89,5,0)</f>
        <v>212.9400000000002</v>
      </c>
      <c r="BF145" s="14">
        <f t="shared" si="145"/>
        <v>52.577528895212915</v>
      </c>
      <c r="BG145" s="22">
        <f t="shared" si="115"/>
        <v>462.44302949249618</v>
      </c>
      <c r="BH145" s="62">
        <f t="shared" si="116"/>
        <v>748.13818699555532</v>
      </c>
      <c r="BI145" s="62">
        <f ca="1">AVERAGE(OFFSET($BH$3,0,0,'Données projet'!$E$11+1,1))-AVERAGE(OFFSET($H$3,0,0,'Données projet'!$E$11+1,1))</f>
        <v>304.39782420428173</v>
      </c>
      <c r="BJ145" s="62">
        <f t="shared" si="146"/>
        <v>360.34132229290537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6.4341042320696955</v>
      </c>
      <c r="BQ145" s="23">
        <f>EXP(-LN(2)/25)*BQ144+(1-EXP(-LN(2)/25))/(LN(2)/25)*Calculateur!BL145*Calculateur!BN145*VLOOKUP('Données projet'!$B$11,Paramètres!$A$1:$I$89,3,0)*0.475*44/12</f>
        <v>0.61074678597481213</v>
      </c>
      <c r="BR145" s="23">
        <f>EXP(-LN(2)/2)*BR144+(1-EXP(-LN(2)/2))/(LN(2)/2)*BL145*BO145*VLOOKUP('Données projet'!$B$11,Paramètres!$A$1:$I$89,3,0)*0.475*44/12</f>
        <v>2.2347757146445274E-12</v>
      </c>
      <c r="BS145" s="24">
        <f t="shared" si="117"/>
        <v>7.0448510180467423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273.00000000000023</v>
      </c>
      <c r="BZ145" s="14">
        <f>BY145*VLOOKUP('Données projet'!$B$12,Paramètres!$A$1:$I$89,3,0)*VLOOKUP('Données projet'!$B$12,Paramètres!$A$1:$I$89,5,0)</f>
        <v>212.9400000000002</v>
      </c>
      <c r="CA145" s="14">
        <f t="shared" si="147"/>
        <v>52.577528895212915</v>
      </c>
      <c r="CB145" s="22">
        <f t="shared" si="118"/>
        <v>462.44302949249618</v>
      </c>
      <c r="CC145" s="62">
        <f t="shared" si="119"/>
        <v>748.13818699555532</v>
      </c>
      <c r="CD145" s="62">
        <f ca="1">AVERAGE(OFFSET($CC$3,0,0,'Données projet'!$E$12+1,1))-AVERAGE(OFFSET($H$3,0,0,'Données projet'!$E$12+1,1))</f>
        <v>304.39782420428173</v>
      </c>
      <c r="CE145" s="62">
        <f t="shared" si="148"/>
        <v>360.34132229290537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6.4341042320696955</v>
      </c>
      <c r="CL145" s="23">
        <f>EXP(-LN(2)/25)*CL144+(1-EXP(-LN(2)/25))/(LN(2)/25)*Calculateur!CG145*Calculateur!CI145*VLOOKUP('Données projet'!$B$12,Paramètres!$A$1:$I$89,3,0)*0.475*44/12</f>
        <v>0.61074678597481213</v>
      </c>
      <c r="CM145" s="23">
        <f>EXP(-LN(2)/2)*CM144+(1-EXP(-LN(2)/2))/(LN(2)/2)*CG145*CJ145*VLOOKUP('Données projet'!$B$12,Paramètres!$A$1:$I$89,3,0)*0.475*44/12</f>
        <v>2.2347757146445274E-12</v>
      </c>
      <c r="CN145" s="24">
        <f t="shared" si="120"/>
        <v>7.0448510180467423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1.7053025658242404E-13</v>
      </c>
      <c r="O146" s="14">
        <f>N146*VLOOKUP('Données projet'!$B$9,Paramètres!$A$1:$I$89,3,0)*VLOOKUP('Données projet'!$B$9,Paramètres!$A$1:$I$89,5,0)</f>
        <v>7.9808160080574461E-14</v>
      </c>
      <c r="P146" s="14">
        <f t="shared" si="141"/>
        <v>1.2308384591775343E-12</v>
      </c>
      <c r="Q146" s="22">
        <f t="shared" si="108"/>
        <v>2.282709528541206E-12</v>
      </c>
      <c r="R146" s="62">
        <f t="shared" si="109"/>
        <v>285.82766277731372</v>
      </c>
      <c r="S146" s="62">
        <f ca="1">AVERAGE(OFFSET($R$3,0,0,'Données projet'!$E$9+1,1))-AVERAGE(OFFSET($H$3,0,0,'Données projet'!$E$9+1,1))</f>
        <v>234.81928430389272</v>
      </c>
      <c r="T146" s="62">
        <f t="shared" si="142"/>
        <v>294.47057757403411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16.853409933553895</v>
      </c>
      <c r="AA146" s="23">
        <f>EXP(-LN(2)/25)*AA145+(1-EXP(-LN(2)/25))/(LN(2)/25)*Calculateur!V146*Calculateur!X146*VLOOKUP('Données projet'!$B$9,Paramètres!$A$1:$I$89,3,0)*0.475*44/12</f>
        <v>3.7694290171120852</v>
      </c>
      <c r="AB146" s="23">
        <f>EXP(-LN(2)/2)*AB145+(1-EXP(-LN(2)/2))/(LN(2)/2)*V146*Y146*VLOOKUP('Données projet'!$B$9,Paramètres!$A$1:$I$89,3,0)*0.475*44/12</f>
        <v>2.0984367174043075E-11</v>
      </c>
      <c r="AC146" s="24">
        <f t="shared" si="111"/>
        <v>20.622838950686965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273.00000000000023</v>
      </c>
      <c r="AJ146" s="14">
        <f>AI146*VLOOKUP('Données projet'!$B$10,Paramètres!$A$1:$I$89,3,0)*VLOOKUP('Données projet'!$B$10,Paramètres!$A$1:$I$89,5,0)</f>
        <v>212.9400000000002</v>
      </c>
      <c r="AK146" s="14">
        <f t="shared" si="143"/>
        <v>52.577528895212915</v>
      </c>
      <c r="AL146" s="22">
        <f t="shared" si="112"/>
        <v>462.44302949249618</v>
      </c>
      <c r="AM146" s="62">
        <f t="shared" si="113"/>
        <v>748.27069226980757</v>
      </c>
      <c r="AN146" s="62">
        <f ca="1">AVERAGE(OFFSET($AM$3,0,0,'Données projet'!$E$10+1,1))-AVERAGE(OFFSET($H$3,0,0,'Données projet'!$E$10+1,1))</f>
        <v>304.39782420428173</v>
      </c>
      <c r="AO146" s="62">
        <f t="shared" si="144"/>
        <v>360.34132229290537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6.3079353724948861</v>
      </c>
      <c r="AV146" s="23">
        <f>EXP(-LN(2)/25)*AV145+(1-EXP(-LN(2)/25))/(LN(2)/25)*Calculateur!AQ146*Calculateur!AS146*VLOOKUP('Données projet'!$B$10,Paramètres!$A$1:$I$89,3,0)*0.475*44/12</f>
        <v>0.5940458829945533</v>
      </c>
      <c r="AW146" s="23">
        <f>EXP(-LN(2)/2)*AW145+(1-EXP(-LN(2)/2))/(LN(2)/2)*AQ146*AT146*VLOOKUP('Données projet'!$B$10,Paramètres!$A$1:$I$89,3,0)*0.475*44/12</f>
        <v>1.5802250622561582E-12</v>
      </c>
      <c r="AX146" s="23">
        <f t="shared" si="114"/>
        <v>6.9019812554910196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273.00000000000023</v>
      </c>
      <c r="BE146" s="14">
        <f>BD146*VLOOKUP('Données projet'!$B$11,Paramètres!$A$1:$I$89,3,0)*VLOOKUP('Données projet'!$B$11,Paramètres!$A$1:$I$89,5,0)</f>
        <v>212.9400000000002</v>
      </c>
      <c r="BF146" s="14">
        <f t="shared" si="145"/>
        <v>52.577528895212915</v>
      </c>
      <c r="BG146" s="22">
        <f t="shared" si="115"/>
        <v>462.44302949249618</v>
      </c>
      <c r="BH146" s="62">
        <f t="shared" si="116"/>
        <v>748.27069226980757</v>
      </c>
      <c r="BI146" s="62">
        <f ca="1">AVERAGE(OFFSET($BH$3,0,0,'Données projet'!$E$11+1,1))-AVERAGE(OFFSET($H$3,0,0,'Données projet'!$E$11+1,1))</f>
        <v>304.39782420428173</v>
      </c>
      <c r="BJ146" s="62">
        <f t="shared" si="146"/>
        <v>360.34132229290537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6.3079353724948861</v>
      </c>
      <c r="BQ146" s="23">
        <f>EXP(-LN(2)/25)*BQ145+(1-EXP(-LN(2)/25))/(LN(2)/25)*Calculateur!BL146*Calculateur!BN146*VLOOKUP('Données projet'!$B$11,Paramètres!$A$1:$I$89,3,0)*0.475*44/12</f>
        <v>0.5940458829945533</v>
      </c>
      <c r="BR146" s="23">
        <f>EXP(-LN(2)/2)*BR145+(1-EXP(-LN(2)/2))/(LN(2)/2)*BL146*BO146*VLOOKUP('Données projet'!$B$11,Paramètres!$A$1:$I$89,3,0)*0.475*44/12</f>
        <v>1.5802250622561582E-12</v>
      </c>
      <c r="BS146" s="24">
        <f t="shared" si="117"/>
        <v>6.9019812554910196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273.00000000000023</v>
      </c>
      <c r="BZ146" s="14">
        <f>BY146*VLOOKUP('Données projet'!$B$12,Paramètres!$A$1:$I$89,3,0)*VLOOKUP('Données projet'!$B$12,Paramètres!$A$1:$I$89,5,0)</f>
        <v>212.9400000000002</v>
      </c>
      <c r="CA146" s="14">
        <f t="shared" si="147"/>
        <v>52.577528895212915</v>
      </c>
      <c r="CB146" s="22">
        <f t="shared" si="118"/>
        <v>462.44302949249618</v>
      </c>
      <c r="CC146" s="62">
        <f t="shared" si="119"/>
        <v>748.27069226980757</v>
      </c>
      <c r="CD146" s="62">
        <f ca="1">AVERAGE(OFFSET($CC$3,0,0,'Données projet'!$E$12+1,1))-AVERAGE(OFFSET($H$3,0,0,'Données projet'!$E$12+1,1))</f>
        <v>304.39782420428173</v>
      </c>
      <c r="CE146" s="62">
        <f t="shared" si="148"/>
        <v>360.34132229290537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6.3079353724948861</v>
      </c>
      <c r="CL146" s="23">
        <f>EXP(-LN(2)/25)*CL145+(1-EXP(-LN(2)/25))/(LN(2)/25)*Calculateur!CG146*Calculateur!CI146*VLOOKUP('Données projet'!$B$12,Paramètres!$A$1:$I$89,3,0)*0.475*44/12</f>
        <v>0.5940458829945533</v>
      </c>
      <c r="CM146" s="23">
        <f>EXP(-LN(2)/2)*CM145+(1-EXP(-LN(2)/2))/(LN(2)/2)*CG146*CJ146*VLOOKUP('Données projet'!$B$12,Paramètres!$A$1:$I$89,3,0)*0.475*44/12</f>
        <v>1.5802250622561582E-12</v>
      </c>
      <c r="CN146" s="24">
        <f t="shared" si="120"/>
        <v>6.9019812554910196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1.7053025658242404E-13</v>
      </c>
      <c r="O147" s="14">
        <f>N147*VLOOKUP('Données projet'!$B$9,Paramètres!$A$1:$I$89,3,0)*VLOOKUP('Données projet'!$B$9,Paramètres!$A$1:$I$89,5,0)</f>
        <v>7.9808160080574461E-14</v>
      </c>
      <c r="P147" s="14">
        <f t="shared" si="141"/>
        <v>1.2308384591775343E-12</v>
      </c>
      <c r="Q147" s="22">
        <f t="shared" si="108"/>
        <v>2.282709528541206E-12</v>
      </c>
      <c r="R147" s="62">
        <f t="shared" si="109"/>
        <v>285.95786938129515</v>
      </c>
      <c r="S147" s="62">
        <f ca="1">AVERAGE(OFFSET($R$3,0,0,'Données projet'!$E$9+1,1))-AVERAGE(OFFSET($H$3,0,0,'Données projet'!$E$9+1,1))</f>
        <v>234.81928430389272</v>
      </c>
      <c r="T147" s="62">
        <f t="shared" si="142"/>
        <v>294.47057757403411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16.522924844321938</v>
      </c>
      <c r="AA147" s="23">
        <f>EXP(-LN(2)/25)*AA146+(1-EXP(-LN(2)/25))/(LN(2)/25)*Calculateur!V147*Calculateur!X147*VLOOKUP('Données projet'!$B$9,Paramètres!$A$1:$I$89,3,0)*0.475*44/12</f>
        <v>3.6663537824134984</v>
      </c>
      <c r="AB147" s="23">
        <f>EXP(-LN(2)/2)*AB146+(1-EXP(-LN(2)/2))/(LN(2)/2)*V147*Y147*VLOOKUP('Données projet'!$B$9,Paramètres!$A$1:$I$89,3,0)*0.475*44/12</f>
        <v>1.4838188327674247E-11</v>
      </c>
      <c r="AC147" s="24">
        <f t="shared" si="111"/>
        <v>20.189278626750276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273.00000000000023</v>
      </c>
      <c r="AJ147" s="14">
        <f>AI147*VLOOKUP('Données projet'!$B$10,Paramètres!$A$1:$I$89,3,0)*VLOOKUP('Données projet'!$B$10,Paramètres!$A$1:$I$89,5,0)</f>
        <v>212.9400000000002</v>
      </c>
      <c r="AK147" s="14">
        <f t="shared" si="143"/>
        <v>52.577528895212915</v>
      </c>
      <c r="AL147" s="22">
        <f t="shared" si="112"/>
        <v>462.44302949249618</v>
      </c>
      <c r="AM147" s="62">
        <f t="shared" si="113"/>
        <v>748.40089887378906</v>
      </c>
      <c r="AN147" s="62">
        <f ca="1">AVERAGE(OFFSET($AM$3,0,0,'Données projet'!$E$10+1,1))-AVERAGE(OFFSET($H$3,0,0,'Données projet'!$E$10+1,1))</f>
        <v>304.39782420428173</v>
      </c>
      <c r="AO147" s="62">
        <f t="shared" si="144"/>
        <v>360.34132229290537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6.1842406073009331</v>
      </c>
      <c r="AV147" s="23">
        <f>EXP(-LN(2)/25)*AV146+(1-EXP(-LN(2)/25))/(LN(2)/25)*Calculateur!AQ147*Calculateur!AS147*VLOOKUP('Données projet'!$B$10,Paramètres!$A$1:$I$89,3,0)*0.475*44/12</f>
        <v>0.57780166708455194</v>
      </c>
      <c r="AW147" s="23">
        <f>EXP(-LN(2)/2)*AW146+(1-EXP(-LN(2)/2))/(LN(2)/2)*AQ147*AT147*VLOOKUP('Données projet'!$B$10,Paramètres!$A$1:$I$89,3,0)*0.475*44/12</f>
        <v>1.1173878573222637E-12</v>
      </c>
      <c r="AX147" s="23">
        <f t="shared" si="114"/>
        <v>6.7620422743866024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273.00000000000023</v>
      </c>
      <c r="BE147" s="14">
        <f>BD147*VLOOKUP('Données projet'!$B$11,Paramètres!$A$1:$I$89,3,0)*VLOOKUP('Données projet'!$B$11,Paramètres!$A$1:$I$89,5,0)</f>
        <v>212.9400000000002</v>
      </c>
      <c r="BF147" s="14">
        <f t="shared" si="145"/>
        <v>52.577528895212915</v>
      </c>
      <c r="BG147" s="22">
        <f t="shared" si="115"/>
        <v>462.44302949249618</v>
      </c>
      <c r="BH147" s="62">
        <f t="shared" si="116"/>
        <v>748.40089887378906</v>
      </c>
      <c r="BI147" s="62">
        <f ca="1">AVERAGE(OFFSET($BH$3,0,0,'Données projet'!$E$11+1,1))-AVERAGE(OFFSET($H$3,0,0,'Données projet'!$E$11+1,1))</f>
        <v>304.39782420428173</v>
      </c>
      <c r="BJ147" s="62">
        <f t="shared" si="146"/>
        <v>360.34132229290537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6.1842406073009331</v>
      </c>
      <c r="BQ147" s="23">
        <f>EXP(-LN(2)/25)*BQ146+(1-EXP(-LN(2)/25))/(LN(2)/25)*Calculateur!BL147*Calculateur!BN147*VLOOKUP('Données projet'!$B$11,Paramètres!$A$1:$I$89,3,0)*0.475*44/12</f>
        <v>0.57780166708455194</v>
      </c>
      <c r="BR147" s="23">
        <f>EXP(-LN(2)/2)*BR146+(1-EXP(-LN(2)/2))/(LN(2)/2)*BL147*BO147*VLOOKUP('Données projet'!$B$11,Paramètres!$A$1:$I$89,3,0)*0.475*44/12</f>
        <v>1.1173878573222637E-12</v>
      </c>
      <c r="BS147" s="24">
        <f t="shared" si="117"/>
        <v>6.7620422743866024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273.00000000000023</v>
      </c>
      <c r="BZ147" s="14">
        <f>BY147*VLOOKUP('Données projet'!$B$12,Paramètres!$A$1:$I$89,3,0)*VLOOKUP('Données projet'!$B$12,Paramètres!$A$1:$I$89,5,0)</f>
        <v>212.9400000000002</v>
      </c>
      <c r="CA147" s="14">
        <f t="shared" si="147"/>
        <v>52.577528895212915</v>
      </c>
      <c r="CB147" s="22">
        <f t="shared" si="118"/>
        <v>462.44302949249618</v>
      </c>
      <c r="CC147" s="62">
        <f t="shared" si="119"/>
        <v>748.40089887378906</v>
      </c>
      <c r="CD147" s="62">
        <f ca="1">AVERAGE(OFFSET($CC$3,0,0,'Données projet'!$E$12+1,1))-AVERAGE(OFFSET($H$3,0,0,'Données projet'!$E$12+1,1))</f>
        <v>304.39782420428173</v>
      </c>
      <c r="CE147" s="62">
        <f t="shared" si="148"/>
        <v>360.34132229290537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6.1842406073009331</v>
      </c>
      <c r="CL147" s="23">
        <f>EXP(-LN(2)/25)*CL146+(1-EXP(-LN(2)/25))/(LN(2)/25)*Calculateur!CG147*Calculateur!CI147*VLOOKUP('Données projet'!$B$12,Paramètres!$A$1:$I$89,3,0)*0.475*44/12</f>
        <v>0.57780166708455194</v>
      </c>
      <c r="CM147" s="23">
        <f>EXP(-LN(2)/2)*CM146+(1-EXP(-LN(2)/2))/(LN(2)/2)*CG147*CJ147*VLOOKUP('Données projet'!$B$12,Paramètres!$A$1:$I$89,3,0)*0.475*44/12</f>
        <v>1.1173878573222637E-12</v>
      </c>
      <c r="CN147" s="24">
        <f t="shared" si="120"/>
        <v>6.7620422743866024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1.7053025658242404E-13</v>
      </c>
      <c r="O148" s="14">
        <f>N148*VLOOKUP('Données projet'!$B$9,Paramètres!$A$1:$I$89,3,0)*VLOOKUP('Données projet'!$B$9,Paramètres!$A$1:$I$89,5,0)</f>
        <v>7.9808160080574461E-14</v>
      </c>
      <c r="P148" s="14">
        <f t="shared" si="141"/>
        <v>1.2308384591775343E-12</v>
      </c>
      <c r="Q148" s="22">
        <f t="shared" si="108"/>
        <v>2.282709528541206E-12</v>
      </c>
      <c r="R148" s="62">
        <f t="shared" si="109"/>
        <v>286.08581719179585</v>
      </c>
      <c r="S148" s="62">
        <f ca="1">AVERAGE(OFFSET($R$3,0,0,'Données projet'!$E$9+1,1))-AVERAGE(OFFSET($H$3,0,0,'Données projet'!$E$9+1,1))</f>
        <v>234.81928430389272</v>
      </c>
      <c r="T148" s="62">
        <f t="shared" si="142"/>
        <v>294.47057757403411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16.198920366113821</v>
      </c>
      <c r="AA148" s="23">
        <f>EXP(-LN(2)/25)*AA147+(1-EXP(-LN(2)/25))/(LN(2)/25)*Calculateur!V148*Calculateur!X148*VLOOKUP('Données projet'!$B$9,Paramètres!$A$1:$I$89,3,0)*0.475*44/12</f>
        <v>3.5660971454282353</v>
      </c>
      <c r="AB148" s="23">
        <f>EXP(-LN(2)/2)*AB147+(1-EXP(-LN(2)/2))/(LN(2)/2)*V148*Y148*VLOOKUP('Données projet'!$B$9,Paramètres!$A$1:$I$89,3,0)*0.475*44/12</f>
        <v>1.0492183587021537E-11</v>
      </c>
      <c r="AC148" s="24">
        <f t="shared" si="111"/>
        <v>19.765017511552546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273.00000000000023</v>
      </c>
      <c r="AJ148" s="14">
        <f>AI148*VLOOKUP('Données projet'!$B$10,Paramètres!$A$1:$I$89,3,0)*VLOOKUP('Données projet'!$B$10,Paramètres!$A$1:$I$89,5,0)</f>
        <v>212.9400000000002</v>
      </c>
      <c r="AK148" s="14">
        <f t="shared" si="143"/>
        <v>52.577528895212915</v>
      </c>
      <c r="AL148" s="22">
        <f t="shared" si="112"/>
        <v>462.44302949249618</v>
      </c>
      <c r="AM148" s="62">
        <f t="shared" si="113"/>
        <v>748.52884668428976</v>
      </c>
      <c r="AN148" s="62">
        <f ca="1">AVERAGE(OFFSET($AM$3,0,0,'Données projet'!$E$10+1,1))-AVERAGE(OFFSET($H$3,0,0,'Données projet'!$E$10+1,1))</f>
        <v>304.39782420428173</v>
      </c>
      <c r="AO148" s="62">
        <f t="shared" si="144"/>
        <v>360.34132229290537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6.0629714210060763</v>
      </c>
      <c r="AV148" s="23">
        <f>EXP(-LN(2)/25)*AV147+(1-EXP(-LN(2)/25))/(LN(2)/25)*Calculateur!AQ148*Calculateur!AS148*VLOOKUP('Données projet'!$B$10,Paramètres!$A$1:$I$89,3,0)*0.475*44/12</f>
        <v>0.56200165011285574</v>
      </c>
      <c r="AW148" s="23">
        <f>EXP(-LN(2)/2)*AW147+(1-EXP(-LN(2)/2))/(LN(2)/2)*AQ148*AT148*VLOOKUP('Données projet'!$B$10,Paramètres!$A$1:$I$89,3,0)*0.475*44/12</f>
        <v>7.9011253112807911E-13</v>
      </c>
      <c r="AX148" s="23">
        <f t="shared" si="114"/>
        <v>6.6249730711197223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273.00000000000023</v>
      </c>
      <c r="BE148" s="14">
        <f>BD148*VLOOKUP('Données projet'!$B$11,Paramètres!$A$1:$I$89,3,0)*VLOOKUP('Données projet'!$B$11,Paramètres!$A$1:$I$89,5,0)</f>
        <v>212.9400000000002</v>
      </c>
      <c r="BF148" s="14">
        <f t="shared" si="145"/>
        <v>52.577528895212915</v>
      </c>
      <c r="BG148" s="22">
        <f t="shared" si="115"/>
        <v>462.44302949249618</v>
      </c>
      <c r="BH148" s="62">
        <f t="shared" si="116"/>
        <v>748.52884668428976</v>
      </c>
      <c r="BI148" s="62">
        <f ca="1">AVERAGE(OFFSET($BH$3,0,0,'Données projet'!$E$11+1,1))-AVERAGE(OFFSET($H$3,0,0,'Données projet'!$E$11+1,1))</f>
        <v>304.39782420428173</v>
      </c>
      <c r="BJ148" s="62">
        <f t="shared" si="146"/>
        <v>360.34132229290537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6.0629714210060763</v>
      </c>
      <c r="BQ148" s="23">
        <f>EXP(-LN(2)/25)*BQ147+(1-EXP(-LN(2)/25))/(LN(2)/25)*Calculateur!BL148*Calculateur!BN148*VLOOKUP('Données projet'!$B$11,Paramètres!$A$1:$I$89,3,0)*0.475*44/12</f>
        <v>0.56200165011285574</v>
      </c>
      <c r="BR148" s="23">
        <f>EXP(-LN(2)/2)*BR147+(1-EXP(-LN(2)/2))/(LN(2)/2)*BL148*BO148*VLOOKUP('Données projet'!$B$11,Paramètres!$A$1:$I$89,3,0)*0.475*44/12</f>
        <v>7.9011253112807911E-13</v>
      </c>
      <c r="BS148" s="24">
        <f t="shared" si="117"/>
        <v>6.6249730711197223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273.00000000000023</v>
      </c>
      <c r="BZ148" s="14">
        <f>BY148*VLOOKUP('Données projet'!$B$12,Paramètres!$A$1:$I$89,3,0)*VLOOKUP('Données projet'!$B$12,Paramètres!$A$1:$I$89,5,0)</f>
        <v>212.9400000000002</v>
      </c>
      <c r="CA148" s="14">
        <f t="shared" si="147"/>
        <v>52.577528895212915</v>
      </c>
      <c r="CB148" s="22">
        <f t="shared" si="118"/>
        <v>462.44302949249618</v>
      </c>
      <c r="CC148" s="62">
        <f t="shared" si="119"/>
        <v>748.52884668428976</v>
      </c>
      <c r="CD148" s="62">
        <f ca="1">AVERAGE(OFFSET($CC$3,0,0,'Données projet'!$E$12+1,1))-AVERAGE(OFFSET($H$3,0,0,'Données projet'!$E$12+1,1))</f>
        <v>304.39782420428173</v>
      </c>
      <c r="CE148" s="62">
        <f t="shared" si="148"/>
        <v>360.34132229290537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6.0629714210060763</v>
      </c>
      <c r="CL148" s="23">
        <f>EXP(-LN(2)/25)*CL147+(1-EXP(-LN(2)/25))/(LN(2)/25)*Calculateur!CG148*Calculateur!CI148*VLOOKUP('Données projet'!$B$12,Paramètres!$A$1:$I$89,3,0)*0.475*44/12</f>
        <v>0.56200165011285574</v>
      </c>
      <c r="CM148" s="23">
        <f>EXP(-LN(2)/2)*CM147+(1-EXP(-LN(2)/2))/(LN(2)/2)*CG148*CJ148*VLOOKUP('Données projet'!$B$12,Paramètres!$A$1:$I$89,3,0)*0.475*44/12</f>
        <v>7.9011253112807911E-13</v>
      </c>
      <c r="CN148" s="24">
        <f t="shared" si="120"/>
        <v>6.6249730711197223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1.7053025658242404E-13</v>
      </c>
      <c r="O149" s="14">
        <f>N149*VLOOKUP('Données projet'!$B$9,Paramètres!$A$1:$I$89,3,0)*VLOOKUP('Données projet'!$B$9,Paramètres!$A$1:$I$89,5,0)</f>
        <v>7.9808160080574461E-14</v>
      </c>
      <c r="P149" s="14">
        <f t="shared" si="141"/>
        <v>1.2308384591775343E-12</v>
      </c>
      <c r="Q149" s="22">
        <f t="shared" si="108"/>
        <v>2.282709528541206E-12</v>
      </c>
      <c r="R149" s="62">
        <f t="shared" si="109"/>
        <v>286.21154539383292</v>
      </c>
      <c r="S149" s="62">
        <f ca="1">AVERAGE(OFFSET($R$3,0,0,'Données projet'!$E$9+1,1))-AVERAGE(OFFSET($H$3,0,0,'Données projet'!$E$9+1,1))</f>
        <v>234.81928430389272</v>
      </c>
      <c r="T149" s="62">
        <f t="shared" si="142"/>
        <v>294.47057757403411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15.881269418100148</v>
      </c>
      <c r="AA149" s="23">
        <f>EXP(-LN(2)/25)*AA148+(1-EXP(-LN(2)/25))/(LN(2)/25)*Calculateur!V149*Calculateur!X149*VLOOKUP('Données projet'!$B$9,Paramètres!$A$1:$I$89,3,0)*0.475*44/12</f>
        <v>3.4685820314536016</v>
      </c>
      <c r="AB149" s="23">
        <f>EXP(-LN(2)/2)*AB148+(1-EXP(-LN(2)/2))/(LN(2)/2)*V149*Y149*VLOOKUP('Données projet'!$B$9,Paramètres!$A$1:$I$89,3,0)*0.475*44/12</f>
        <v>7.4190941638371233E-12</v>
      </c>
      <c r="AC149" s="24">
        <f t="shared" si="111"/>
        <v>19.349851449561168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273.00000000000023</v>
      </c>
      <c r="AJ149" s="14">
        <f>AI149*VLOOKUP('Données projet'!$B$10,Paramètres!$A$1:$I$89,3,0)*VLOOKUP('Données projet'!$B$10,Paramètres!$A$1:$I$89,5,0)</f>
        <v>212.9400000000002</v>
      </c>
      <c r="AK149" s="14">
        <f t="shared" si="143"/>
        <v>52.577528895212915</v>
      </c>
      <c r="AL149" s="22">
        <f t="shared" si="112"/>
        <v>462.44302949249618</v>
      </c>
      <c r="AM149" s="62">
        <f t="shared" si="113"/>
        <v>748.65457488632683</v>
      </c>
      <c r="AN149" s="62">
        <f ca="1">AVERAGE(OFFSET($AM$3,0,0,'Données projet'!$E$10+1,1))-AVERAGE(OFFSET($H$3,0,0,'Données projet'!$E$10+1,1))</f>
        <v>304.39782420428173</v>
      </c>
      <c r="AO149" s="62">
        <f t="shared" si="144"/>
        <v>360.34132229290537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5.9440802494875618</v>
      </c>
      <c r="AV149" s="23">
        <f>EXP(-LN(2)/25)*AV148+(1-EXP(-LN(2)/25))/(LN(2)/25)*Calculateur!AQ149*Calculateur!AS149*VLOOKUP('Données projet'!$B$10,Paramètres!$A$1:$I$89,3,0)*0.475*44/12</f>
        <v>0.54663368543613744</v>
      </c>
      <c r="AW149" s="23">
        <f>EXP(-LN(2)/2)*AW148+(1-EXP(-LN(2)/2))/(LN(2)/2)*AQ149*AT149*VLOOKUP('Données projet'!$B$10,Paramètres!$A$1:$I$89,3,0)*0.475*44/12</f>
        <v>5.5869392866113184E-13</v>
      </c>
      <c r="AX149" s="23">
        <f t="shared" si="114"/>
        <v>6.4907139349242575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273.00000000000023</v>
      </c>
      <c r="BE149" s="14">
        <f>BD149*VLOOKUP('Données projet'!$B$11,Paramètres!$A$1:$I$89,3,0)*VLOOKUP('Données projet'!$B$11,Paramètres!$A$1:$I$89,5,0)</f>
        <v>212.9400000000002</v>
      </c>
      <c r="BF149" s="14">
        <f t="shared" si="145"/>
        <v>52.577528895212915</v>
      </c>
      <c r="BG149" s="22">
        <f t="shared" si="115"/>
        <v>462.44302949249618</v>
      </c>
      <c r="BH149" s="62">
        <f t="shared" si="116"/>
        <v>748.65457488632683</v>
      </c>
      <c r="BI149" s="62">
        <f ca="1">AVERAGE(OFFSET($BH$3,0,0,'Données projet'!$E$11+1,1))-AVERAGE(OFFSET($H$3,0,0,'Données projet'!$E$11+1,1))</f>
        <v>304.39782420428173</v>
      </c>
      <c r="BJ149" s="62">
        <f t="shared" si="146"/>
        <v>360.34132229290537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5.9440802494875618</v>
      </c>
      <c r="BQ149" s="23">
        <f>EXP(-LN(2)/25)*BQ148+(1-EXP(-LN(2)/25))/(LN(2)/25)*Calculateur!BL149*Calculateur!BN149*VLOOKUP('Données projet'!$B$11,Paramètres!$A$1:$I$89,3,0)*0.475*44/12</f>
        <v>0.54663368543613744</v>
      </c>
      <c r="BR149" s="23">
        <f>EXP(-LN(2)/2)*BR148+(1-EXP(-LN(2)/2))/(LN(2)/2)*BL149*BO149*VLOOKUP('Données projet'!$B$11,Paramètres!$A$1:$I$89,3,0)*0.475*44/12</f>
        <v>5.5869392866113184E-13</v>
      </c>
      <c r="BS149" s="24">
        <f t="shared" si="117"/>
        <v>6.4907139349242575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273.00000000000023</v>
      </c>
      <c r="BZ149" s="14">
        <f>BY149*VLOOKUP('Données projet'!$B$12,Paramètres!$A$1:$I$89,3,0)*VLOOKUP('Données projet'!$B$12,Paramètres!$A$1:$I$89,5,0)</f>
        <v>212.9400000000002</v>
      </c>
      <c r="CA149" s="14">
        <f t="shared" si="147"/>
        <v>52.577528895212915</v>
      </c>
      <c r="CB149" s="22">
        <f t="shared" si="118"/>
        <v>462.44302949249618</v>
      </c>
      <c r="CC149" s="62">
        <f t="shared" si="119"/>
        <v>748.65457488632683</v>
      </c>
      <c r="CD149" s="62">
        <f ca="1">AVERAGE(OFFSET($CC$3,0,0,'Données projet'!$E$12+1,1))-AVERAGE(OFFSET($H$3,0,0,'Données projet'!$E$12+1,1))</f>
        <v>304.39782420428173</v>
      </c>
      <c r="CE149" s="62">
        <f t="shared" si="148"/>
        <v>360.34132229290537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5.9440802494875618</v>
      </c>
      <c r="CL149" s="23">
        <f>EXP(-LN(2)/25)*CL148+(1-EXP(-LN(2)/25))/(LN(2)/25)*Calculateur!CG149*Calculateur!CI149*VLOOKUP('Données projet'!$B$12,Paramètres!$A$1:$I$89,3,0)*0.475*44/12</f>
        <v>0.54663368543613744</v>
      </c>
      <c r="CM149" s="23">
        <f>EXP(-LN(2)/2)*CM148+(1-EXP(-LN(2)/2))/(LN(2)/2)*CG149*CJ149*VLOOKUP('Données projet'!$B$12,Paramètres!$A$1:$I$89,3,0)*0.475*44/12</f>
        <v>5.5869392866113184E-13</v>
      </c>
      <c r="CN149" s="24">
        <f t="shared" si="120"/>
        <v>6.4907139349242575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1.7053025658242404E-13</v>
      </c>
      <c r="O150" s="14">
        <f>N150*VLOOKUP('Données projet'!$B$9,Paramètres!$A$1:$I$89,3,0)*VLOOKUP('Données projet'!$B$9,Paramètres!$A$1:$I$89,5,0)</f>
        <v>7.9808160080574461E-14</v>
      </c>
      <c r="P150" s="14">
        <f t="shared" si="141"/>
        <v>1.2308384591775343E-12</v>
      </c>
      <c r="Q150" s="22">
        <f t="shared" si="108"/>
        <v>2.282709528541206E-12</v>
      </c>
      <c r="R150" s="62">
        <f t="shared" si="109"/>
        <v>286.33509249265069</v>
      </c>
      <c r="S150" s="62">
        <f ca="1">AVERAGE(OFFSET($R$3,0,0,'Données projet'!$E$9+1,1))-AVERAGE(OFFSET($H$3,0,0,'Données projet'!$E$9+1,1))</f>
        <v>234.81928430389272</v>
      </c>
      <c r="T150" s="62">
        <f t="shared" si="142"/>
        <v>294.47057757403411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15.569847411429075</v>
      </c>
      <c r="AA150" s="23">
        <f>EXP(-LN(2)/25)*AA149+(1-EXP(-LN(2)/25))/(LN(2)/25)*Calculateur!V150*Calculateur!X150*VLOOKUP('Données projet'!$B$9,Paramètres!$A$1:$I$89,3,0)*0.475*44/12</f>
        <v>3.3737334733987012</v>
      </c>
      <c r="AB150" s="23">
        <f>EXP(-LN(2)/2)*AB149+(1-EXP(-LN(2)/2))/(LN(2)/2)*V150*Y150*VLOOKUP('Données projet'!$B$9,Paramètres!$A$1:$I$89,3,0)*0.475*44/12</f>
        <v>5.2460917935107686E-12</v>
      </c>
      <c r="AC150" s="24">
        <f t="shared" si="111"/>
        <v>18.943580884833022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273.00000000000023</v>
      </c>
      <c r="AJ150" s="14">
        <f>AI150*VLOOKUP('Données projet'!$B$10,Paramètres!$A$1:$I$89,3,0)*VLOOKUP('Données projet'!$B$10,Paramètres!$A$1:$I$89,5,0)</f>
        <v>212.9400000000002</v>
      </c>
      <c r="AK150" s="14">
        <f t="shared" si="143"/>
        <v>52.577528895212915</v>
      </c>
      <c r="AL150" s="22">
        <f t="shared" si="112"/>
        <v>462.44302949249618</v>
      </c>
      <c r="AM150" s="62">
        <f t="shared" si="113"/>
        <v>748.77812198514459</v>
      </c>
      <c r="AN150" s="62">
        <f ca="1">AVERAGE(OFFSET($AM$3,0,0,'Données projet'!$E$10+1,1))-AVERAGE(OFFSET($H$3,0,0,'Données projet'!$E$10+1,1))</f>
        <v>304.39782420428173</v>
      </c>
      <c r="AO150" s="62">
        <f t="shared" si="144"/>
        <v>360.34132229290537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5.8275204613260714</v>
      </c>
      <c r="AV150" s="23">
        <f>EXP(-LN(2)/25)*AV149+(1-EXP(-LN(2)/25))/(LN(2)/25)*Calculateur!AQ150*Calculateur!AS150*VLOOKUP('Données projet'!$B$10,Paramètres!$A$1:$I$89,3,0)*0.475*44/12</f>
        <v>0.53168595856167011</v>
      </c>
      <c r="AW150" s="23">
        <f>EXP(-LN(2)/2)*AW149+(1-EXP(-LN(2)/2))/(LN(2)/2)*AQ150*AT150*VLOOKUP('Données projet'!$B$10,Paramètres!$A$1:$I$89,3,0)*0.475*44/12</f>
        <v>3.9505626556403956E-13</v>
      </c>
      <c r="AX150" s="23">
        <f t="shared" si="114"/>
        <v>6.3592064198881371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273.00000000000023</v>
      </c>
      <c r="BE150" s="14">
        <f>BD150*VLOOKUP('Données projet'!$B$11,Paramètres!$A$1:$I$89,3,0)*VLOOKUP('Données projet'!$B$11,Paramètres!$A$1:$I$89,5,0)</f>
        <v>212.9400000000002</v>
      </c>
      <c r="BF150" s="14">
        <f t="shared" si="145"/>
        <v>52.577528895212915</v>
      </c>
      <c r="BG150" s="22">
        <f t="shared" si="115"/>
        <v>462.44302949249618</v>
      </c>
      <c r="BH150" s="62">
        <f t="shared" si="116"/>
        <v>748.77812198514459</v>
      </c>
      <c r="BI150" s="62">
        <f ca="1">AVERAGE(OFFSET($BH$3,0,0,'Données projet'!$E$11+1,1))-AVERAGE(OFFSET($H$3,0,0,'Données projet'!$E$11+1,1))</f>
        <v>304.39782420428173</v>
      </c>
      <c r="BJ150" s="62">
        <f t="shared" si="146"/>
        <v>360.34132229290537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5.8275204613260714</v>
      </c>
      <c r="BQ150" s="23">
        <f>EXP(-LN(2)/25)*BQ149+(1-EXP(-LN(2)/25))/(LN(2)/25)*Calculateur!BL150*Calculateur!BN150*VLOOKUP('Données projet'!$B$11,Paramètres!$A$1:$I$89,3,0)*0.475*44/12</f>
        <v>0.53168595856167011</v>
      </c>
      <c r="BR150" s="23">
        <f>EXP(-LN(2)/2)*BR149+(1-EXP(-LN(2)/2))/(LN(2)/2)*BL150*BO150*VLOOKUP('Données projet'!$B$11,Paramètres!$A$1:$I$89,3,0)*0.475*44/12</f>
        <v>3.9505626556403956E-13</v>
      </c>
      <c r="BS150" s="24">
        <f t="shared" si="117"/>
        <v>6.3592064198881371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273.00000000000023</v>
      </c>
      <c r="BZ150" s="14">
        <f>BY150*VLOOKUP('Données projet'!$B$12,Paramètres!$A$1:$I$89,3,0)*VLOOKUP('Données projet'!$B$12,Paramètres!$A$1:$I$89,5,0)</f>
        <v>212.9400000000002</v>
      </c>
      <c r="CA150" s="14">
        <f t="shared" si="147"/>
        <v>52.577528895212915</v>
      </c>
      <c r="CB150" s="22">
        <f t="shared" si="118"/>
        <v>462.44302949249618</v>
      </c>
      <c r="CC150" s="62">
        <f t="shared" si="119"/>
        <v>748.77812198514459</v>
      </c>
      <c r="CD150" s="62">
        <f ca="1">AVERAGE(OFFSET($CC$3,0,0,'Données projet'!$E$12+1,1))-AVERAGE(OFFSET($H$3,0,0,'Données projet'!$E$12+1,1))</f>
        <v>304.39782420428173</v>
      </c>
      <c r="CE150" s="62">
        <f t="shared" si="148"/>
        <v>360.34132229290537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5.8275204613260714</v>
      </c>
      <c r="CL150" s="23">
        <f>EXP(-LN(2)/25)*CL149+(1-EXP(-LN(2)/25))/(LN(2)/25)*Calculateur!CG150*Calculateur!CI150*VLOOKUP('Données projet'!$B$12,Paramètres!$A$1:$I$89,3,0)*0.475*44/12</f>
        <v>0.53168595856167011</v>
      </c>
      <c r="CM150" s="23">
        <f>EXP(-LN(2)/2)*CM149+(1-EXP(-LN(2)/2))/(LN(2)/2)*CG150*CJ150*VLOOKUP('Données projet'!$B$12,Paramètres!$A$1:$I$89,3,0)*0.475*44/12</f>
        <v>3.9505626556403956E-13</v>
      </c>
      <c r="CN150" s="24">
        <f t="shared" si="120"/>
        <v>6.3592064198881371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1.7053025658242404E-13</v>
      </c>
      <c r="O151" s="14">
        <f>N151*VLOOKUP('Données projet'!$B$9,Paramètres!$A$1:$I$89,3,0)*VLOOKUP('Données projet'!$B$9,Paramètres!$A$1:$I$89,5,0)</f>
        <v>7.9808160080574461E-14</v>
      </c>
      <c r="P151" s="14">
        <f t="shared" si="141"/>
        <v>1.2308384591775343E-12</v>
      </c>
      <c r="Q151" s="22">
        <f t="shared" si="108"/>
        <v>2.282709528541206E-12</v>
      </c>
      <c r="R151" s="62">
        <f t="shared" si="109"/>
        <v>286.45649632551397</v>
      </c>
      <c r="S151" s="62">
        <f ca="1">AVERAGE(OFFSET($R$3,0,0,'Données projet'!$E$9+1,1))-AVERAGE(OFFSET($H$3,0,0,'Données projet'!$E$9+1,1))</f>
        <v>234.81928430389272</v>
      </c>
      <c r="T151" s="62">
        <f t="shared" si="142"/>
        <v>294.47057757403411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15.264532200360154</v>
      </c>
      <c r="AA151" s="23">
        <f>EXP(-LN(2)/25)*AA150+(1-EXP(-LN(2)/25))/(LN(2)/25)*Calculateur!V151*Calculateur!X151*VLOOKUP('Données projet'!$B$9,Paramètres!$A$1:$I$89,3,0)*0.475*44/12</f>
        <v>3.2814785541516813</v>
      </c>
      <c r="AB151" s="23">
        <f>EXP(-LN(2)/2)*AB150+(1-EXP(-LN(2)/2))/(LN(2)/2)*V151*Y151*VLOOKUP('Données projet'!$B$9,Paramètres!$A$1:$I$89,3,0)*0.475*44/12</f>
        <v>3.7095470819185617E-12</v>
      </c>
      <c r="AC151" s="24">
        <f t="shared" si="111"/>
        <v>18.546010754515546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273.00000000000023</v>
      </c>
      <c r="AJ151" s="14">
        <f>AI151*VLOOKUP('Données projet'!$B$10,Paramètres!$A$1:$I$89,3,0)*VLOOKUP('Données projet'!$B$10,Paramètres!$A$1:$I$89,5,0)</f>
        <v>212.9400000000002</v>
      </c>
      <c r="AK151" s="14">
        <f t="shared" si="143"/>
        <v>52.577528895212915</v>
      </c>
      <c r="AL151" s="22">
        <f t="shared" si="112"/>
        <v>462.44302949249618</v>
      </c>
      <c r="AM151" s="62">
        <f t="shared" si="113"/>
        <v>748.89952581800787</v>
      </c>
      <c r="AN151" s="62">
        <f ca="1">AVERAGE(OFFSET($AM$3,0,0,'Données projet'!$E$10+1,1))-AVERAGE(OFFSET($H$3,0,0,'Données projet'!$E$10+1,1))</f>
        <v>304.39782420428173</v>
      </c>
      <c r="AO151" s="62">
        <f t="shared" si="144"/>
        <v>360.34132229290537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5.7132463395159769</v>
      </c>
      <c r="AV151" s="23">
        <f>EXP(-LN(2)/25)*AV150+(1-EXP(-LN(2)/25))/(LN(2)/25)*Calculateur!AQ151*Calculateur!AS151*VLOOKUP('Données projet'!$B$10,Paramètres!$A$1:$I$89,3,0)*0.475*44/12</f>
        <v>0.51714697806465182</v>
      </c>
      <c r="AW151" s="23">
        <f>EXP(-LN(2)/2)*AW150+(1-EXP(-LN(2)/2))/(LN(2)/2)*AQ151*AT151*VLOOKUP('Données projet'!$B$10,Paramètres!$A$1:$I$89,3,0)*0.475*44/12</f>
        <v>2.7934696433056592E-13</v>
      </c>
      <c r="AX151" s="23">
        <f t="shared" si="114"/>
        <v>6.2303933175809085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273.00000000000023</v>
      </c>
      <c r="BE151" s="14">
        <f>BD151*VLOOKUP('Données projet'!$B$11,Paramètres!$A$1:$I$89,3,0)*VLOOKUP('Données projet'!$B$11,Paramètres!$A$1:$I$89,5,0)</f>
        <v>212.9400000000002</v>
      </c>
      <c r="BF151" s="14">
        <f t="shared" si="145"/>
        <v>52.577528895212915</v>
      </c>
      <c r="BG151" s="22">
        <f t="shared" si="115"/>
        <v>462.44302949249618</v>
      </c>
      <c r="BH151" s="62">
        <f t="shared" si="116"/>
        <v>748.89952581800787</v>
      </c>
      <c r="BI151" s="62">
        <f ca="1">AVERAGE(OFFSET($BH$3,0,0,'Données projet'!$E$11+1,1))-AVERAGE(OFFSET($H$3,0,0,'Données projet'!$E$11+1,1))</f>
        <v>304.39782420428173</v>
      </c>
      <c r="BJ151" s="62">
        <f t="shared" si="146"/>
        <v>360.34132229290537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5.7132463395159769</v>
      </c>
      <c r="BQ151" s="23">
        <f>EXP(-LN(2)/25)*BQ150+(1-EXP(-LN(2)/25))/(LN(2)/25)*Calculateur!BL151*Calculateur!BN151*VLOOKUP('Données projet'!$B$11,Paramètres!$A$1:$I$89,3,0)*0.475*44/12</f>
        <v>0.51714697806465182</v>
      </c>
      <c r="BR151" s="23">
        <f>EXP(-LN(2)/2)*BR150+(1-EXP(-LN(2)/2))/(LN(2)/2)*BL151*BO151*VLOOKUP('Données projet'!$B$11,Paramètres!$A$1:$I$89,3,0)*0.475*44/12</f>
        <v>2.7934696433056592E-13</v>
      </c>
      <c r="BS151" s="24">
        <f t="shared" si="117"/>
        <v>6.2303933175809085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273.00000000000023</v>
      </c>
      <c r="BZ151" s="14">
        <f>BY151*VLOOKUP('Données projet'!$B$12,Paramètres!$A$1:$I$89,3,0)*VLOOKUP('Données projet'!$B$12,Paramètres!$A$1:$I$89,5,0)</f>
        <v>212.9400000000002</v>
      </c>
      <c r="CA151" s="14">
        <f t="shared" si="147"/>
        <v>52.577528895212915</v>
      </c>
      <c r="CB151" s="22">
        <f t="shared" si="118"/>
        <v>462.44302949249618</v>
      </c>
      <c r="CC151" s="62">
        <f t="shared" si="119"/>
        <v>748.89952581800787</v>
      </c>
      <c r="CD151" s="62">
        <f ca="1">AVERAGE(OFFSET($CC$3,0,0,'Données projet'!$E$12+1,1))-AVERAGE(OFFSET($H$3,0,0,'Données projet'!$E$12+1,1))</f>
        <v>304.39782420428173</v>
      </c>
      <c r="CE151" s="62">
        <f t="shared" si="148"/>
        <v>360.34132229290537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5.7132463395159769</v>
      </c>
      <c r="CL151" s="23">
        <f>EXP(-LN(2)/25)*CL150+(1-EXP(-LN(2)/25))/(LN(2)/25)*Calculateur!CG151*Calculateur!CI151*VLOOKUP('Données projet'!$B$12,Paramètres!$A$1:$I$89,3,0)*0.475*44/12</f>
        <v>0.51714697806465182</v>
      </c>
      <c r="CM151" s="23">
        <f>EXP(-LN(2)/2)*CM150+(1-EXP(-LN(2)/2))/(LN(2)/2)*CG151*CJ151*VLOOKUP('Données projet'!$B$12,Paramètres!$A$1:$I$89,3,0)*0.475*44/12</f>
        <v>2.7934696433056592E-13</v>
      </c>
      <c r="CN151" s="24">
        <f t="shared" si="120"/>
        <v>6.2303933175809085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1.7053025658242404E-13</v>
      </c>
      <c r="O152" s="14">
        <f>N152*VLOOKUP('Données projet'!$B$9,Paramètres!$A$1:$I$89,3,0)*VLOOKUP('Données projet'!$B$9,Paramètres!$A$1:$I$89,5,0)</f>
        <v>7.9808160080574461E-14</v>
      </c>
      <c r="P152" s="14">
        <f t="shared" si="141"/>
        <v>1.2308384591775343E-12</v>
      </c>
      <c r="Q152" s="22">
        <f t="shared" si="108"/>
        <v>2.282709528541206E-12</v>
      </c>
      <c r="R152" s="62">
        <f t="shared" si="109"/>
        <v>286.57579407329536</v>
      </c>
      <c r="S152" s="62">
        <f ca="1">AVERAGE(OFFSET($R$3,0,0,'Données projet'!$E$9+1,1))-AVERAGE(OFFSET($H$3,0,0,'Données projet'!$E$9+1,1))</f>
        <v>234.81928430389272</v>
      </c>
      <c r="T152" s="62">
        <f t="shared" si="142"/>
        <v>294.47057757403411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14.965204034356404</v>
      </c>
      <c r="AA152" s="23">
        <f>EXP(-LN(2)/25)*AA151+(1-EXP(-LN(2)/25))/(LN(2)/25)*Calculateur!V152*Calculateur!X152*VLOOKUP('Données projet'!$B$9,Paramètres!$A$1:$I$89,3,0)*0.475*44/12</f>
        <v>3.1917463505229464</v>
      </c>
      <c r="AB152" s="23">
        <f>EXP(-LN(2)/2)*AB151+(1-EXP(-LN(2)/2))/(LN(2)/2)*V152*Y152*VLOOKUP('Données projet'!$B$9,Paramètres!$A$1:$I$89,3,0)*0.475*44/12</f>
        <v>2.6230458967553843E-12</v>
      </c>
      <c r="AC152" s="24">
        <f t="shared" si="111"/>
        <v>18.156950384881974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273.00000000000023</v>
      </c>
      <c r="AJ152" s="14">
        <f>AI152*VLOOKUP('Données projet'!$B$10,Paramètres!$A$1:$I$89,3,0)*VLOOKUP('Données projet'!$B$10,Paramètres!$A$1:$I$89,5,0)</f>
        <v>212.9400000000002</v>
      </c>
      <c r="AK152" s="14">
        <f t="shared" si="143"/>
        <v>52.577528895212915</v>
      </c>
      <c r="AL152" s="22">
        <f t="shared" si="112"/>
        <v>462.44302949249618</v>
      </c>
      <c r="AM152" s="62">
        <f t="shared" si="113"/>
        <v>749.01882356578926</v>
      </c>
      <c r="AN152" s="62">
        <f ca="1">AVERAGE(OFFSET($AM$3,0,0,'Données projet'!$E$10+1,1))-AVERAGE(OFFSET($H$3,0,0,'Données projet'!$E$10+1,1))</f>
        <v>304.39782420428173</v>
      </c>
      <c r="AO152" s="62">
        <f t="shared" si="144"/>
        <v>360.34132229290537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5.6012130635342467</v>
      </c>
      <c r="AV152" s="23">
        <f>EXP(-LN(2)/25)*AV151+(1-EXP(-LN(2)/25))/(LN(2)/25)*Calculateur!AQ152*Calculateur!AS152*VLOOKUP('Données projet'!$B$10,Paramètres!$A$1:$I$89,3,0)*0.475*44/12</f>
        <v>0.50300556675389629</v>
      </c>
      <c r="AW152" s="23">
        <f>EXP(-LN(2)/2)*AW151+(1-EXP(-LN(2)/2))/(LN(2)/2)*AQ152*AT152*VLOOKUP('Données projet'!$B$10,Paramètres!$A$1:$I$89,3,0)*0.475*44/12</f>
        <v>1.9752813278201978E-13</v>
      </c>
      <c r="AX152" s="23">
        <f t="shared" si="114"/>
        <v>6.1042186302883401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273.00000000000023</v>
      </c>
      <c r="BE152" s="14">
        <f>BD152*VLOOKUP('Données projet'!$B$11,Paramètres!$A$1:$I$89,3,0)*VLOOKUP('Données projet'!$B$11,Paramètres!$A$1:$I$89,5,0)</f>
        <v>212.9400000000002</v>
      </c>
      <c r="BF152" s="14">
        <f t="shared" si="145"/>
        <v>52.577528895212915</v>
      </c>
      <c r="BG152" s="22">
        <f t="shared" si="115"/>
        <v>462.44302949249618</v>
      </c>
      <c r="BH152" s="62">
        <f t="shared" si="116"/>
        <v>749.01882356578926</v>
      </c>
      <c r="BI152" s="62">
        <f ca="1">AVERAGE(OFFSET($BH$3,0,0,'Données projet'!$E$11+1,1))-AVERAGE(OFFSET($H$3,0,0,'Données projet'!$E$11+1,1))</f>
        <v>304.39782420428173</v>
      </c>
      <c r="BJ152" s="62">
        <f t="shared" si="146"/>
        <v>360.34132229290537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5.6012130635342467</v>
      </c>
      <c r="BQ152" s="23">
        <f>EXP(-LN(2)/25)*BQ151+(1-EXP(-LN(2)/25))/(LN(2)/25)*Calculateur!BL152*Calculateur!BN152*VLOOKUP('Données projet'!$B$11,Paramètres!$A$1:$I$89,3,0)*0.475*44/12</f>
        <v>0.50300556675389629</v>
      </c>
      <c r="BR152" s="23">
        <f>EXP(-LN(2)/2)*BR151+(1-EXP(-LN(2)/2))/(LN(2)/2)*BL152*BO152*VLOOKUP('Données projet'!$B$11,Paramètres!$A$1:$I$89,3,0)*0.475*44/12</f>
        <v>1.9752813278201978E-13</v>
      </c>
      <c r="BS152" s="24">
        <f t="shared" si="117"/>
        <v>6.1042186302883401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273.00000000000023</v>
      </c>
      <c r="BZ152" s="14">
        <f>BY152*VLOOKUP('Données projet'!$B$12,Paramètres!$A$1:$I$89,3,0)*VLOOKUP('Données projet'!$B$12,Paramètres!$A$1:$I$89,5,0)</f>
        <v>212.9400000000002</v>
      </c>
      <c r="CA152" s="14">
        <f t="shared" si="147"/>
        <v>52.577528895212915</v>
      </c>
      <c r="CB152" s="22">
        <f t="shared" si="118"/>
        <v>462.44302949249618</v>
      </c>
      <c r="CC152" s="62">
        <f t="shared" si="119"/>
        <v>749.01882356578926</v>
      </c>
      <c r="CD152" s="62">
        <f ca="1">AVERAGE(OFFSET($CC$3,0,0,'Données projet'!$E$12+1,1))-AVERAGE(OFFSET($H$3,0,0,'Données projet'!$E$12+1,1))</f>
        <v>304.39782420428173</v>
      </c>
      <c r="CE152" s="62">
        <f t="shared" si="148"/>
        <v>360.34132229290537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5.6012130635342467</v>
      </c>
      <c r="CL152" s="23">
        <f>EXP(-LN(2)/25)*CL151+(1-EXP(-LN(2)/25))/(LN(2)/25)*Calculateur!CG152*Calculateur!CI152*VLOOKUP('Données projet'!$B$12,Paramètres!$A$1:$I$89,3,0)*0.475*44/12</f>
        <v>0.50300556675389629</v>
      </c>
      <c r="CM152" s="23">
        <f>EXP(-LN(2)/2)*CM151+(1-EXP(-LN(2)/2))/(LN(2)/2)*CG152*CJ152*VLOOKUP('Données projet'!$B$12,Paramètres!$A$1:$I$89,3,0)*0.475*44/12</f>
        <v>1.9752813278201978E-13</v>
      </c>
      <c r="CN152" s="24">
        <f t="shared" si="120"/>
        <v>6.1042186302883401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1.7053025658242404E-13</v>
      </c>
      <c r="O153" s="14">
        <f>N153*VLOOKUP('Données projet'!$B$9,Paramètres!$A$1:$I$89,3,0)*VLOOKUP('Données projet'!$B$9,Paramètres!$A$1:$I$89,5,0)</f>
        <v>7.9808160080574461E-14</v>
      </c>
      <c r="P153" s="14">
        <f t="shared" si="141"/>
        <v>1.2308384591775343E-12</v>
      </c>
      <c r="Q153" s="22">
        <f t="shared" si="108"/>
        <v>2.282709528541206E-12</v>
      </c>
      <c r="R153" s="62">
        <f t="shared" si="109"/>
        <v>286.69302227186262</v>
      </c>
      <c r="S153" s="62">
        <f ca="1">AVERAGE(OFFSET($R$3,0,0,'Données projet'!$E$9+1,1))-AVERAGE(OFFSET($H$3,0,0,'Données projet'!$E$9+1,1))</f>
        <v>234.81928430389272</v>
      </c>
      <c r="T153" s="62">
        <f t="shared" si="142"/>
        <v>294.47057757403411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14.671745511115834</v>
      </c>
      <c r="AA153" s="23">
        <f>EXP(-LN(2)/25)*AA152+(1-EXP(-LN(2)/25))/(LN(2)/25)*Calculateur!V153*Calculateur!X153*VLOOKUP('Données projet'!$B$9,Paramètres!$A$1:$I$89,3,0)*0.475*44/12</f>
        <v>3.1044678787212505</v>
      </c>
      <c r="AB153" s="23">
        <f>EXP(-LN(2)/2)*AB152+(1-EXP(-LN(2)/2))/(LN(2)/2)*V153*Y153*VLOOKUP('Données projet'!$B$9,Paramètres!$A$1:$I$89,3,0)*0.475*44/12</f>
        <v>1.8547735409592808E-12</v>
      </c>
      <c r="AC153" s="24">
        <f t="shared" si="111"/>
        <v>17.77621338983894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273.00000000000023</v>
      </c>
      <c r="AJ153" s="14">
        <f>AI153*VLOOKUP('Données projet'!$B$10,Paramètres!$A$1:$I$89,3,0)*VLOOKUP('Données projet'!$B$10,Paramètres!$A$1:$I$89,5,0)</f>
        <v>212.9400000000002</v>
      </c>
      <c r="AK153" s="14">
        <f t="shared" si="143"/>
        <v>52.577528895212915</v>
      </c>
      <c r="AL153" s="22">
        <f t="shared" si="112"/>
        <v>462.44302949249618</v>
      </c>
      <c r="AM153" s="62">
        <f t="shared" si="113"/>
        <v>749.13605176435658</v>
      </c>
      <c r="AN153" s="62">
        <f ca="1">AVERAGE(OFFSET($AM$3,0,0,'Données projet'!$E$10+1,1))-AVERAGE(OFFSET($H$3,0,0,'Données projet'!$E$10+1,1))</f>
        <v>304.39782420428173</v>
      </c>
      <c r="AO153" s="62">
        <f t="shared" si="144"/>
        <v>360.34132229290537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5.4913766917609674</v>
      </c>
      <c r="AV153" s="23">
        <f>EXP(-LN(2)/25)*AV152+(1-EXP(-LN(2)/25))/(LN(2)/25)*Calculateur!AQ153*Calculateur!AS153*VLOOKUP('Données projet'!$B$10,Paramètres!$A$1:$I$89,3,0)*0.475*44/12</f>
        <v>0.48925085307909788</v>
      </c>
      <c r="AW153" s="23">
        <f>EXP(-LN(2)/2)*AW152+(1-EXP(-LN(2)/2))/(LN(2)/2)*AQ153*AT153*VLOOKUP('Données projet'!$B$10,Paramètres!$A$1:$I$89,3,0)*0.475*44/12</f>
        <v>1.3967348216528296E-13</v>
      </c>
      <c r="AX153" s="23">
        <f t="shared" si="114"/>
        <v>5.9806275448402051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273.00000000000023</v>
      </c>
      <c r="BE153" s="14">
        <f>BD153*VLOOKUP('Données projet'!$B$11,Paramètres!$A$1:$I$89,3,0)*VLOOKUP('Données projet'!$B$11,Paramètres!$A$1:$I$89,5,0)</f>
        <v>212.9400000000002</v>
      </c>
      <c r="BF153" s="14">
        <f t="shared" si="145"/>
        <v>52.577528895212915</v>
      </c>
      <c r="BG153" s="22">
        <f t="shared" si="115"/>
        <v>462.44302949249618</v>
      </c>
      <c r="BH153" s="62">
        <f t="shared" si="116"/>
        <v>749.13605176435658</v>
      </c>
      <c r="BI153" s="62">
        <f ca="1">AVERAGE(OFFSET($BH$3,0,0,'Données projet'!$E$11+1,1))-AVERAGE(OFFSET($H$3,0,0,'Données projet'!$E$11+1,1))</f>
        <v>304.39782420428173</v>
      </c>
      <c r="BJ153" s="62">
        <f t="shared" si="146"/>
        <v>360.34132229290537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5.4913766917609674</v>
      </c>
      <c r="BQ153" s="23">
        <f>EXP(-LN(2)/25)*BQ152+(1-EXP(-LN(2)/25))/(LN(2)/25)*Calculateur!BL153*Calculateur!BN153*VLOOKUP('Données projet'!$B$11,Paramètres!$A$1:$I$89,3,0)*0.475*44/12</f>
        <v>0.48925085307909788</v>
      </c>
      <c r="BR153" s="23">
        <f>EXP(-LN(2)/2)*BR152+(1-EXP(-LN(2)/2))/(LN(2)/2)*BL153*BO153*VLOOKUP('Données projet'!$B$11,Paramètres!$A$1:$I$89,3,0)*0.475*44/12</f>
        <v>1.3967348216528296E-13</v>
      </c>
      <c r="BS153" s="24">
        <f t="shared" si="117"/>
        <v>5.9806275448402051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273.00000000000023</v>
      </c>
      <c r="BZ153" s="14">
        <f>BY153*VLOOKUP('Données projet'!$B$12,Paramètres!$A$1:$I$89,3,0)*VLOOKUP('Données projet'!$B$12,Paramètres!$A$1:$I$89,5,0)</f>
        <v>212.9400000000002</v>
      </c>
      <c r="CA153" s="14">
        <f t="shared" si="147"/>
        <v>52.577528895212915</v>
      </c>
      <c r="CB153" s="22">
        <f t="shared" si="118"/>
        <v>462.44302949249618</v>
      </c>
      <c r="CC153" s="62">
        <f t="shared" si="119"/>
        <v>749.13605176435658</v>
      </c>
      <c r="CD153" s="62">
        <f ca="1">AVERAGE(OFFSET($CC$3,0,0,'Données projet'!$E$12+1,1))-AVERAGE(OFFSET($H$3,0,0,'Données projet'!$E$12+1,1))</f>
        <v>304.39782420428173</v>
      </c>
      <c r="CE153" s="62">
        <f t="shared" si="148"/>
        <v>360.34132229290537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5.4913766917609674</v>
      </c>
      <c r="CL153" s="23">
        <f>EXP(-LN(2)/25)*CL152+(1-EXP(-LN(2)/25))/(LN(2)/25)*Calculateur!CG153*Calculateur!CI153*VLOOKUP('Données projet'!$B$12,Paramètres!$A$1:$I$89,3,0)*0.475*44/12</f>
        <v>0.48925085307909788</v>
      </c>
      <c r="CM153" s="23">
        <f>EXP(-LN(2)/2)*CM152+(1-EXP(-LN(2)/2))/(LN(2)/2)*CG153*CJ153*VLOOKUP('Données projet'!$B$12,Paramètres!$A$1:$I$89,3,0)*0.475*44/12</f>
        <v>1.3967348216528296E-13</v>
      </c>
      <c r="CN153" s="24">
        <f t="shared" si="120"/>
        <v>5.9806275448402051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1.7053025658242404E-13</v>
      </c>
      <c r="O154" s="14">
        <f>N154*VLOOKUP('Données projet'!$B$9,Paramètres!$A$1:$I$89,3,0)*VLOOKUP('Données projet'!$B$9,Paramètres!$A$1:$I$89,5,0)</f>
        <v>7.9808160080574461E-14</v>
      </c>
      <c r="P154" s="14">
        <f t="shared" si="141"/>
        <v>1.2308384591775343E-12</v>
      </c>
      <c r="Q154" s="22">
        <f t="shared" ref="Q154:Q203" si="162">(O154+P154)*0.475*44/12</f>
        <v>2.282709528541206E-12</v>
      </c>
      <c r="R154" s="62">
        <f t="shared" si="109"/>
        <v>286.80821682326763</v>
      </c>
      <c r="S154" s="62">
        <f ca="1">AVERAGE(OFFSET($R$3,0,0,'Données projet'!$E$9+1,1))-AVERAGE(OFFSET($H$3,0,0,'Données projet'!$E$9+1,1))</f>
        <v>234.81928430389272</v>
      </c>
      <c r="T154" s="62">
        <f t="shared" si="142"/>
        <v>294.47057757403411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14.384041530523985</v>
      </c>
      <c r="AA154" s="23">
        <f>EXP(-LN(2)/25)*AA153+(1-EXP(-LN(2)/25))/(LN(2)/25)*Calculateur!V154*Calculateur!X154*VLOOKUP('Données projet'!$B$9,Paramètres!$A$1:$I$89,3,0)*0.475*44/12</f>
        <v>3.0195760413207475</v>
      </c>
      <c r="AB154" s="23">
        <f>EXP(-LN(2)/2)*AB153+(1-EXP(-LN(2)/2))/(LN(2)/2)*V154*Y154*VLOOKUP('Données projet'!$B$9,Paramètres!$A$1:$I$89,3,0)*0.475*44/12</f>
        <v>1.3115229483776922E-12</v>
      </c>
      <c r="AC154" s="24">
        <f t="shared" ref="AC154:AC203" si="163">SUM(Z154:AB154)</f>
        <v>17.403617571846045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273.00000000000023</v>
      </c>
      <c r="AJ154" s="14">
        <f>AI154*VLOOKUP('Données projet'!$B$10,Paramètres!$A$1:$I$89,3,0)*VLOOKUP('Données projet'!$B$10,Paramètres!$A$1:$I$89,5,0)</f>
        <v>212.9400000000002</v>
      </c>
      <c r="AK154" s="14">
        <f t="shared" ref="AK154:AK203" si="164">EXP(-1.0587+0.8836*LN(AJ154)+0.284)</f>
        <v>52.577528895212915</v>
      </c>
      <c r="AL154" s="22">
        <f t="shared" ref="AL154:AL203" si="165">(AJ154+AK154)*0.475*44/12</f>
        <v>462.44302949249618</v>
      </c>
      <c r="AM154" s="62">
        <f t="shared" si="113"/>
        <v>749.25124631576159</v>
      </c>
      <c r="AN154" s="62">
        <f ca="1">AVERAGE(OFFSET($AM$3,0,0,'Données projet'!$E$10+1,1))-AVERAGE(OFFSET($H$3,0,0,'Données projet'!$E$10+1,1))</f>
        <v>304.39782420428173</v>
      </c>
      <c r="AO154" s="62">
        <f t="shared" si="144"/>
        <v>360.34132229290537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5.3836941442445898</v>
      </c>
      <c r="AV154" s="23">
        <f>EXP(-LN(2)/25)*AV153+(1-EXP(-LN(2)/25))/(LN(2)/25)*Calculateur!AQ154*Calculateur!AS154*VLOOKUP('Données projet'!$B$10,Paramètres!$A$1:$I$89,3,0)*0.475*44/12</f>
        <v>0.47587226277306577</v>
      </c>
      <c r="AW154" s="23">
        <f>EXP(-LN(2)/2)*AW153+(1-EXP(-LN(2)/2))/(LN(2)/2)*AQ154*AT154*VLOOKUP('Données projet'!$B$10,Paramètres!$A$1:$I$89,3,0)*0.475*44/12</f>
        <v>9.8764066391009889E-14</v>
      </c>
      <c r="AX154" s="23">
        <f t="shared" ref="AX154:AX203" si="166">SUM(AU154:AW154)</f>
        <v>5.8595664070177538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273.00000000000023</v>
      </c>
      <c r="BE154" s="14">
        <f>BD154*VLOOKUP('Données projet'!$B$11,Paramètres!$A$1:$I$89,3,0)*VLOOKUP('Données projet'!$B$11,Paramètres!$A$1:$I$89,5,0)</f>
        <v>212.9400000000002</v>
      </c>
      <c r="BF154" s="14">
        <f t="shared" ref="BF154:BF203" si="167">EXP(-1.0587+0.8836*LN(BE154)+0.284)</f>
        <v>52.577528895212915</v>
      </c>
      <c r="BG154" s="22">
        <f t="shared" ref="BG154:BG203" si="168">(BE154+BF154)*0.475*44/12</f>
        <v>462.44302949249618</v>
      </c>
      <c r="BH154" s="62">
        <f t="shared" si="116"/>
        <v>749.25124631576159</v>
      </c>
      <c r="BI154" s="62">
        <f ca="1">AVERAGE(OFFSET($BH$3,0,0,'Données projet'!$E$11+1,1))-AVERAGE(OFFSET($H$3,0,0,'Données projet'!$E$11+1,1))</f>
        <v>304.39782420428173</v>
      </c>
      <c r="BJ154" s="62">
        <f t="shared" si="146"/>
        <v>360.34132229290537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5.3836941442445898</v>
      </c>
      <c r="BQ154" s="23">
        <f>EXP(-LN(2)/25)*BQ153+(1-EXP(-LN(2)/25))/(LN(2)/25)*Calculateur!BL154*Calculateur!BN154*VLOOKUP('Données projet'!$B$11,Paramètres!$A$1:$I$89,3,0)*0.475*44/12</f>
        <v>0.47587226277306577</v>
      </c>
      <c r="BR154" s="23">
        <f>EXP(-LN(2)/2)*BR153+(1-EXP(-LN(2)/2))/(LN(2)/2)*BL154*BO154*VLOOKUP('Données projet'!$B$11,Paramètres!$A$1:$I$89,3,0)*0.475*44/12</f>
        <v>9.8764066391009889E-14</v>
      </c>
      <c r="BS154" s="24">
        <f t="shared" ref="BS154:BS203" si="169">SUM(BP154:BR154)</f>
        <v>5.8595664070177538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273.00000000000023</v>
      </c>
      <c r="BZ154" s="14">
        <f>BY154*VLOOKUP('Données projet'!$B$12,Paramètres!$A$1:$I$89,3,0)*VLOOKUP('Données projet'!$B$12,Paramètres!$A$1:$I$89,5,0)</f>
        <v>212.9400000000002</v>
      </c>
      <c r="CA154" s="14">
        <f t="shared" ref="CA154:CA203" si="170">EXP(-1.0587+0.8836*LN(BZ154)+0.284)</f>
        <v>52.577528895212915</v>
      </c>
      <c r="CB154" s="22">
        <f t="shared" ref="CB154:CB203" si="171">(BZ154+CA154)*0.475*44/12</f>
        <v>462.44302949249618</v>
      </c>
      <c r="CC154" s="62">
        <f t="shared" si="119"/>
        <v>749.25124631576159</v>
      </c>
      <c r="CD154" s="62">
        <f ca="1">AVERAGE(OFFSET($CC$3,0,0,'Données projet'!$E$12+1,1))-AVERAGE(OFFSET($H$3,0,0,'Données projet'!$E$12+1,1))</f>
        <v>304.39782420428173</v>
      </c>
      <c r="CE154" s="62">
        <f t="shared" si="148"/>
        <v>360.34132229290537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5.3836941442445898</v>
      </c>
      <c r="CL154" s="23">
        <f>EXP(-LN(2)/25)*CL153+(1-EXP(-LN(2)/25))/(LN(2)/25)*Calculateur!CG154*Calculateur!CI154*VLOOKUP('Données projet'!$B$12,Paramètres!$A$1:$I$89,3,0)*0.475*44/12</f>
        <v>0.47587226277306577</v>
      </c>
      <c r="CM154" s="23">
        <f>EXP(-LN(2)/2)*CM153+(1-EXP(-LN(2)/2))/(LN(2)/2)*CG154*CJ154*VLOOKUP('Données projet'!$B$12,Paramètres!$A$1:$I$89,3,0)*0.475*44/12</f>
        <v>9.8764066391009889E-14</v>
      </c>
      <c r="CN154" s="24">
        <f t="shared" ref="CN154:CN203" si="172">SUM(CK154:CM154)</f>
        <v>5.8595664070177538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1.7053025658242404E-13</v>
      </c>
      <c r="O155" s="14">
        <f>N155*VLOOKUP('Données projet'!$B$9,Paramètres!$A$1:$I$89,3,0)*VLOOKUP('Données projet'!$B$9,Paramètres!$A$1:$I$89,5,0)</f>
        <v>7.9808160080574461E-14</v>
      </c>
      <c r="P155" s="14">
        <f t="shared" si="141"/>
        <v>1.2308384591775343E-12</v>
      </c>
      <c r="Q155" s="22">
        <f t="shared" si="162"/>
        <v>2.282709528541206E-12</v>
      </c>
      <c r="R155" s="62">
        <f t="shared" si="109"/>
        <v>286.92141300674217</v>
      </c>
      <c r="S155" s="62">
        <f ca="1">AVERAGE(OFFSET($R$3,0,0,'Données projet'!$E$9+1,1))-AVERAGE(OFFSET($H$3,0,0,'Données projet'!$E$9+1,1))</f>
        <v>234.81928430389272</v>
      </c>
      <c r="T155" s="62">
        <f t="shared" si="142"/>
        <v>294.47057757403411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14.101979249509442</v>
      </c>
      <c r="AA155" s="23">
        <f>EXP(-LN(2)/25)*AA154+(1-EXP(-LN(2)/25))/(LN(2)/25)*Calculateur!V155*Calculateur!X155*VLOOKUP('Données projet'!$B$9,Paramètres!$A$1:$I$89,3,0)*0.475*44/12</f>
        <v>2.9370055756782292</v>
      </c>
      <c r="AB155" s="23">
        <f>EXP(-LN(2)/2)*AB154+(1-EXP(-LN(2)/2))/(LN(2)/2)*V155*Y155*VLOOKUP('Données projet'!$B$9,Paramètres!$A$1:$I$89,3,0)*0.475*44/12</f>
        <v>9.2738677047964042E-13</v>
      </c>
      <c r="AC155" s="24">
        <f t="shared" si="163"/>
        <v>17.038984825188599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273.00000000000023</v>
      </c>
      <c r="AJ155" s="14">
        <f>AI155*VLOOKUP('Données projet'!$B$10,Paramètres!$A$1:$I$89,3,0)*VLOOKUP('Données projet'!$B$10,Paramètres!$A$1:$I$89,5,0)</f>
        <v>212.9400000000002</v>
      </c>
      <c r="AK155" s="14">
        <f t="shared" si="164"/>
        <v>52.577528895212915</v>
      </c>
      <c r="AL155" s="22">
        <f t="shared" si="165"/>
        <v>462.44302949249618</v>
      </c>
      <c r="AM155" s="62">
        <f t="shared" si="113"/>
        <v>749.36444249923602</v>
      </c>
      <c r="AN155" s="62">
        <f ca="1">AVERAGE(OFFSET($AM$3,0,0,'Données projet'!$E$10+1,1))-AVERAGE(OFFSET($H$3,0,0,'Données projet'!$E$10+1,1))</f>
        <v>304.39782420428173</v>
      </c>
      <c r="AO155" s="62">
        <f t="shared" si="144"/>
        <v>360.34132229290537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5.2781231858051401</v>
      </c>
      <c r="AV155" s="23">
        <f>EXP(-LN(2)/25)*AV154+(1-EXP(-LN(2)/25))/(LN(2)/25)*Calculateur!AQ155*Calculateur!AS155*VLOOKUP('Données projet'!$B$10,Paramètres!$A$1:$I$89,3,0)*0.475*44/12</f>
        <v>0.46285951072250159</v>
      </c>
      <c r="AW155" s="23">
        <f>EXP(-LN(2)/2)*AW154+(1-EXP(-LN(2)/2))/(LN(2)/2)*AQ155*AT155*VLOOKUP('Données projet'!$B$10,Paramètres!$A$1:$I$89,3,0)*0.475*44/12</f>
        <v>6.9836741082641481E-14</v>
      </c>
      <c r="AX155" s="23">
        <f t="shared" si="166"/>
        <v>5.7409826965277118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273.00000000000023</v>
      </c>
      <c r="BE155" s="14">
        <f>BD155*VLOOKUP('Données projet'!$B$11,Paramètres!$A$1:$I$89,3,0)*VLOOKUP('Données projet'!$B$11,Paramètres!$A$1:$I$89,5,0)</f>
        <v>212.9400000000002</v>
      </c>
      <c r="BF155" s="14">
        <f t="shared" si="167"/>
        <v>52.577528895212915</v>
      </c>
      <c r="BG155" s="22">
        <f t="shared" si="168"/>
        <v>462.44302949249618</v>
      </c>
      <c r="BH155" s="62">
        <f t="shared" si="116"/>
        <v>749.36444249923602</v>
      </c>
      <c r="BI155" s="62">
        <f ca="1">AVERAGE(OFFSET($BH$3,0,0,'Données projet'!$E$11+1,1))-AVERAGE(OFFSET($H$3,0,0,'Données projet'!$E$11+1,1))</f>
        <v>304.39782420428173</v>
      </c>
      <c r="BJ155" s="62">
        <f t="shared" si="146"/>
        <v>360.34132229290537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5.2781231858051401</v>
      </c>
      <c r="BQ155" s="23">
        <f>EXP(-LN(2)/25)*BQ154+(1-EXP(-LN(2)/25))/(LN(2)/25)*Calculateur!BL155*Calculateur!BN155*VLOOKUP('Données projet'!$B$11,Paramètres!$A$1:$I$89,3,0)*0.475*44/12</f>
        <v>0.46285951072250159</v>
      </c>
      <c r="BR155" s="23">
        <f>EXP(-LN(2)/2)*BR154+(1-EXP(-LN(2)/2))/(LN(2)/2)*BL155*BO155*VLOOKUP('Données projet'!$B$11,Paramètres!$A$1:$I$89,3,0)*0.475*44/12</f>
        <v>6.9836741082641481E-14</v>
      </c>
      <c r="BS155" s="24">
        <f t="shared" si="169"/>
        <v>5.7409826965277118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273.00000000000023</v>
      </c>
      <c r="BZ155" s="14">
        <f>BY155*VLOOKUP('Données projet'!$B$12,Paramètres!$A$1:$I$89,3,0)*VLOOKUP('Données projet'!$B$12,Paramètres!$A$1:$I$89,5,0)</f>
        <v>212.9400000000002</v>
      </c>
      <c r="CA155" s="14">
        <f t="shared" si="170"/>
        <v>52.577528895212915</v>
      </c>
      <c r="CB155" s="22">
        <f t="shared" si="171"/>
        <v>462.44302949249618</v>
      </c>
      <c r="CC155" s="62">
        <f t="shared" si="119"/>
        <v>749.36444249923602</v>
      </c>
      <c r="CD155" s="62">
        <f ca="1">AVERAGE(OFFSET($CC$3,0,0,'Données projet'!$E$12+1,1))-AVERAGE(OFFSET($H$3,0,0,'Données projet'!$E$12+1,1))</f>
        <v>304.39782420428173</v>
      </c>
      <c r="CE155" s="62">
        <f t="shared" si="148"/>
        <v>360.34132229290537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5.2781231858051401</v>
      </c>
      <c r="CL155" s="23">
        <f>EXP(-LN(2)/25)*CL154+(1-EXP(-LN(2)/25))/(LN(2)/25)*Calculateur!CG155*Calculateur!CI155*VLOOKUP('Données projet'!$B$12,Paramètres!$A$1:$I$89,3,0)*0.475*44/12</f>
        <v>0.46285951072250159</v>
      </c>
      <c r="CM155" s="23">
        <f>EXP(-LN(2)/2)*CM154+(1-EXP(-LN(2)/2))/(LN(2)/2)*CG155*CJ155*VLOOKUP('Données projet'!$B$12,Paramètres!$A$1:$I$89,3,0)*0.475*44/12</f>
        <v>6.9836741082641481E-14</v>
      </c>
      <c r="CN155" s="24">
        <f t="shared" si="172"/>
        <v>5.7409826965277118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1.7053025658242404E-13</v>
      </c>
      <c r="O156" s="14">
        <f>N156*VLOOKUP('Données projet'!$B$9,Paramètres!$A$1:$I$89,3,0)*VLOOKUP('Données projet'!$B$9,Paramètres!$A$1:$I$89,5,0)</f>
        <v>7.9808160080574461E-14</v>
      </c>
      <c r="P156" s="14">
        <f t="shared" si="141"/>
        <v>1.2308384591775343E-12</v>
      </c>
      <c r="Q156" s="22">
        <f t="shared" si="162"/>
        <v>2.282709528541206E-12</v>
      </c>
      <c r="R156" s="62">
        <f t="shared" si="109"/>
        <v>287.03264548950227</v>
      </c>
      <c r="S156" s="62">
        <f ca="1">AVERAGE(OFFSET($R$3,0,0,'Données projet'!$E$9+1,1))-AVERAGE(OFFSET($H$3,0,0,'Données projet'!$E$9+1,1))</f>
        <v>234.81928430389272</v>
      </c>
      <c r="T156" s="62">
        <f t="shared" si="142"/>
        <v>294.47057757403411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13.825448037784591</v>
      </c>
      <c r="AA156" s="23">
        <f>EXP(-LN(2)/25)*AA155+(1-EXP(-LN(2)/25))/(LN(2)/25)*Calculateur!V156*Calculateur!X156*VLOOKUP('Données projet'!$B$9,Paramètres!$A$1:$I$89,3,0)*0.475*44/12</f>
        <v>2.8566930037608973</v>
      </c>
      <c r="AB156" s="23">
        <f>EXP(-LN(2)/2)*AB155+(1-EXP(-LN(2)/2))/(LN(2)/2)*V156*Y156*VLOOKUP('Données projet'!$B$9,Paramètres!$A$1:$I$89,3,0)*0.475*44/12</f>
        <v>6.5576147418884608E-13</v>
      </c>
      <c r="AC156" s="24">
        <f t="shared" si="163"/>
        <v>16.682141041546146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273.00000000000023</v>
      </c>
      <c r="AJ156" s="14">
        <f>AI156*VLOOKUP('Données projet'!$B$10,Paramètres!$A$1:$I$89,3,0)*VLOOKUP('Données projet'!$B$10,Paramètres!$A$1:$I$89,5,0)</f>
        <v>212.9400000000002</v>
      </c>
      <c r="AK156" s="14">
        <f t="shared" si="164"/>
        <v>52.577528895212915</v>
      </c>
      <c r="AL156" s="22">
        <f t="shared" si="165"/>
        <v>462.44302949249618</v>
      </c>
      <c r="AM156" s="62">
        <f t="shared" si="113"/>
        <v>749.47567498199624</v>
      </c>
      <c r="AN156" s="62">
        <f ca="1">AVERAGE(OFFSET($AM$3,0,0,'Données projet'!$E$10+1,1))-AVERAGE(OFFSET($H$3,0,0,'Données projet'!$E$10+1,1))</f>
        <v>304.39782420428173</v>
      </c>
      <c r="AO156" s="62">
        <f t="shared" si="144"/>
        <v>360.34132229290537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5.1746224094687614</v>
      </c>
      <c r="AV156" s="23">
        <f>EXP(-LN(2)/25)*AV155+(1-EXP(-LN(2)/25))/(LN(2)/25)*Calculateur!AQ156*Calculateur!AS156*VLOOKUP('Données projet'!$B$10,Paramètres!$A$1:$I$89,3,0)*0.475*44/12</f>
        <v>0.45020259306107097</v>
      </c>
      <c r="AW156" s="23">
        <f>EXP(-LN(2)/2)*AW155+(1-EXP(-LN(2)/2))/(LN(2)/2)*AQ156*AT156*VLOOKUP('Données projet'!$B$10,Paramètres!$A$1:$I$89,3,0)*0.475*44/12</f>
        <v>4.9382033195504944E-14</v>
      </c>
      <c r="AX156" s="23">
        <f t="shared" si="166"/>
        <v>5.6248250025298825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273.00000000000023</v>
      </c>
      <c r="BE156" s="14">
        <f>BD156*VLOOKUP('Données projet'!$B$11,Paramètres!$A$1:$I$89,3,0)*VLOOKUP('Données projet'!$B$11,Paramètres!$A$1:$I$89,5,0)</f>
        <v>212.9400000000002</v>
      </c>
      <c r="BF156" s="14">
        <f t="shared" si="167"/>
        <v>52.577528895212915</v>
      </c>
      <c r="BG156" s="22">
        <f t="shared" si="168"/>
        <v>462.44302949249618</v>
      </c>
      <c r="BH156" s="62">
        <f t="shared" si="116"/>
        <v>749.47567498199624</v>
      </c>
      <c r="BI156" s="62">
        <f ca="1">AVERAGE(OFFSET($BH$3,0,0,'Données projet'!$E$11+1,1))-AVERAGE(OFFSET($H$3,0,0,'Données projet'!$E$11+1,1))</f>
        <v>304.39782420428173</v>
      </c>
      <c r="BJ156" s="62">
        <f t="shared" si="146"/>
        <v>360.34132229290537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5.1746224094687614</v>
      </c>
      <c r="BQ156" s="23">
        <f>EXP(-LN(2)/25)*BQ155+(1-EXP(-LN(2)/25))/(LN(2)/25)*Calculateur!BL156*Calculateur!BN156*VLOOKUP('Données projet'!$B$11,Paramètres!$A$1:$I$89,3,0)*0.475*44/12</f>
        <v>0.45020259306107097</v>
      </c>
      <c r="BR156" s="23">
        <f>EXP(-LN(2)/2)*BR155+(1-EXP(-LN(2)/2))/(LN(2)/2)*BL156*BO156*VLOOKUP('Données projet'!$B$11,Paramètres!$A$1:$I$89,3,0)*0.475*44/12</f>
        <v>4.9382033195504944E-14</v>
      </c>
      <c r="BS156" s="24">
        <f t="shared" si="169"/>
        <v>5.6248250025298825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273.00000000000023</v>
      </c>
      <c r="BZ156" s="14">
        <f>BY156*VLOOKUP('Données projet'!$B$12,Paramètres!$A$1:$I$89,3,0)*VLOOKUP('Données projet'!$B$12,Paramètres!$A$1:$I$89,5,0)</f>
        <v>212.9400000000002</v>
      </c>
      <c r="CA156" s="14">
        <f t="shared" si="170"/>
        <v>52.577528895212915</v>
      </c>
      <c r="CB156" s="22">
        <f t="shared" si="171"/>
        <v>462.44302949249618</v>
      </c>
      <c r="CC156" s="62">
        <f t="shared" si="119"/>
        <v>749.47567498199624</v>
      </c>
      <c r="CD156" s="62">
        <f ca="1">AVERAGE(OFFSET($CC$3,0,0,'Données projet'!$E$12+1,1))-AVERAGE(OFFSET($H$3,0,0,'Données projet'!$E$12+1,1))</f>
        <v>304.39782420428173</v>
      </c>
      <c r="CE156" s="62">
        <f t="shared" si="148"/>
        <v>360.34132229290537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5.1746224094687614</v>
      </c>
      <c r="CL156" s="23">
        <f>EXP(-LN(2)/25)*CL155+(1-EXP(-LN(2)/25))/(LN(2)/25)*Calculateur!CG156*Calculateur!CI156*VLOOKUP('Données projet'!$B$12,Paramètres!$A$1:$I$89,3,0)*0.475*44/12</f>
        <v>0.45020259306107097</v>
      </c>
      <c r="CM156" s="23">
        <f>EXP(-LN(2)/2)*CM155+(1-EXP(-LN(2)/2))/(LN(2)/2)*CG156*CJ156*VLOOKUP('Données projet'!$B$12,Paramètres!$A$1:$I$89,3,0)*0.475*44/12</f>
        <v>4.9382033195504944E-14</v>
      </c>
      <c r="CN156" s="24">
        <f t="shared" si="172"/>
        <v>5.6248250025298825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1.7053025658242404E-13</v>
      </c>
      <c r="O157" s="14">
        <f>N157*VLOOKUP('Données projet'!$B$9,Paramètres!$A$1:$I$89,3,0)*VLOOKUP('Données projet'!$B$9,Paramètres!$A$1:$I$89,5,0)</f>
        <v>7.9808160080574461E-14</v>
      </c>
      <c r="P157" s="14">
        <f t="shared" si="141"/>
        <v>1.2308384591775343E-12</v>
      </c>
      <c r="Q157" s="22">
        <f t="shared" si="162"/>
        <v>2.282709528541206E-12</v>
      </c>
      <c r="R157" s="62">
        <f t="shared" si="109"/>
        <v>287.14194833736502</v>
      </c>
      <c r="S157" s="62">
        <f ca="1">AVERAGE(OFFSET($R$3,0,0,'Données projet'!$E$9+1,1))-AVERAGE(OFFSET($H$3,0,0,'Données projet'!$E$9+1,1))</f>
        <v>234.81928430389272</v>
      </c>
      <c r="T157" s="62">
        <f t="shared" si="142"/>
        <v>294.47057757403411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13.554339434454279</v>
      </c>
      <c r="AA157" s="23">
        <f>EXP(-LN(2)/25)*AA156+(1-EXP(-LN(2)/25))/(LN(2)/25)*Calculateur!V157*Calculateur!X157*VLOOKUP('Données projet'!$B$9,Paramètres!$A$1:$I$89,3,0)*0.475*44/12</f>
        <v>2.7785765833460996</v>
      </c>
      <c r="AB157" s="23">
        <f>EXP(-LN(2)/2)*AB156+(1-EXP(-LN(2)/2))/(LN(2)/2)*V157*Y157*VLOOKUP('Données projet'!$B$9,Paramètres!$A$1:$I$89,3,0)*0.475*44/12</f>
        <v>4.6369338523982021E-13</v>
      </c>
      <c r="AC157" s="24">
        <f t="shared" si="163"/>
        <v>16.332916017800844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273.00000000000023</v>
      </c>
      <c r="AJ157" s="14">
        <f>AI157*VLOOKUP('Données projet'!$B$10,Paramètres!$A$1:$I$89,3,0)*VLOOKUP('Données projet'!$B$10,Paramètres!$A$1:$I$89,5,0)</f>
        <v>212.9400000000002</v>
      </c>
      <c r="AK157" s="14">
        <f t="shared" si="164"/>
        <v>52.577528895212915</v>
      </c>
      <c r="AL157" s="22">
        <f t="shared" si="165"/>
        <v>462.44302949249618</v>
      </c>
      <c r="AM157" s="62">
        <f t="shared" si="113"/>
        <v>749.58497782985887</v>
      </c>
      <c r="AN157" s="62">
        <f ca="1">AVERAGE(OFFSET($AM$3,0,0,'Données projet'!$E$10+1,1))-AVERAGE(OFFSET($H$3,0,0,'Données projet'!$E$10+1,1))</f>
        <v>304.39782420428173</v>
      </c>
      <c r="AO157" s="62">
        <f t="shared" si="144"/>
        <v>360.34132229290537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5.073151220227099</v>
      </c>
      <c r="AV157" s="23">
        <f>EXP(-LN(2)/25)*AV156+(1-EXP(-LN(2)/25))/(LN(2)/25)*Calculateur!AQ157*Calculateur!AS157*VLOOKUP('Données projet'!$B$10,Paramètres!$A$1:$I$89,3,0)*0.475*44/12</f>
        <v>0.43789177947869057</v>
      </c>
      <c r="AW157" s="23">
        <f>EXP(-LN(2)/2)*AW156+(1-EXP(-LN(2)/2))/(LN(2)/2)*AQ157*AT157*VLOOKUP('Données projet'!$B$10,Paramètres!$A$1:$I$89,3,0)*0.475*44/12</f>
        <v>3.491837054132074E-14</v>
      </c>
      <c r="AX157" s="23">
        <f t="shared" si="166"/>
        <v>5.5110429997058246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273.00000000000023</v>
      </c>
      <c r="BE157" s="14">
        <f>BD157*VLOOKUP('Données projet'!$B$11,Paramètres!$A$1:$I$89,3,0)*VLOOKUP('Données projet'!$B$11,Paramètres!$A$1:$I$89,5,0)</f>
        <v>212.9400000000002</v>
      </c>
      <c r="BF157" s="14">
        <f t="shared" si="167"/>
        <v>52.577528895212915</v>
      </c>
      <c r="BG157" s="22">
        <f t="shared" si="168"/>
        <v>462.44302949249618</v>
      </c>
      <c r="BH157" s="62">
        <f t="shared" si="116"/>
        <v>749.58497782985887</v>
      </c>
      <c r="BI157" s="62">
        <f ca="1">AVERAGE(OFFSET($BH$3,0,0,'Données projet'!$E$11+1,1))-AVERAGE(OFFSET($H$3,0,0,'Données projet'!$E$11+1,1))</f>
        <v>304.39782420428173</v>
      </c>
      <c r="BJ157" s="62">
        <f t="shared" si="146"/>
        <v>360.34132229290537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5.073151220227099</v>
      </c>
      <c r="BQ157" s="23">
        <f>EXP(-LN(2)/25)*BQ156+(1-EXP(-LN(2)/25))/(LN(2)/25)*Calculateur!BL157*Calculateur!BN157*VLOOKUP('Données projet'!$B$11,Paramètres!$A$1:$I$89,3,0)*0.475*44/12</f>
        <v>0.43789177947869057</v>
      </c>
      <c r="BR157" s="23">
        <f>EXP(-LN(2)/2)*BR156+(1-EXP(-LN(2)/2))/(LN(2)/2)*BL157*BO157*VLOOKUP('Données projet'!$B$11,Paramètres!$A$1:$I$89,3,0)*0.475*44/12</f>
        <v>3.491837054132074E-14</v>
      </c>
      <c r="BS157" s="24">
        <f t="shared" si="169"/>
        <v>5.5110429997058246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273.00000000000023</v>
      </c>
      <c r="BZ157" s="14">
        <f>BY157*VLOOKUP('Données projet'!$B$12,Paramètres!$A$1:$I$89,3,0)*VLOOKUP('Données projet'!$B$12,Paramètres!$A$1:$I$89,5,0)</f>
        <v>212.9400000000002</v>
      </c>
      <c r="CA157" s="14">
        <f t="shared" si="170"/>
        <v>52.577528895212915</v>
      </c>
      <c r="CB157" s="22">
        <f t="shared" si="171"/>
        <v>462.44302949249618</v>
      </c>
      <c r="CC157" s="62">
        <f t="shared" si="119"/>
        <v>749.58497782985887</v>
      </c>
      <c r="CD157" s="62">
        <f ca="1">AVERAGE(OFFSET($CC$3,0,0,'Données projet'!$E$12+1,1))-AVERAGE(OFFSET($H$3,0,0,'Données projet'!$E$12+1,1))</f>
        <v>304.39782420428173</v>
      </c>
      <c r="CE157" s="62">
        <f t="shared" si="148"/>
        <v>360.34132229290537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5.073151220227099</v>
      </c>
      <c r="CL157" s="23">
        <f>EXP(-LN(2)/25)*CL156+(1-EXP(-LN(2)/25))/(LN(2)/25)*Calculateur!CG157*Calculateur!CI157*VLOOKUP('Données projet'!$B$12,Paramètres!$A$1:$I$89,3,0)*0.475*44/12</f>
        <v>0.43789177947869057</v>
      </c>
      <c r="CM157" s="23">
        <f>EXP(-LN(2)/2)*CM156+(1-EXP(-LN(2)/2))/(LN(2)/2)*CG157*CJ157*VLOOKUP('Données projet'!$B$12,Paramètres!$A$1:$I$89,3,0)*0.475*44/12</f>
        <v>3.491837054132074E-14</v>
      </c>
      <c r="CN157" s="24">
        <f t="shared" si="172"/>
        <v>5.5110429997058246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1.7053025658242404E-13</v>
      </c>
      <c r="O158" s="14">
        <f>N158*VLOOKUP('Données projet'!$B$9,Paramètres!$A$1:$I$89,3,0)*VLOOKUP('Données projet'!$B$9,Paramètres!$A$1:$I$89,5,0)</f>
        <v>7.9808160080574461E-14</v>
      </c>
      <c r="P158" s="14">
        <f t="shared" si="141"/>
        <v>1.2308384591775343E-12</v>
      </c>
      <c r="Q158" s="22">
        <f t="shared" si="162"/>
        <v>2.282709528541206E-12</v>
      </c>
      <c r="R158" s="62">
        <f t="shared" si="109"/>
        <v>287.24935502518196</v>
      </c>
      <c r="S158" s="62">
        <f ca="1">AVERAGE(OFFSET($R$3,0,0,'Données projet'!$E$9+1,1))-AVERAGE(OFFSET($H$3,0,0,'Données projet'!$E$9+1,1))</f>
        <v>234.81928430389272</v>
      </c>
      <c r="T158" s="62">
        <f t="shared" si="142"/>
        <v>294.47057757403411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13.288547105475354</v>
      </c>
      <c r="AA158" s="23">
        <f>EXP(-LN(2)/25)*AA157+(1-EXP(-LN(2)/25))/(LN(2)/25)*Calculateur!V158*Calculateur!X158*VLOOKUP('Données projet'!$B$9,Paramètres!$A$1:$I$89,3,0)*0.475*44/12</f>
        <v>2.7025962605555085</v>
      </c>
      <c r="AB158" s="23">
        <f>EXP(-LN(2)/2)*AB157+(1-EXP(-LN(2)/2))/(LN(2)/2)*V158*Y158*VLOOKUP('Données projet'!$B$9,Paramètres!$A$1:$I$89,3,0)*0.475*44/12</f>
        <v>3.2788073709442304E-13</v>
      </c>
      <c r="AC158" s="24">
        <f t="shared" si="163"/>
        <v>15.99114336603119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273.00000000000023</v>
      </c>
      <c r="AJ158" s="14">
        <f>AI158*VLOOKUP('Données projet'!$B$10,Paramètres!$A$1:$I$89,3,0)*VLOOKUP('Données projet'!$B$10,Paramètres!$A$1:$I$89,5,0)</f>
        <v>212.9400000000002</v>
      </c>
      <c r="AK158" s="14">
        <f t="shared" si="164"/>
        <v>52.577528895212915</v>
      </c>
      <c r="AL158" s="22">
        <f t="shared" si="165"/>
        <v>462.44302949249618</v>
      </c>
      <c r="AM158" s="62">
        <f t="shared" si="113"/>
        <v>749.69238451767592</v>
      </c>
      <c r="AN158" s="62">
        <f ca="1">AVERAGE(OFFSET($AM$3,0,0,'Données projet'!$E$10+1,1))-AVERAGE(OFFSET($H$3,0,0,'Données projet'!$E$10+1,1))</f>
        <v>304.39782420428173</v>
      </c>
      <c r="AO158" s="62">
        <f t="shared" si="144"/>
        <v>360.34132229290537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4.9736698191151518</v>
      </c>
      <c r="AV158" s="23">
        <f>EXP(-LN(2)/25)*AV157+(1-EXP(-LN(2)/25))/(LN(2)/25)*Calculateur!AQ158*Calculateur!AS158*VLOOKUP('Données projet'!$B$10,Paramètres!$A$1:$I$89,3,0)*0.475*44/12</f>
        <v>0.42591760574111792</v>
      </c>
      <c r="AW158" s="23">
        <f>EXP(-LN(2)/2)*AW157+(1-EXP(-LN(2)/2))/(LN(2)/2)*AQ158*AT158*VLOOKUP('Données projet'!$B$10,Paramètres!$A$1:$I$89,3,0)*0.475*44/12</f>
        <v>2.4691016597752472E-14</v>
      </c>
      <c r="AX158" s="23">
        <f t="shared" si="166"/>
        <v>5.3995874248562945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273.00000000000023</v>
      </c>
      <c r="BE158" s="14">
        <f>BD158*VLOOKUP('Données projet'!$B$11,Paramètres!$A$1:$I$89,3,0)*VLOOKUP('Données projet'!$B$11,Paramètres!$A$1:$I$89,5,0)</f>
        <v>212.9400000000002</v>
      </c>
      <c r="BF158" s="14">
        <f t="shared" si="167"/>
        <v>52.577528895212915</v>
      </c>
      <c r="BG158" s="22">
        <f t="shared" si="168"/>
        <v>462.44302949249618</v>
      </c>
      <c r="BH158" s="62">
        <f t="shared" si="116"/>
        <v>749.69238451767592</v>
      </c>
      <c r="BI158" s="62">
        <f ca="1">AVERAGE(OFFSET($BH$3,0,0,'Données projet'!$E$11+1,1))-AVERAGE(OFFSET($H$3,0,0,'Données projet'!$E$11+1,1))</f>
        <v>304.39782420428173</v>
      </c>
      <c r="BJ158" s="62">
        <f t="shared" si="146"/>
        <v>360.34132229290537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4.9736698191151518</v>
      </c>
      <c r="BQ158" s="23">
        <f>EXP(-LN(2)/25)*BQ157+(1-EXP(-LN(2)/25))/(LN(2)/25)*Calculateur!BL158*Calculateur!BN158*VLOOKUP('Données projet'!$B$11,Paramètres!$A$1:$I$89,3,0)*0.475*44/12</f>
        <v>0.42591760574111792</v>
      </c>
      <c r="BR158" s="23">
        <f>EXP(-LN(2)/2)*BR157+(1-EXP(-LN(2)/2))/(LN(2)/2)*BL158*BO158*VLOOKUP('Données projet'!$B$11,Paramètres!$A$1:$I$89,3,0)*0.475*44/12</f>
        <v>2.4691016597752472E-14</v>
      </c>
      <c r="BS158" s="24">
        <f t="shared" si="169"/>
        <v>5.3995874248562945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273.00000000000023</v>
      </c>
      <c r="BZ158" s="14">
        <f>BY158*VLOOKUP('Données projet'!$B$12,Paramètres!$A$1:$I$89,3,0)*VLOOKUP('Données projet'!$B$12,Paramètres!$A$1:$I$89,5,0)</f>
        <v>212.9400000000002</v>
      </c>
      <c r="CA158" s="14">
        <f t="shared" si="170"/>
        <v>52.577528895212915</v>
      </c>
      <c r="CB158" s="22">
        <f t="shared" si="171"/>
        <v>462.44302949249618</v>
      </c>
      <c r="CC158" s="62">
        <f t="shared" si="119"/>
        <v>749.69238451767592</v>
      </c>
      <c r="CD158" s="62">
        <f ca="1">AVERAGE(OFFSET($CC$3,0,0,'Données projet'!$E$12+1,1))-AVERAGE(OFFSET($H$3,0,0,'Données projet'!$E$12+1,1))</f>
        <v>304.39782420428173</v>
      </c>
      <c r="CE158" s="62">
        <f t="shared" si="148"/>
        <v>360.34132229290537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4.9736698191151518</v>
      </c>
      <c r="CL158" s="23">
        <f>EXP(-LN(2)/25)*CL157+(1-EXP(-LN(2)/25))/(LN(2)/25)*Calculateur!CG158*Calculateur!CI158*VLOOKUP('Données projet'!$B$12,Paramètres!$A$1:$I$89,3,0)*0.475*44/12</f>
        <v>0.42591760574111792</v>
      </c>
      <c r="CM158" s="23">
        <f>EXP(-LN(2)/2)*CM157+(1-EXP(-LN(2)/2))/(LN(2)/2)*CG158*CJ158*VLOOKUP('Données projet'!$B$12,Paramètres!$A$1:$I$89,3,0)*0.475*44/12</f>
        <v>2.4691016597752472E-14</v>
      </c>
      <c r="CN158" s="24">
        <f t="shared" si="172"/>
        <v>5.3995874248562945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1.7053025658242404E-13</v>
      </c>
      <c r="O159" s="14">
        <f>N159*VLOOKUP('Données projet'!$B$9,Paramètres!$A$1:$I$89,3,0)*VLOOKUP('Données projet'!$B$9,Paramètres!$A$1:$I$89,5,0)</f>
        <v>7.9808160080574461E-14</v>
      </c>
      <c r="P159" s="14">
        <f t="shared" si="141"/>
        <v>1.2308384591775343E-12</v>
      </c>
      <c r="Q159" s="22">
        <f t="shared" si="162"/>
        <v>2.282709528541206E-12</v>
      </c>
      <c r="R159" s="62">
        <f t="shared" si="109"/>
        <v>287.35489844709059</v>
      </c>
      <c r="S159" s="62">
        <f ca="1">AVERAGE(OFFSET($R$3,0,0,'Données projet'!$E$9+1,1))-AVERAGE(OFFSET($H$3,0,0,'Données projet'!$E$9+1,1))</f>
        <v>234.81928430389272</v>
      </c>
      <c r="T159" s="62">
        <f t="shared" si="142"/>
        <v>294.47057757403411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13.027966801950393</v>
      </c>
      <c r="AA159" s="23">
        <f>EXP(-LN(2)/25)*AA158+(1-EXP(-LN(2)/25))/(LN(2)/25)*Calculateur!V159*Calculateur!X159*VLOOKUP('Données projet'!$B$9,Paramètres!$A$1:$I$89,3,0)*0.475*44/12</f>
        <v>2.6286936236872576</v>
      </c>
      <c r="AB159" s="23">
        <f>EXP(-LN(2)/2)*AB158+(1-EXP(-LN(2)/2))/(LN(2)/2)*V159*Y159*VLOOKUP('Données projet'!$B$9,Paramètres!$A$1:$I$89,3,0)*0.475*44/12</f>
        <v>2.318466926199101E-13</v>
      </c>
      <c r="AC159" s="24">
        <f t="shared" si="163"/>
        <v>15.656660425637883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273.00000000000023</v>
      </c>
      <c r="AJ159" s="14">
        <f>AI159*VLOOKUP('Données projet'!$B$10,Paramètres!$A$1:$I$89,3,0)*VLOOKUP('Données projet'!$B$10,Paramètres!$A$1:$I$89,5,0)</f>
        <v>212.9400000000002</v>
      </c>
      <c r="AK159" s="14">
        <f t="shared" si="164"/>
        <v>52.577528895212915</v>
      </c>
      <c r="AL159" s="22">
        <f t="shared" si="165"/>
        <v>462.44302949249618</v>
      </c>
      <c r="AM159" s="62">
        <f t="shared" si="113"/>
        <v>749.7979279395845</v>
      </c>
      <c r="AN159" s="62">
        <f ca="1">AVERAGE(OFFSET($AM$3,0,0,'Données projet'!$E$10+1,1))-AVERAGE(OFFSET($H$3,0,0,'Données projet'!$E$10+1,1))</f>
        <v>304.39782420428173</v>
      </c>
      <c r="AO159" s="62">
        <f t="shared" si="144"/>
        <v>360.34132229290537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4.8761391876013462</v>
      </c>
      <c r="AV159" s="23">
        <f>EXP(-LN(2)/25)*AV158+(1-EXP(-LN(2)/25))/(LN(2)/25)*Calculateur!AQ159*Calculateur!AS159*VLOOKUP('Données projet'!$B$10,Paramètres!$A$1:$I$89,3,0)*0.475*44/12</f>
        <v>0.41427086641409361</v>
      </c>
      <c r="AW159" s="23">
        <f>EXP(-LN(2)/2)*AW158+(1-EXP(-LN(2)/2))/(LN(2)/2)*AQ159*AT159*VLOOKUP('Données projet'!$B$10,Paramètres!$A$1:$I$89,3,0)*0.475*44/12</f>
        <v>1.745918527066037E-14</v>
      </c>
      <c r="AX159" s="23">
        <f t="shared" si="166"/>
        <v>5.2904100540154575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273.00000000000023</v>
      </c>
      <c r="BE159" s="14">
        <f>BD159*VLOOKUP('Données projet'!$B$11,Paramètres!$A$1:$I$89,3,0)*VLOOKUP('Données projet'!$B$11,Paramètres!$A$1:$I$89,5,0)</f>
        <v>212.9400000000002</v>
      </c>
      <c r="BF159" s="14">
        <f t="shared" si="167"/>
        <v>52.577528895212915</v>
      </c>
      <c r="BG159" s="22">
        <f t="shared" si="168"/>
        <v>462.44302949249618</v>
      </c>
      <c r="BH159" s="62">
        <f t="shared" si="116"/>
        <v>749.7979279395845</v>
      </c>
      <c r="BI159" s="62">
        <f ca="1">AVERAGE(OFFSET($BH$3,0,0,'Données projet'!$E$11+1,1))-AVERAGE(OFFSET($H$3,0,0,'Données projet'!$E$11+1,1))</f>
        <v>304.39782420428173</v>
      </c>
      <c r="BJ159" s="62">
        <f t="shared" si="146"/>
        <v>360.34132229290537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4.8761391876013462</v>
      </c>
      <c r="BQ159" s="23">
        <f>EXP(-LN(2)/25)*BQ158+(1-EXP(-LN(2)/25))/(LN(2)/25)*Calculateur!BL159*Calculateur!BN159*VLOOKUP('Données projet'!$B$11,Paramètres!$A$1:$I$89,3,0)*0.475*44/12</f>
        <v>0.41427086641409361</v>
      </c>
      <c r="BR159" s="23">
        <f>EXP(-LN(2)/2)*BR158+(1-EXP(-LN(2)/2))/(LN(2)/2)*BL159*BO159*VLOOKUP('Données projet'!$B$11,Paramètres!$A$1:$I$89,3,0)*0.475*44/12</f>
        <v>1.745918527066037E-14</v>
      </c>
      <c r="BS159" s="24">
        <f t="shared" si="169"/>
        <v>5.2904100540154575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273.00000000000023</v>
      </c>
      <c r="BZ159" s="14">
        <f>BY159*VLOOKUP('Données projet'!$B$12,Paramètres!$A$1:$I$89,3,0)*VLOOKUP('Données projet'!$B$12,Paramètres!$A$1:$I$89,5,0)</f>
        <v>212.9400000000002</v>
      </c>
      <c r="CA159" s="14">
        <f t="shared" si="170"/>
        <v>52.577528895212915</v>
      </c>
      <c r="CB159" s="22">
        <f t="shared" si="171"/>
        <v>462.44302949249618</v>
      </c>
      <c r="CC159" s="62">
        <f t="shared" si="119"/>
        <v>749.7979279395845</v>
      </c>
      <c r="CD159" s="62">
        <f ca="1">AVERAGE(OFFSET($CC$3,0,0,'Données projet'!$E$12+1,1))-AVERAGE(OFFSET($H$3,0,0,'Données projet'!$E$12+1,1))</f>
        <v>304.39782420428173</v>
      </c>
      <c r="CE159" s="62">
        <f t="shared" si="148"/>
        <v>360.34132229290537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4.8761391876013462</v>
      </c>
      <c r="CL159" s="23">
        <f>EXP(-LN(2)/25)*CL158+(1-EXP(-LN(2)/25))/(LN(2)/25)*Calculateur!CG159*Calculateur!CI159*VLOOKUP('Données projet'!$B$12,Paramètres!$A$1:$I$89,3,0)*0.475*44/12</f>
        <v>0.41427086641409361</v>
      </c>
      <c r="CM159" s="23">
        <f>EXP(-LN(2)/2)*CM158+(1-EXP(-LN(2)/2))/(LN(2)/2)*CG159*CJ159*VLOOKUP('Données projet'!$B$12,Paramètres!$A$1:$I$89,3,0)*0.475*44/12</f>
        <v>1.745918527066037E-14</v>
      </c>
      <c r="CN159" s="24">
        <f t="shared" si="172"/>
        <v>5.2904100540154575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1.7053025658242404E-13</v>
      </c>
      <c r="O160" s="14">
        <f>N160*VLOOKUP('Données projet'!$B$9,Paramètres!$A$1:$I$89,3,0)*VLOOKUP('Données projet'!$B$9,Paramètres!$A$1:$I$89,5,0)</f>
        <v>7.9808160080574461E-14</v>
      </c>
      <c r="P160" s="14">
        <f t="shared" si="141"/>
        <v>1.2308384591775343E-12</v>
      </c>
      <c r="Q160" s="22">
        <f t="shared" si="162"/>
        <v>2.282709528541206E-12</v>
      </c>
      <c r="R160" s="62">
        <f t="shared" si="109"/>
        <v>287.45861092658885</v>
      </c>
      <c r="S160" s="62">
        <f ca="1">AVERAGE(OFFSET($R$3,0,0,'Données projet'!$E$9+1,1))-AVERAGE(OFFSET($H$3,0,0,'Données projet'!$E$9+1,1))</f>
        <v>234.81928430389272</v>
      </c>
      <c r="T160" s="62">
        <f t="shared" si="142"/>
        <v>294.47057757403411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12.772496319239266</v>
      </c>
      <c r="AA160" s="23">
        <f>EXP(-LN(2)/25)*AA159+(1-EXP(-LN(2)/25))/(LN(2)/25)*Calculateur!V160*Calculateur!X160*VLOOKUP('Données projet'!$B$9,Paramètres!$A$1:$I$89,3,0)*0.475*44/12</f>
        <v>2.5568118583105397</v>
      </c>
      <c r="AB160" s="23">
        <f>EXP(-LN(2)/2)*AB159+(1-EXP(-LN(2)/2))/(LN(2)/2)*V160*Y160*VLOOKUP('Données projet'!$B$9,Paramètres!$A$1:$I$89,3,0)*0.475*44/12</f>
        <v>1.6394036854721152E-13</v>
      </c>
      <c r="AC160" s="24">
        <f t="shared" si="163"/>
        <v>15.329308177549969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273.00000000000023</v>
      </c>
      <c r="AJ160" s="14">
        <f>AI160*VLOOKUP('Données projet'!$B$10,Paramètres!$A$1:$I$89,3,0)*VLOOKUP('Données projet'!$B$10,Paramètres!$A$1:$I$89,5,0)</f>
        <v>212.9400000000002</v>
      </c>
      <c r="AK160" s="14">
        <f t="shared" si="164"/>
        <v>52.577528895212915</v>
      </c>
      <c r="AL160" s="22">
        <f t="shared" si="165"/>
        <v>462.44302949249618</v>
      </c>
      <c r="AM160" s="62">
        <f t="shared" si="113"/>
        <v>749.9016404190827</v>
      </c>
      <c r="AN160" s="62">
        <f ca="1">AVERAGE(OFFSET($AM$3,0,0,'Données projet'!$E$10+1,1))-AVERAGE(OFFSET($H$3,0,0,'Données projet'!$E$10+1,1))</f>
        <v>304.39782420428173</v>
      </c>
      <c r="AO160" s="62">
        <f t="shared" si="144"/>
        <v>360.34132229290537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4.7805210722837153</v>
      </c>
      <c r="AV160" s="23">
        <f>EXP(-LN(2)/25)*AV159+(1-EXP(-LN(2)/25))/(LN(2)/25)*Calculateur!AQ160*Calculateur!AS160*VLOOKUP('Données projet'!$B$10,Paramètres!$A$1:$I$89,3,0)*0.475*44/12</f>
        <v>0.4029426077864422</v>
      </c>
      <c r="AW160" s="23">
        <f>EXP(-LN(2)/2)*AW159+(1-EXP(-LN(2)/2))/(LN(2)/2)*AQ160*AT160*VLOOKUP('Données projet'!$B$10,Paramètres!$A$1:$I$89,3,0)*0.475*44/12</f>
        <v>1.2345508298876236E-14</v>
      </c>
      <c r="AX160" s="23">
        <f t="shared" si="166"/>
        <v>5.1834636800701697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273.00000000000023</v>
      </c>
      <c r="BE160" s="14">
        <f>BD160*VLOOKUP('Données projet'!$B$11,Paramètres!$A$1:$I$89,3,0)*VLOOKUP('Données projet'!$B$11,Paramètres!$A$1:$I$89,5,0)</f>
        <v>212.9400000000002</v>
      </c>
      <c r="BF160" s="14">
        <f t="shared" si="167"/>
        <v>52.577528895212915</v>
      </c>
      <c r="BG160" s="22">
        <f t="shared" si="168"/>
        <v>462.44302949249618</v>
      </c>
      <c r="BH160" s="62">
        <f t="shared" si="116"/>
        <v>749.9016404190827</v>
      </c>
      <c r="BI160" s="62">
        <f ca="1">AVERAGE(OFFSET($BH$3,0,0,'Données projet'!$E$11+1,1))-AVERAGE(OFFSET($H$3,0,0,'Données projet'!$E$11+1,1))</f>
        <v>304.39782420428173</v>
      </c>
      <c r="BJ160" s="62">
        <f t="shared" si="146"/>
        <v>360.34132229290537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4.7805210722837153</v>
      </c>
      <c r="BQ160" s="23">
        <f>EXP(-LN(2)/25)*BQ159+(1-EXP(-LN(2)/25))/(LN(2)/25)*Calculateur!BL160*Calculateur!BN160*VLOOKUP('Données projet'!$B$11,Paramètres!$A$1:$I$89,3,0)*0.475*44/12</f>
        <v>0.4029426077864422</v>
      </c>
      <c r="BR160" s="23">
        <f>EXP(-LN(2)/2)*BR159+(1-EXP(-LN(2)/2))/(LN(2)/2)*BL160*BO160*VLOOKUP('Données projet'!$B$11,Paramètres!$A$1:$I$89,3,0)*0.475*44/12</f>
        <v>1.2345508298876236E-14</v>
      </c>
      <c r="BS160" s="24">
        <f t="shared" si="169"/>
        <v>5.1834636800701697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273.00000000000023</v>
      </c>
      <c r="BZ160" s="14">
        <f>BY160*VLOOKUP('Données projet'!$B$12,Paramètres!$A$1:$I$89,3,0)*VLOOKUP('Données projet'!$B$12,Paramètres!$A$1:$I$89,5,0)</f>
        <v>212.9400000000002</v>
      </c>
      <c r="CA160" s="14">
        <f t="shared" si="170"/>
        <v>52.577528895212915</v>
      </c>
      <c r="CB160" s="22">
        <f t="shared" si="171"/>
        <v>462.44302949249618</v>
      </c>
      <c r="CC160" s="62">
        <f t="shared" si="119"/>
        <v>749.9016404190827</v>
      </c>
      <c r="CD160" s="62">
        <f ca="1">AVERAGE(OFFSET($CC$3,0,0,'Données projet'!$E$12+1,1))-AVERAGE(OFFSET($H$3,0,0,'Données projet'!$E$12+1,1))</f>
        <v>304.39782420428173</v>
      </c>
      <c r="CE160" s="62">
        <f t="shared" si="148"/>
        <v>360.34132229290537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4.7805210722837153</v>
      </c>
      <c r="CL160" s="23">
        <f>EXP(-LN(2)/25)*CL159+(1-EXP(-LN(2)/25))/(LN(2)/25)*Calculateur!CG160*Calculateur!CI160*VLOOKUP('Données projet'!$B$12,Paramètres!$A$1:$I$89,3,0)*0.475*44/12</f>
        <v>0.4029426077864422</v>
      </c>
      <c r="CM160" s="23">
        <f>EXP(-LN(2)/2)*CM159+(1-EXP(-LN(2)/2))/(LN(2)/2)*CG160*CJ160*VLOOKUP('Données projet'!$B$12,Paramètres!$A$1:$I$89,3,0)*0.475*44/12</f>
        <v>1.2345508298876236E-14</v>
      </c>
      <c r="CN160" s="24">
        <f t="shared" si="172"/>
        <v>5.1834636800701697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1.7053025658242404E-13</v>
      </c>
      <c r="O161" s="14">
        <f>N161*VLOOKUP('Données projet'!$B$9,Paramètres!$A$1:$I$89,3,0)*VLOOKUP('Données projet'!$B$9,Paramètres!$A$1:$I$89,5,0)</f>
        <v>7.9808160080574461E-14</v>
      </c>
      <c r="P161" s="14">
        <f t="shared" si="141"/>
        <v>1.2308384591775343E-12</v>
      </c>
      <c r="Q161" s="22">
        <f t="shared" si="162"/>
        <v>2.282709528541206E-12</v>
      </c>
      <c r="R161" s="62">
        <f t="shared" si="109"/>
        <v>287.56052422643427</v>
      </c>
      <c r="S161" s="62">
        <f ca="1">AVERAGE(OFFSET($R$3,0,0,'Données projet'!$E$9+1,1))-AVERAGE(OFFSET($H$3,0,0,'Données projet'!$E$9+1,1))</f>
        <v>234.81928430389272</v>
      </c>
      <c r="T161" s="62">
        <f t="shared" si="142"/>
        <v>294.47057757403411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12.522035456872496</v>
      </c>
      <c r="AA161" s="23">
        <f>EXP(-LN(2)/25)*AA160+(1-EXP(-LN(2)/25))/(LN(2)/25)*Calculateur!V161*Calculateur!X161*VLOOKUP('Données projet'!$B$9,Paramètres!$A$1:$I$89,3,0)*0.475*44/12</f>
        <v>2.486895703588146</v>
      </c>
      <c r="AB161" s="23">
        <f>EXP(-LN(2)/2)*AB160+(1-EXP(-LN(2)/2))/(LN(2)/2)*V161*Y161*VLOOKUP('Données projet'!$B$9,Paramètres!$A$1:$I$89,3,0)*0.475*44/12</f>
        <v>1.1592334630995505E-13</v>
      </c>
      <c r="AC161" s="24">
        <f t="shared" si="163"/>
        <v>15.008931160460758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273.00000000000023</v>
      </c>
      <c r="AJ161" s="14">
        <f>AI161*VLOOKUP('Données projet'!$B$10,Paramètres!$A$1:$I$89,3,0)*VLOOKUP('Données projet'!$B$10,Paramètres!$A$1:$I$89,5,0)</f>
        <v>212.9400000000002</v>
      </c>
      <c r="AK161" s="14">
        <f t="shared" si="164"/>
        <v>52.577528895212915</v>
      </c>
      <c r="AL161" s="22">
        <f t="shared" si="165"/>
        <v>462.44302949249618</v>
      </c>
      <c r="AM161" s="62">
        <f t="shared" si="113"/>
        <v>750.00355371892817</v>
      </c>
      <c r="AN161" s="62">
        <f ca="1">AVERAGE(OFFSET($AM$3,0,0,'Données projet'!$E$10+1,1))-AVERAGE(OFFSET($H$3,0,0,'Données projet'!$E$10+1,1))</f>
        <v>304.39782420428173</v>
      </c>
      <c r="AO161" s="62">
        <f t="shared" si="144"/>
        <v>360.34132229290537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4.6867779698861716</v>
      </c>
      <c r="AV161" s="23">
        <f>EXP(-LN(2)/25)*AV160+(1-EXP(-LN(2)/25))/(LN(2)/25)*Calculateur!AQ161*Calculateur!AS161*VLOOKUP('Données projet'!$B$10,Paramètres!$A$1:$I$89,3,0)*0.475*44/12</f>
        <v>0.3919241209866911</v>
      </c>
      <c r="AW161" s="23">
        <f>EXP(-LN(2)/2)*AW160+(1-EXP(-LN(2)/2))/(LN(2)/2)*AQ161*AT161*VLOOKUP('Données projet'!$B$10,Paramètres!$A$1:$I$89,3,0)*0.475*44/12</f>
        <v>8.7295926353301851E-15</v>
      </c>
      <c r="AX161" s="23">
        <f t="shared" si="166"/>
        <v>5.0787020908728717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273.00000000000023</v>
      </c>
      <c r="BE161" s="14">
        <f>BD161*VLOOKUP('Données projet'!$B$11,Paramètres!$A$1:$I$89,3,0)*VLOOKUP('Données projet'!$B$11,Paramètres!$A$1:$I$89,5,0)</f>
        <v>212.9400000000002</v>
      </c>
      <c r="BF161" s="14">
        <f t="shared" si="167"/>
        <v>52.577528895212915</v>
      </c>
      <c r="BG161" s="22">
        <f t="shared" si="168"/>
        <v>462.44302949249618</v>
      </c>
      <c r="BH161" s="62">
        <f t="shared" si="116"/>
        <v>750.00355371892817</v>
      </c>
      <c r="BI161" s="62">
        <f ca="1">AVERAGE(OFFSET($BH$3,0,0,'Données projet'!$E$11+1,1))-AVERAGE(OFFSET($H$3,0,0,'Données projet'!$E$11+1,1))</f>
        <v>304.39782420428173</v>
      </c>
      <c r="BJ161" s="62">
        <f t="shared" si="146"/>
        <v>360.34132229290537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4.6867779698861716</v>
      </c>
      <c r="BQ161" s="23">
        <f>EXP(-LN(2)/25)*BQ160+(1-EXP(-LN(2)/25))/(LN(2)/25)*Calculateur!BL161*Calculateur!BN161*VLOOKUP('Données projet'!$B$11,Paramètres!$A$1:$I$89,3,0)*0.475*44/12</f>
        <v>0.3919241209866911</v>
      </c>
      <c r="BR161" s="23">
        <f>EXP(-LN(2)/2)*BR160+(1-EXP(-LN(2)/2))/(LN(2)/2)*BL161*BO161*VLOOKUP('Données projet'!$B$11,Paramètres!$A$1:$I$89,3,0)*0.475*44/12</f>
        <v>8.7295926353301851E-15</v>
      </c>
      <c r="BS161" s="24">
        <f t="shared" si="169"/>
        <v>5.0787020908728717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273.00000000000023</v>
      </c>
      <c r="BZ161" s="14">
        <f>BY161*VLOOKUP('Données projet'!$B$12,Paramètres!$A$1:$I$89,3,0)*VLOOKUP('Données projet'!$B$12,Paramètres!$A$1:$I$89,5,0)</f>
        <v>212.9400000000002</v>
      </c>
      <c r="CA161" s="14">
        <f t="shared" si="170"/>
        <v>52.577528895212915</v>
      </c>
      <c r="CB161" s="22">
        <f t="shared" si="171"/>
        <v>462.44302949249618</v>
      </c>
      <c r="CC161" s="62">
        <f t="shared" si="119"/>
        <v>750.00355371892817</v>
      </c>
      <c r="CD161" s="62">
        <f ca="1">AVERAGE(OFFSET($CC$3,0,0,'Données projet'!$E$12+1,1))-AVERAGE(OFFSET($H$3,0,0,'Données projet'!$E$12+1,1))</f>
        <v>304.39782420428173</v>
      </c>
      <c r="CE161" s="62">
        <f t="shared" si="148"/>
        <v>360.34132229290537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4.6867779698861716</v>
      </c>
      <c r="CL161" s="23">
        <f>EXP(-LN(2)/25)*CL160+(1-EXP(-LN(2)/25))/(LN(2)/25)*Calculateur!CG161*Calculateur!CI161*VLOOKUP('Données projet'!$B$12,Paramètres!$A$1:$I$89,3,0)*0.475*44/12</f>
        <v>0.3919241209866911</v>
      </c>
      <c r="CM161" s="23">
        <f>EXP(-LN(2)/2)*CM160+(1-EXP(-LN(2)/2))/(LN(2)/2)*CG161*CJ161*VLOOKUP('Données projet'!$B$12,Paramètres!$A$1:$I$89,3,0)*0.475*44/12</f>
        <v>8.7295926353301851E-15</v>
      </c>
      <c r="CN161" s="24">
        <f t="shared" si="172"/>
        <v>5.0787020908728717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1.7053025658242404E-13</v>
      </c>
      <c r="O162" s="14">
        <f>N162*VLOOKUP('Données projet'!$B$9,Paramètres!$A$1:$I$89,3,0)*VLOOKUP('Données projet'!$B$9,Paramètres!$A$1:$I$89,5,0)</f>
        <v>7.9808160080574461E-14</v>
      </c>
      <c r="P162" s="14">
        <f t="shared" si="141"/>
        <v>1.2308384591775343E-12</v>
      </c>
      <c r="Q162" s="22">
        <f t="shared" si="162"/>
        <v>2.282709528541206E-12</v>
      </c>
      <c r="R162" s="62">
        <f t="shared" si="109"/>
        <v>287.66066955837124</v>
      </c>
      <c r="S162" s="62">
        <f ca="1">AVERAGE(OFFSET($R$3,0,0,'Données projet'!$E$9+1,1))-AVERAGE(OFFSET($H$3,0,0,'Données projet'!$E$9+1,1))</f>
        <v>234.81928430389272</v>
      </c>
      <c r="T162" s="62">
        <f t="shared" si="142"/>
        <v>294.47057757403411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12.276485979250696</v>
      </c>
      <c r="AA162" s="23">
        <f>EXP(-LN(2)/25)*AA161+(1-EXP(-LN(2)/25))/(LN(2)/25)*Calculateur!V162*Calculateur!X162*VLOOKUP('Données projet'!$B$9,Paramètres!$A$1:$I$89,3,0)*0.475*44/12</f>
        <v>2.4188914097933671</v>
      </c>
      <c r="AB162" s="23">
        <f>EXP(-LN(2)/2)*AB161+(1-EXP(-LN(2)/2))/(LN(2)/2)*V162*Y162*VLOOKUP('Données projet'!$B$9,Paramètres!$A$1:$I$89,3,0)*0.475*44/12</f>
        <v>8.197018427360576E-14</v>
      </c>
      <c r="AC162" s="24">
        <f t="shared" si="163"/>
        <v>14.695377389044145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273.00000000000023</v>
      </c>
      <c r="AJ162" s="14">
        <f>AI162*VLOOKUP('Données projet'!$B$10,Paramètres!$A$1:$I$89,3,0)*VLOOKUP('Données projet'!$B$10,Paramètres!$A$1:$I$89,5,0)</f>
        <v>212.9400000000002</v>
      </c>
      <c r="AK162" s="14">
        <f t="shared" si="164"/>
        <v>52.577528895212915</v>
      </c>
      <c r="AL162" s="22">
        <f t="shared" si="165"/>
        <v>462.44302949249618</v>
      </c>
      <c r="AM162" s="62">
        <f t="shared" si="113"/>
        <v>750.10369905086509</v>
      </c>
      <c r="AN162" s="62">
        <f ca="1">AVERAGE(OFFSET($AM$3,0,0,'Données projet'!$E$10+1,1))-AVERAGE(OFFSET($H$3,0,0,'Données projet'!$E$10+1,1))</f>
        <v>304.39782420428173</v>
      </c>
      <c r="AO162" s="62">
        <f t="shared" si="144"/>
        <v>360.34132229290537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4.5948731125489966</v>
      </c>
      <c r="AV162" s="23">
        <f>EXP(-LN(2)/25)*AV161+(1-EXP(-LN(2)/25))/(LN(2)/25)*Calculateur!AQ162*Calculateur!AS162*VLOOKUP('Données projet'!$B$10,Paramètres!$A$1:$I$89,3,0)*0.475*44/12</f>
        <v>0.38120693528791627</v>
      </c>
      <c r="AW162" s="23">
        <f>EXP(-LN(2)/2)*AW161+(1-EXP(-LN(2)/2))/(LN(2)/2)*AQ162*AT162*VLOOKUP('Données projet'!$B$10,Paramètres!$A$1:$I$89,3,0)*0.475*44/12</f>
        <v>6.1727541494381181E-15</v>
      </c>
      <c r="AX162" s="23">
        <f t="shared" si="166"/>
        <v>4.9760800478369189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273.00000000000023</v>
      </c>
      <c r="BE162" s="14">
        <f>BD162*VLOOKUP('Données projet'!$B$11,Paramètres!$A$1:$I$89,3,0)*VLOOKUP('Données projet'!$B$11,Paramètres!$A$1:$I$89,5,0)</f>
        <v>212.9400000000002</v>
      </c>
      <c r="BF162" s="14">
        <f t="shared" si="167"/>
        <v>52.577528895212915</v>
      </c>
      <c r="BG162" s="22">
        <f t="shared" si="168"/>
        <v>462.44302949249618</v>
      </c>
      <c r="BH162" s="62">
        <f t="shared" si="116"/>
        <v>750.10369905086509</v>
      </c>
      <c r="BI162" s="62">
        <f ca="1">AVERAGE(OFFSET($BH$3,0,0,'Données projet'!$E$11+1,1))-AVERAGE(OFFSET($H$3,0,0,'Données projet'!$E$11+1,1))</f>
        <v>304.39782420428173</v>
      </c>
      <c r="BJ162" s="62">
        <f t="shared" si="146"/>
        <v>360.34132229290537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4.5948731125489966</v>
      </c>
      <c r="BQ162" s="23">
        <f>EXP(-LN(2)/25)*BQ161+(1-EXP(-LN(2)/25))/(LN(2)/25)*Calculateur!BL162*Calculateur!BN162*VLOOKUP('Données projet'!$B$11,Paramètres!$A$1:$I$89,3,0)*0.475*44/12</f>
        <v>0.38120693528791627</v>
      </c>
      <c r="BR162" s="23">
        <f>EXP(-LN(2)/2)*BR161+(1-EXP(-LN(2)/2))/(LN(2)/2)*BL162*BO162*VLOOKUP('Données projet'!$B$11,Paramètres!$A$1:$I$89,3,0)*0.475*44/12</f>
        <v>6.1727541494381181E-15</v>
      </c>
      <c r="BS162" s="24">
        <f t="shared" si="169"/>
        <v>4.9760800478369189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273.00000000000023</v>
      </c>
      <c r="BZ162" s="14">
        <f>BY162*VLOOKUP('Données projet'!$B$12,Paramètres!$A$1:$I$89,3,0)*VLOOKUP('Données projet'!$B$12,Paramètres!$A$1:$I$89,5,0)</f>
        <v>212.9400000000002</v>
      </c>
      <c r="CA162" s="14">
        <f t="shared" si="170"/>
        <v>52.577528895212915</v>
      </c>
      <c r="CB162" s="22">
        <f t="shared" si="171"/>
        <v>462.44302949249618</v>
      </c>
      <c r="CC162" s="62">
        <f t="shared" si="119"/>
        <v>750.10369905086509</v>
      </c>
      <c r="CD162" s="62">
        <f ca="1">AVERAGE(OFFSET($CC$3,0,0,'Données projet'!$E$12+1,1))-AVERAGE(OFFSET($H$3,0,0,'Données projet'!$E$12+1,1))</f>
        <v>304.39782420428173</v>
      </c>
      <c r="CE162" s="62">
        <f t="shared" si="148"/>
        <v>360.34132229290537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4.5948731125489966</v>
      </c>
      <c r="CL162" s="23">
        <f>EXP(-LN(2)/25)*CL161+(1-EXP(-LN(2)/25))/(LN(2)/25)*Calculateur!CG162*Calculateur!CI162*VLOOKUP('Données projet'!$B$12,Paramètres!$A$1:$I$89,3,0)*0.475*44/12</f>
        <v>0.38120693528791627</v>
      </c>
      <c r="CM162" s="23">
        <f>EXP(-LN(2)/2)*CM161+(1-EXP(-LN(2)/2))/(LN(2)/2)*CG162*CJ162*VLOOKUP('Données projet'!$B$12,Paramètres!$A$1:$I$89,3,0)*0.475*44/12</f>
        <v>6.1727541494381181E-15</v>
      </c>
      <c r="CN162" s="24">
        <f t="shared" si="172"/>
        <v>4.9760800478369189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1.7053025658242404E-13</v>
      </c>
      <c r="O163" s="14">
        <f>N163*VLOOKUP('Données projet'!$B$9,Paramètres!$A$1:$I$89,3,0)*VLOOKUP('Données projet'!$B$9,Paramètres!$A$1:$I$89,5,0)</f>
        <v>7.9808160080574461E-14</v>
      </c>
      <c r="P163" s="14">
        <f t="shared" si="141"/>
        <v>1.2308384591775343E-12</v>
      </c>
      <c r="Q163" s="22">
        <f t="shared" si="162"/>
        <v>2.282709528541206E-12</v>
      </c>
      <c r="R163" s="62">
        <f t="shared" si="109"/>
        <v>287.75907759269063</v>
      </c>
      <c r="S163" s="62">
        <f ca="1">AVERAGE(OFFSET($R$3,0,0,'Données projet'!$E$9+1,1))-AVERAGE(OFFSET($H$3,0,0,'Données projet'!$E$9+1,1))</f>
        <v>234.81928430389272</v>
      </c>
      <c r="T163" s="62">
        <f t="shared" si="142"/>
        <v>294.47057757403411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12.035751577114667</v>
      </c>
      <c r="AA163" s="23">
        <f>EXP(-LN(2)/25)*AA162+(1-EXP(-LN(2)/25))/(LN(2)/25)*Calculateur!V163*Calculateur!X163*VLOOKUP('Données projet'!$B$9,Paramètres!$A$1:$I$89,3,0)*0.475*44/12</f>
        <v>2.3527466969885968</v>
      </c>
      <c r="AB163" s="23">
        <f>EXP(-LN(2)/2)*AB162+(1-EXP(-LN(2)/2))/(LN(2)/2)*V163*Y163*VLOOKUP('Données projet'!$B$9,Paramètres!$A$1:$I$89,3,0)*0.475*44/12</f>
        <v>5.7961673154977526E-14</v>
      </c>
      <c r="AC163" s="24">
        <f t="shared" si="163"/>
        <v>14.388498274103322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273.00000000000023</v>
      </c>
      <c r="AJ163" s="14">
        <f>AI163*VLOOKUP('Données projet'!$B$10,Paramètres!$A$1:$I$89,3,0)*VLOOKUP('Données projet'!$B$10,Paramètres!$A$1:$I$89,5,0)</f>
        <v>212.9400000000002</v>
      </c>
      <c r="AK163" s="14">
        <f t="shared" si="164"/>
        <v>52.577528895212915</v>
      </c>
      <c r="AL163" s="22">
        <f t="shared" si="165"/>
        <v>462.44302949249618</v>
      </c>
      <c r="AM163" s="62">
        <f t="shared" si="113"/>
        <v>750.20210708518448</v>
      </c>
      <c r="AN163" s="62">
        <f ca="1">AVERAGE(OFFSET($AM$3,0,0,'Données projet'!$E$10+1,1))-AVERAGE(OFFSET($H$3,0,0,'Données projet'!$E$10+1,1))</f>
        <v>304.39782420428173</v>
      </c>
      <c r="AO163" s="62">
        <f t="shared" si="144"/>
        <v>360.34132229290537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4.5047704534077759</v>
      </c>
      <c r="AV163" s="23">
        <f>EXP(-LN(2)/25)*AV162+(1-EXP(-LN(2)/25))/(LN(2)/25)*Calculateur!AQ163*Calculateur!AS163*VLOOKUP('Données projet'!$B$10,Paramètres!$A$1:$I$89,3,0)*0.475*44/12</f>
        <v>0.37078281159566673</v>
      </c>
      <c r="AW163" s="23">
        <f>EXP(-LN(2)/2)*AW162+(1-EXP(-LN(2)/2))/(LN(2)/2)*AQ163*AT163*VLOOKUP('Données projet'!$B$10,Paramètres!$A$1:$I$89,3,0)*0.475*44/12</f>
        <v>4.3647963176650925E-15</v>
      </c>
      <c r="AX163" s="23">
        <f t="shared" si="166"/>
        <v>4.8755532650034468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273.00000000000023</v>
      </c>
      <c r="BE163" s="14">
        <f>BD163*VLOOKUP('Données projet'!$B$11,Paramètres!$A$1:$I$89,3,0)*VLOOKUP('Données projet'!$B$11,Paramètres!$A$1:$I$89,5,0)</f>
        <v>212.9400000000002</v>
      </c>
      <c r="BF163" s="14">
        <f t="shared" si="167"/>
        <v>52.577528895212915</v>
      </c>
      <c r="BG163" s="22">
        <f t="shared" si="168"/>
        <v>462.44302949249618</v>
      </c>
      <c r="BH163" s="62">
        <f t="shared" si="116"/>
        <v>750.20210708518448</v>
      </c>
      <c r="BI163" s="62">
        <f ca="1">AVERAGE(OFFSET($BH$3,0,0,'Données projet'!$E$11+1,1))-AVERAGE(OFFSET($H$3,0,0,'Données projet'!$E$11+1,1))</f>
        <v>304.39782420428173</v>
      </c>
      <c r="BJ163" s="62">
        <f t="shared" si="146"/>
        <v>360.34132229290537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4.5047704534077759</v>
      </c>
      <c r="BQ163" s="23">
        <f>EXP(-LN(2)/25)*BQ162+(1-EXP(-LN(2)/25))/(LN(2)/25)*Calculateur!BL163*Calculateur!BN163*VLOOKUP('Données projet'!$B$11,Paramètres!$A$1:$I$89,3,0)*0.475*44/12</f>
        <v>0.37078281159566673</v>
      </c>
      <c r="BR163" s="23">
        <f>EXP(-LN(2)/2)*BR162+(1-EXP(-LN(2)/2))/(LN(2)/2)*BL163*BO163*VLOOKUP('Données projet'!$B$11,Paramètres!$A$1:$I$89,3,0)*0.475*44/12</f>
        <v>4.3647963176650925E-15</v>
      </c>
      <c r="BS163" s="24">
        <f t="shared" si="169"/>
        <v>4.8755532650034468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273.00000000000023</v>
      </c>
      <c r="BZ163" s="14">
        <f>BY163*VLOOKUP('Données projet'!$B$12,Paramètres!$A$1:$I$89,3,0)*VLOOKUP('Données projet'!$B$12,Paramètres!$A$1:$I$89,5,0)</f>
        <v>212.9400000000002</v>
      </c>
      <c r="CA163" s="14">
        <f t="shared" si="170"/>
        <v>52.577528895212915</v>
      </c>
      <c r="CB163" s="22">
        <f t="shared" si="171"/>
        <v>462.44302949249618</v>
      </c>
      <c r="CC163" s="62">
        <f t="shared" si="119"/>
        <v>750.20210708518448</v>
      </c>
      <c r="CD163" s="62">
        <f ca="1">AVERAGE(OFFSET($CC$3,0,0,'Données projet'!$E$12+1,1))-AVERAGE(OFFSET($H$3,0,0,'Données projet'!$E$12+1,1))</f>
        <v>304.39782420428173</v>
      </c>
      <c r="CE163" s="62">
        <f t="shared" si="148"/>
        <v>360.34132229290537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4.5047704534077759</v>
      </c>
      <c r="CL163" s="23">
        <f>EXP(-LN(2)/25)*CL162+(1-EXP(-LN(2)/25))/(LN(2)/25)*Calculateur!CG163*Calculateur!CI163*VLOOKUP('Données projet'!$B$12,Paramètres!$A$1:$I$89,3,0)*0.475*44/12</f>
        <v>0.37078281159566673</v>
      </c>
      <c r="CM163" s="23">
        <f>EXP(-LN(2)/2)*CM162+(1-EXP(-LN(2)/2))/(LN(2)/2)*CG163*CJ163*VLOOKUP('Données projet'!$B$12,Paramètres!$A$1:$I$89,3,0)*0.475*44/12</f>
        <v>4.3647963176650925E-15</v>
      </c>
      <c r="CN163" s="24">
        <f t="shared" si="172"/>
        <v>4.8755532650034468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1.7053025658242404E-13</v>
      </c>
      <c r="O164" s="14">
        <f>N164*VLOOKUP('Données projet'!$B$9,Paramètres!$A$1:$I$89,3,0)*VLOOKUP('Données projet'!$B$9,Paramètres!$A$1:$I$89,5,0)</f>
        <v>7.9808160080574461E-14</v>
      </c>
      <c r="P164" s="14">
        <f t="shared" si="141"/>
        <v>1.2308384591775343E-12</v>
      </c>
      <c r="Q164" s="22">
        <f t="shared" si="162"/>
        <v>2.282709528541206E-12</v>
      </c>
      <c r="R164" s="62">
        <f t="shared" si="109"/>
        <v>287.85577846762197</v>
      </c>
      <c r="S164" s="62">
        <f ca="1">AVERAGE(OFFSET($R$3,0,0,'Données projet'!$E$9+1,1))-AVERAGE(OFFSET($H$3,0,0,'Données projet'!$E$9+1,1))</f>
        <v>234.81928430389272</v>
      </c>
      <c r="T164" s="62">
        <f t="shared" si="142"/>
        <v>294.47057757403411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11.799737829771038</v>
      </c>
      <c r="AA164" s="23">
        <f>EXP(-LN(2)/25)*AA163+(1-EXP(-LN(2)/25))/(LN(2)/25)*Calculateur!V164*Calculateur!X164*VLOOKUP('Données projet'!$B$9,Paramètres!$A$1:$I$89,3,0)*0.475*44/12</f>
        <v>2.2884107148338719</v>
      </c>
      <c r="AB164" s="23">
        <f>EXP(-LN(2)/2)*AB163+(1-EXP(-LN(2)/2))/(LN(2)/2)*V164*Y164*VLOOKUP('Données projet'!$B$9,Paramètres!$A$1:$I$89,3,0)*0.475*44/12</f>
        <v>4.098509213680288E-14</v>
      </c>
      <c r="AC164" s="24">
        <f t="shared" si="163"/>
        <v>14.08814854460495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273.00000000000023</v>
      </c>
      <c r="AJ164" s="14">
        <f>AI164*VLOOKUP('Données projet'!$B$10,Paramètres!$A$1:$I$89,3,0)*VLOOKUP('Données projet'!$B$10,Paramètres!$A$1:$I$89,5,0)</f>
        <v>212.9400000000002</v>
      </c>
      <c r="AK164" s="14">
        <f t="shared" si="164"/>
        <v>52.577528895212915</v>
      </c>
      <c r="AL164" s="22">
        <f t="shared" si="165"/>
        <v>462.44302949249618</v>
      </c>
      <c r="AM164" s="62">
        <f t="shared" si="113"/>
        <v>750.29880796011594</v>
      </c>
      <c r="AN164" s="62">
        <f ca="1">AVERAGE(OFFSET($AM$3,0,0,'Données projet'!$E$10+1,1))-AVERAGE(OFFSET($H$3,0,0,'Données projet'!$E$10+1,1))</f>
        <v>304.39782420428173</v>
      </c>
      <c r="AO164" s="62">
        <f t="shared" si="144"/>
        <v>360.34132229290537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4.416434652455119</v>
      </c>
      <c r="AV164" s="23">
        <f>EXP(-LN(2)/25)*AV163+(1-EXP(-LN(2)/25))/(LN(2)/25)*Calculateur!AQ164*Calculateur!AS164*VLOOKUP('Données projet'!$B$10,Paramètres!$A$1:$I$89,3,0)*0.475*44/12</f>
        <v>0.36064373611396261</v>
      </c>
      <c r="AW164" s="23">
        <f>EXP(-LN(2)/2)*AW163+(1-EXP(-LN(2)/2))/(LN(2)/2)*AQ164*AT164*VLOOKUP('Données projet'!$B$10,Paramètres!$A$1:$I$89,3,0)*0.475*44/12</f>
        <v>3.086377074719059E-15</v>
      </c>
      <c r="AX164" s="23">
        <f t="shared" si="166"/>
        <v>4.777078388569084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273.00000000000023</v>
      </c>
      <c r="BE164" s="14">
        <f>BD164*VLOOKUP('Données projet'!$B$11,Paramètres!$A$1:$I$89,3,0)*VLOOKUP('Données projet'!$B$11,Paramètres!$A$1:$I$89,5,0)</f>
        <v>212.9400000000002</v>
      </c>
      <c r="BF164" s="14">
        <f t="shared" si="167"/>
        <v>52.577528895212915</v>
      </c>
      <c r="BG164" s="22">
        <f t="shared" si="168"/>
        <v>462.44302949249618</v>
      </c>
      <c r="BH164" s="62">
        <f t="shared" si="116"/>
        <v>750.29880796011594</v>
      </c>
      <c r="BI164" s="62">
        <f ca="1">AVERAGE(OFFSET($BH$3,0,0,'Données projet'!$E$11+1,1))-AVERAGE(OFFSET($H$3,0,0,'Données projet'!$E$11+1,1))</f>
        <v>304.39782420428173</v>
      </c>
      <c r="BJ164" s="62">
        <f t="shared" si="146"/>
        <v>360.34132229290537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4.416434652455119</v>
      </c>
      <c r="BQ164" s="23">
        <f>EXP(-LN(2)/25)*BQ163+(1-EXP(-LN(2)/25))/(LN(2)/25)*Calculateur!BL164*Calculateur!BN164*VLOOKUP('Données projet'!$B$11,Paramètres!$A$1:$I$89,3,0)*0.475*44/12</f>
        <v>0.36064373611396261</v>
      </c>
      <c r="BR164" s="23">
        <f>EXP(-LN(2)/2)*BR163+(1-EXP(-LN(2)/2))/(LN(2)/2)*BL164*BO164*VLOOKUP('Données projet'!$B$11,Paramètres!$A$1:$I$89,3,0)*0.475*44/12</f>
        <v>3.086377074719059E-15</v>
      </c>
      <c r="BS164" s="24">
        <f t="shared" si="169"/>
        <v>4.777078388569084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273.00000000000023</v>
      </c>
      <c r="BZ164" s="14">
        <f>BY164*VLOOKUP('Données projet'!$B$12,Paramètres!$A$1:$I$89,3,0)*VLOOKUP('Données projet'!$B$12,Paramètres!$A$1:$I$89,5,0)</f>
        <v>212.9400000000002</v>
      </c>
      <c r="CA164" s="14">
        <f t="shared" si="170"/>
        <v>52.577528895212915</v>
      </c>
      <c r="CB164" s="22">
        <f t="shared" si="171"/>
        <v>462.44302949249618</v>
      </c>
      <c r="CC164" s="62">
        <f t="shared" si="119"/>
        <v>750.29880796011594</v>
      </c>
      <c r="CD164" s="62">
        <f ca="1">AVERAGE(OFFSET($CC$3,0,0,'Données projet'!$E$12+1,1))-AVERAGE(OFFSET($H$3,0,0,'Données projet'!$E$12+1,1))</f>
        <v>304.39782420428173</v>
      </c>
      <c r="CE164" s="62">
        <f t="shared" si="148"/>
        <v>360.34132229290537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4.416434652455119</v>
      </c>
      <c r="CL164" s="23">
        <f>EXP(-LN(2)/25)*CL163+(1-EXP(-LN(2)/25))/(LN(2)/25)*Calculateur!CG164*Calculateur!CI164*VLOOKUP('Données projet'!$B$12,Paramètres!$A$1:$I$89,3,0)*0.475*44/12</f>
        <v>0.36064373611396261</v>
      </c>
      <c r="CM164" s="23">
        <f>EXP(-LN(2)/2)*CM163+(1-EXP(-LN(2)/2))/(LN(2)/2)*CG164*CJ164*VLOOKUP('Données projet'!$B$12,Paramètres!$A$1:$I$89,3,0)*0.475*44/12</f>
        <v>3.086377074719059E-15</v>
      </c>
      <c r="CN164" s="24">
        <f t="shared" si="172"/>
        <v>4.777078388569084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1.7053025658242404E-13</v>
      </c>
      <c r="O165" s="14">
        <f>N165*VLOOKUP('Données projet'!$B$9,Paramètres!$A$1:$I$89,3,0)*VLOOKUP('Données projet'!$B$9,Paramètres!$A$1:$I$89,5,0)</f>
        <v>7.9808160080574461E-14</v>
      </c>
      <c r="P165" s="14">
        <f t="shared" si="141"/>
        <v>1.2308384591775343E-12</v>
      </c>
      <c r="Q165" s="22">
        <f t="shared" si="162"/>
        <v>2.282709528541206E-12</v>
      </c>
      <c r="R165" s="62">
        <f t="shared" si="109"/>
        <v>287.95080179856399</v>
      </c>
      <c r="S165" s="62">
        <f ca="1">AVERAGE(OFFSET($R$3,0,0,'Données projet'!$E$9+1,1))-AVERAGE(OFFSET($H$3,0,0,'Données projet'!$E$9+1,1))</f>
        <v>234.81928430389272</v>
      </c>
      <c r="T165" s="62">
        <f t="shared" si="142"/>
        <v>294.47057757403411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11.568352168058647</v>
      </c>
      <c r="AA165" s="23">
        <f>EXP(-LN(2)/25)*AA164+(1-EXP(-LN(2)/25))/(LN(2)/25)*Calculateur!V165*Calculateur!X165*VLOOKUP('Données projet'!$B$9,Paramètres!$A$1:$I$89,3,0)*0.475*44/12</f>
        <v>2.2258340034944504</v>
      </c>
      <c r="AB165" s="23">
        <f>EXP(-LN(2)/2)*AB164+(1-EXP(-LN(2)/2))/(LN(2)/2)*V165*Y165*VLOOKUP('Données projet'!$B$9,Paramètres!$A$1:$I$89,3,0)*0.475*44/12</f>
        <v>2.8980836577488763E-14</v>
      </c>
      <c r="AC165" s="24">
        <f t="shared" si="163"/>
        <v>13.794186171553125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273.00000000000023</v>
      </c>
      <c r="AJ165" s="14">
        <f>AI165*VLOOKUP('Données projet'!$B$10,Paramètres!$A$1:$I$89,3,0)*VLOOKUP('Données projet'!$B$10,Paramètres!$A$1:$I$89,5,0)</f>
        <v>212.9400000000002</v>
      </c>
      <c r="AK165" s="14">
        <f t="shared" si="164"/>
        <v>52.577528895212915</v>
      </c>
      <c r="AL165" s="22">
        <f t="shared" si="165"/>
        <v>462.44302949249618</v>
      </c>
      <c r="AM165" s="62">
        <f t="shared" si="113"/>
        <v>750.39383129105795</v>
      </c>
      <c r="AN165" s="62">
        <f ca="1">AVERAGE(OFFSET($AM$3,0,0,'Données projet'!$E$10+1,1))-AVERAGE(OFFSET($H$3,0,0,'Données projet'!$E$10+1,1))</f>
        <v>304.39782420428173</v>
      </c>
      <c r="AO165" s="62">
        <f t="shared" si="144"/>
        <v>360.34132229290537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4.3298310626796255</v>
      </c>
      <c r="AV165" s="23">
        <f>EXP(-LN(2)/25)*AV164+(1-EXP(-LN(2)/25))/(LN(2)/25)*Calculateur!AQ165*Calculateur!AS165*VLOOKUP('Données projet'!$B$10,Paramètres!$A$1:$I$89,3,0)*0.475*44/12</f>
        <v>0.3507819141844965</v>
      </c>
      <c r="AW165" s="23">
        <f>EXP(-LN(2)/2)*AW164+(1-EXP(-LN(2)/2))/(LN(2)/2)*AQ165*AT165*VLOOKUP('Données projet'!$B$10,Paramètres!$A$1:$I$89,3,0)*0.475*44/12</f>
        <v>2.1823981588325463E-15</v>
      </c>
      <c r="AX165" s="23">
        <f t="shared" si="166"/>
        <v>4.6806129768641238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273.00000000000023</v>
      </c>
      <c r="BE165" s="14">
        <f>BD165*VLOOKUP('Données projet'!$B$11,Paramètres!$A$1:$I$89,3,0)*VLOOKUP('Données projet'!$B$11,Paramètres!$A$1:$I$89,5,0)</f>
        <v>212.9400000000002</v>
      </c>
      <c r="BF165" s="14">
        <f t="shared" si="167"/>
        <v>52.577528895212915</v>
      </c>
      <c r="BG165" s="22">
        <f t="shared" si="168"/>
        <v>462.44302949249618</v>
      </c>
      <c r="BH165" s="62">
        <f t="shared" si="116"/>
        <v>750.39383129105795</v>
      </c>
      <c r="BI165" s="62">
        <f ca="1">AVERAGE(OFFSET($BH$3,0,0,'Données projet'!$E$11+1,1))-AVERAGE(OFFSET($H$3,0,0,'Données projet'!$E$11+1,1))</f>
        <v>304.39782420428173</v>
      </c>
      <c r="BJ165" s="62">
        <f t="shared" si="146"/>
        <v>360.34132229290537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4.3298310626796255</v>
      </c>
      <c r="BQ165" s="23">
        <f>EXP(-LN(2)/25)*BQ164+(1-EXP(-LN(2)/25))/(LN(2)/25)*Calculateur!BL165*Calculateur!BN165*VLOOKUP('Données projet'!$B$11,Paramètres!$A$1:$I$89,3,0)*0.475*44/12</f>
        <v>0.3507819141844965</v>
      </c>
      <c r="BR165" s="23">
        <f>EXP(-LN(2)/2)*BR164+(1-EXP(-LN(2)/2))/(LN(2)/2)*BL165*BO165*VLOOKUP('Données projet'!$B$11,Paramètres!$A$1:$I$89,3,0)*0.475*44/12</f>
        <v>2.1823981588325463E-15</v>
      </c>
      <c r="BS165" s="24">
        <f t="shared" si="169"/>
        <v>4.6806129768641238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273.00000000000023</v>
      </c>
      <c r="BZ165" s="14">
        <f>BY165*VLOOKUP('Données projet'!$B$12,Paramètres!$A$1:$I$89,3,0)*VLOOKUP('Données projet'!$B$12,Paramètres!$A$1:$I$89,5,0)</f>
        <v>212.9400000000002</v>
      </c>
      <c r="CA165" s="14">
        <f t="shared" si="170"/>
        <v>52.577528895212915</v>
      </c>
      <c r="CB165" s="22">
        <f t="shared" si="171"/>
        <v>462.44302949249618</v>
      </c>
      <c r="CC165" s="62">
        <f t="shared" si="119"/>
        <v>750.39383129105795</v>
      </c>
      <c r="CD165" s="62">
        <f ca="1">AVERAGE(OFFSET($CC$3,0,0,'Données projet'!$E$12+1,1))-AVERAGE(OFFSET($H$3,0,0,'Données projet'!$E$12+1,1))</f>
        <v>304.39782420428173</v>
      </c>
      <c r="CE165" s="62">
        <f t="shared" si="148"/>
        <v>360.34132229290537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4.3298310626796255</v>
      </c>
      <c r="CL165" s="23">
        <f>EXP(-LN(2)/25)*CL164+(1-EXP(-LN(2)/25))/(LN(2)/25)*Calculateur!CG165*Calculateur!CI165*VLOOKUP('Données projet'!$B$12,Paramètres!$A$1:$I$89,3,0)*0.475*44/12</f>
        <v>0.3507819141844965</v>
      </c>
      <c r="CM165" s="23">
        <f>EXP(-LN(2)/2)*CM164+(1-EXP(-LN(2)/2))/(LN(2)/2)*CG165*CJ165*VLOOKUP('Données projet'!$B$12,Paramètres!$A$1:$I$89,3,0)*0.475*44/12</f>
        <v>2.1823981588325463E-15</v>
      </c>
      <c r="CN165" s="24">
        <f t="shared" si="172"/>
        <v>4.6806129768641238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1.7053025658242404E-13</v>
      </c>
      <c r="O166" s="14">
        <f>N166*VLOOKUP('Données projet'!$B$9,Paramètres!$A$1:$I$89,3,0)*VLOOKUP('Données projet'!$B$9,Paramètres!$A$1:$I$89,5,0)</f>
        <v>7.9808160080574461E-14</v>
      </c>
      <c r="P166" s="14">
        <f t="shared" si="141"/>
        <v>1.2308384591775343E-12</v>
      </c>
      <c r="Q166" s="22">
        <f t="shared" si="162"/>
        <v>2.282709528541206E-12</v>
      </c>
      <c r="R166" s="62">
        <f t="shared" si="109"/>
        <v>288.0441766871545</v>
      </c>
      <c r="S166" s="62">
        <f ca="1">AVERAGE(OFFSET($R$3,0,0,'Données projet'!$E$9+1,1))-AVERAGE(OFFSET($H$3,0,0,'Données projet'!$E$9+1,1))</f>
        <v>234.81928430389272</v>
      </c>
      <c r="T166" s="62">
        <f t="shared" si="142"/>
        <v>294.47057757403411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11.341503838041117</v>
      </c>
      <c r="AA166" s="23">
        <f>EXP(-LN(2)/25)*AA165+(1-EXP(-LN(2)/25))/(LN(2)/25)*Calculateur!V166*Calculateur!X166*VLOOKUP('Données projet'!$B$9,Paramètres!$A$1:$I$89,3,0)*0.475*44/12</f>
        <v>2.1649684556173714</v>
      </c>
      <c r="AB166" s="23">
        <f>EXP(-LN(2)/2)*AB165+(1-EXP(-LN(2)/2))/(LN(2)/2)*V166*Y166*VLOOKUP('Données projet'!$B$9,Paramètres!$A$1:$I$89,3,0)*0.475*44/12</f>
        <v>2.049254606840144E-14</v>
      </c>
      <c r="AC166" s="24">
        <f t="shared" si="163"/>
        <v>13.50647229365851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273.00000000000023</v>
      </c>
      <c r="AJ166" s="14">
        <f>AI166*VLOOKUP('Données projet'!$B$10,Paramètres!$A$1:$I$89,3,0)*VLOOKUP('Données projet'!$B$10,Paramètres!$A$1:$I$89,5,0)</f>
        <v>212.9400000000002</v>
      </c>
      <c r="AK166" s="14">
        <f t="shared" si="164"/>
        <v>52.577528895212915</v>
      </c>
      <c r="AL166" s="22">
        <f t="shared" si="165"/>
        <v>462.44302949249618</v>
      </c>
      <c r="AM166" s="62">
        <f t="shared" si="113"/>
        <v>750.48720617964841</v>
      </c>
      <c r="AN166" s="62">
        <f ca="1">AVERAGE(OFFSET($AM$3,0,0,'Données projet'!$E$10+1,1))-AVERAGE(OFFSET($H$3,0,0,'Données projet'!$E$10+1,1))</f>
        <v>304.39782420428173</v>
      </c>
      <c r="AO166" s="62">
        <f t="shared" si="144"/>
        <v>360.34132229290537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4.2449257164766552</v>
      </c>
      <c r="AV166" s="23">
        <f>EXP(-LN(2)/25)*AV165+(1-EXP(-LN(2)/25))/(LN(2)/25)*Calculateur!AQ166*Calculateur!AS166*VLOOKUP('Données projet'!$B$10,Paramètres!$A$1:$I$89,3,0)*0.475*44/12</f>
        <v>0.34118976429430231</v>
      </c>
      <c r="AW166" s="23">
        <f>EXP(-LN(2)/2)*AW165+(1-EXP(-LN(2)/2))/(LN(2)/2)*AQ166*AT166*VLOOKUP('Données projet'!$B$10,Paramètres!$A$1:$I$89,3,0)*0.475*44/12</f>
        <v>1.5431885373595295E-15</v>
      </c>
      <c r="AX166" s="23">
        <f t="shared" si="166"/>
        <v>4.5861154807709594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273.00000000000023</v>
      </c>
      <c r="BE166" s="14">
        <f>BD166*VLOOKUP('Données projet'!$B$11,Paramètres!$A$1:$I$89,3,0)*VLOOKUP('Données projet'!$B$11,Paramètres!$A$1:$I$89,5,0)</f>
        <v>212.9400000000002</v>
      </c>
      <c r="BF166" s="14">
        <f t="shared" si="167"/>
        <v>52.577528895212915</v>
      </c>
      <c r="BG166" s="22">
        <f t="shared" si="168"/>
        <v>462.44302949249618</v>
      </c>
      <c r="BH166" s="62">
        <f t="shared" si="116"/>
        <v>750.48720617964841</v>
      </c>
      <c r="BI166" s="62">
        <f ca="1">AVERAGE(OFFSET($BH$3,0,0,'Données projet'!$E$11+1,1))-AVERAGE(OFFSET($H$3,0,0,'Données projet'!$E$11+1,1))</f>
        <v>304.39782420428173</v>
      </c>
      <c r="BJ166" s="62">
        <f t="shared" si="146"/>
        <v>360.34132229290537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4.2449257164766552</v>
      </c>
      <c r="BQ166" s="23">
        <f>EXP(-LN(2)/25)*BQ165+(1-EXP(-LN(2)/25))/(LN(2)/25)*Calculateur!BL166*Calculateur!BN166*VLOOKUP('Données projet'!$B$11,Paramètres!$A$1:$I$89,3,0)*0.475*44/12</f>
        <v>0.34118976429430231</v>
      </c>
      <c r="BR166" s="23">
        <f>EXP(-LN(2)/2)*BR165+(1-EXP(-LN(2)/2))/(LN(2)/2)*BL166*BO166*VLOOKUP('Données projet'!$B$11,Paramètres!$A$1:$I$89,3,0)*0.475*44/12</f>
        <v>1.5431885373595295E-15</v>
      </c>
      <c r="BS166" s="24">
        <f t="shared" si="169"/>
        <v>4.5861154807709594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273.00000000000023</v>
      </c>
      <c r="BZ166" s="14">
        <f>BY166*VLOOKUP('Données projet'!$B$12,Paramètres!$A$1:$I$89,3,0)*VLOOKUP('Données projet'!$B$12,Paramètres!$A$1:$I$89,5,0)</f>
        <v>212.9400000000002</v>
      </c>
      <c r="CA166" s="14">
        <f t="shared" si="170"/>
        <v>52.577528895212915</v>
      </c>
      <c r="CB166" s="22">
        <f t="shared" si="171"/>
        <v>462.44302949249618</v>
      </c>
      <c r="CC166" s="62">
        <f t="shared" si="119"/>
        <v>750.48720617964841</v>
      </c>
      <c r="CD166" s="62">
        <f ca="1">AVERAGE(OFFSET($CC$3,0,0,'Données projet'!$E$12+1,1))-AVERAGE(OFFSET($H$3,0,0,'Données projet'!$E$12+1,1))</f>
        <v>304.39782420428173</v>
      </c>
      <c r="CE166" s="62">
        <f t="shared" si="148"/>
        <v>360.34132229290537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4.2449257164766552</v>
      </c>
      <c r="CL166" s="23">
        <f>EXP(-LN(2)/25)*CL165+(1-EXP(-LN(2)/25))/(LN(2)/25)*Calculateur!CG166*Calculateur!CI166*VLOOKUP('Données projet'!$B$12,Paramètres!$A$1:$I$89,3,0)*0.475*44/12</f>
        <v>0.34118976429430231</v>
      </c>
      <c r="CM166" s="23">
        <f>EXP(-LN(2)/2)*CM165+(1-EXP(-LN(2)/2))/(LN(2)/2)*CG166*CJ166*VLOOKUP('Données projet'!$B$12,Paramètres!$A$1:$I$89,3,0)*0.475*44/12</f>
        <v>1.5431885373595295E-15</v>
      </c>
      <c r="CN166" s="24">
        <f t="shared" si="172"/>
        <v>4.5861154807709594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1.7053025658242404E-13</v>
      </c>
      <c r="O167" s="14">
        <f>N167*VLOOKUP('Données projet'!$B$9,Paramètres!$A$1:$I$89,3,0)*VLOOKUP('Données projet'!$B$9,Paramètres!$A$1:$I$89,5,0)</f>
        <v>7.9808160080574461E-14</v>
      </c>
      <c r="P167" s="14">
        <f t="shared" si="141"/>
        <v>1.2308384591775343E-12</v>
      </c>
      <c r="Q167" s="22">
        <f t="shared" si="162"/>
        <v>2.282709528541206E-12</v>
      </c>
      <c r="R167" s="62">
        <f t="shared" si="109"/>
        <v>288.13593173018296</v>
      </c>
      <c r="S167" s="62">
        <f ca="1">AVERAGE(OFFSET($R$3,0,0,'Données projet'!$E$9+1,1))-AVERAGE(OFFSET($H$3,0,0,'Données projet'!$E$9+1,1))</f>
        <v>234.81928430389272</v>
      </c>
      <c r="T167" s="62">
        <f t="shared" si="142"/>
        <v>294.47057757403411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11.119103865411413</v>
      </c>
      <c r="AA167" s="23">
        <f>EXP(-LN(2)/25)*AA166+(1-EXP(-LN(2)/25))/(LN(2)/25)*Calculateur!V167*Calculateur!X167*VLOOKUP('Données projet'!$B$9,Paramètres!$A$1:$I$89,3,0)*0.475*44/12</f>
        <v>2.1057672793477713</v>
      </c>
      <c r="AB167" s="23">
        <f>EXP(-LN(2)/2)*AB166+(1-EXP(-LN(2)/2))/(LN(2)/2)*V167*Y167*VLOOKUP('Données projet'!$B$9,Paramètres!$A$1:$I$89,3,0)*0.475*44/12</f>
        <v>1.4490418288744382E-14</v>
      </c>
      <c r="AC167" s="24">
        <f t="shared" si="163"/>
        <v>13.224871144759199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273.00000000000023</v>
      </c>
      <c r="AJ167" s="14">
        <f>AI167*VLOOKUP('Données projet'!$B$10,Paramètres!$A$1:$I$89,3,0)*VLOOKUP('Données projet'!$B$10,Paramètres!$A$1:$I$89,5,0)</f>
        <v>212.9400000000002</v>
      </c>
      <c r="AK167" s="14">
        <f t="shared" si="164"/>
        <v>52.577528895212915</v>
      </c>
      <c r="AL167" s="22">
        <f t="shared" si="165"/>
        <v>462.44302949249618</v>
      </c>
      <c r="AM167" s="62">
        <f t="shared" si="113"/>
        <v>750.57896122267687</v>
      </c>
      <c r="AN167" s="62">
        <f ca="1">AVERAGE(OFFSET($AM$3,0,0,'Données projet'!$E$10+1,1))-AVERAGE(OFFSET($H$3,0,0,'Données projet'!$E$10+1,1))</f>
        <v>304.39782420428173</v>
      </c>
      <c r="AO167" s="62">
        <f t="shared" si="144"/>
        <v>360.34132229290537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4.1616853123255781</v>
      </c>
      <c r="AV167" s="23">
        <f>EXP(-LN(2)/25)*AV166+(1-EXP(-LN(2)/25))/(LN(2)/25)*Calculateur!AQ167*Calculateur!AS167*VLOOKUP('Données projet'!$B$10,Paramètres!$A$1:$I$89,3,0)*0.475*44/12</f>
        <v>0.33185991224728473</v>
      </c>
      <c r="AW167" s="23">
        <f>EXP(-LN(2)/2)*AW166+(1-EXP(-LN(2)/2))/(LN(2)/2)*AQ167*AT167*VLOOKUP('Données projet'!$B$10,Paramètres!$A$1:$I$89,3,0)*0.475*44/12</f>
        <v>1.0911990794162731E-15</v>
      </c>
      <c r="AX167" s="23">
        <f t="shared" si="166"/>
        <v>4.4935452245728635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273.00000000000023</v>
      </c>
      <c r="BE167" s="14">
        <f>BD167*VLOOKUP('Données projet'!$B$11,Paramètres!$A$1:$I$89,3,0)*VLOOKUP('Données projet'!$B$11,Paramètres!$A$1:$I$89,5,0)</f>
        <v>212.9400000000002</v>
      </c>
      <c r="BF167" s="14">
        <f t="shared" si="167"/>
        <v>52.577528895212915</v>
      </c>
      <c r="BG167" s="22">
        <f t="shared" si="168"/>
        <v>462.44302949249618</v>
      </c>
      <c r="BH167" s="62">
        <f t="shared" si="116"/>
        <v>750.57896122267687</v>
      </c>
      <c r="BI167" s="62">
        <f ca="1">AVERAGE(OFFSET($BH$3,0,0,'Données projet'!$E$11+1,1))-AVERAGE(OFFSET($H$3,0,0,'Données projet'!$E$11+1,1))</f>
        <v>304.39782420428173</v>
      </c>
      <c r="BJ167" s="62">
        <f t="shared" si="146"/>
        <v>360.34132229290537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4.1616853123255781</v>
      </c>
      <c r="BQ167" s="23">
        <f>EXP(-LN(2)/25)*BQ166+(1-EXP(-LN(2)/25))/(LN(2)/25)*Calculateur!BL167*Calculateur!BN167*VLOOKUP('Données projet'!$B$11,Paramètres!$A$1:$I$89,3,0)*0.475*44/12</f>
        <v>0.33185991224728473</v>
      </c>
      <c r="BR167" s="23">
        <f>EXP(-LN(2)/2)*BR166+(1-EXP(-LN(2)/2))/(LN(2)/2)*BL167*BO167*VLOOKUP('Données projet'!$B$11,Paramètres!$A$1:$I$89,3,0)*0.475*44/12</f>
        <v>1.0911990794162731E-15</v>
      </c>
      <c r="BS167" s="24">
        <f t="shared" si="169"/>
        <v>4.4935452245728635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273.00000000000023</v>
      </c>
      <c r="BZ167" s="14">
        <f>BY167*VLOOKUP('Données projet'!$B$12,Paramètres!$A$1:$I$89,3,0)*VLOOKUP('Données projet'!$B$12,Paramètres!$A$1:$I$89,5,0)</f>
        <v>212.9400000000002</v>
      </c>
      <c r="CA167" s="14">
        <f t="shared" si="170"/>
        <v>52.577528895212915</v>
      </c>
      <c r="CB167" s="22">
        <f t="shared" si="171"/>
        <v>462.44302949249618</v>
      </c>
      <c r="CC167" s="62">
        <f t="shared" si="119"/>
        <v>750.57896122267687</v>
      </c>
      <c r="CD167" s="62">
        <f ca="1">AVERAGE(OFFSET($CC$3,0,0,'Données projet'!$E$12+1,1))-AVERAGE(OFFSET($H$3,0,0,'Données projet'!$E$12+1,1))</f>
        <v>304.39782420428173</v>
      </c>
      <c r="CE167" s="62">
        <f t="shared" si="148"/>
        <v>360.34132229290537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4.1616853123255781</v>
      </c>
      <c r="CL167" s="23">
        <f>EXP(-LN(2)/25)*CL166+(1-EXP(-LN(2)/25))/(LN(2)/25)*Calculateur!CG167*Calculateur!CI167*VLOOKUP('Données projet'!$B$12,Paramètres!$A$1:$I$89,3,0)*0.475*44/12</f>
        <v>0.33185991224728473</v>
      </c>
      <c r="CM167" s="23">
        <f>EXP(-LN(2)/2)*CM166+(1-EXP(-LN(2)/2))/(LN(2)/2)*CG167*CJ167*VLOOKUP('Données projet'!$B$12,Paramètres!$A$1:$I$89,3,0)*0.475*44/12</f>
        <v>1.0911990794162731E-15</v>
      </c>
      <c r="CN167" s="24">
        <f t="shared" si="172"/>
        <v>4.4935452245728635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1.7053025658242404E-13</v>
      </c>
      <c r="O168" s="14">
        <f>N168*VLOOKUP('Données projet'!$B$9,Paramètres!$A$1:$I$89,3,0)*VLOOKUP('Données projet'!$B$9,Paramètres!$A$1:$I$89,5,0)</f>
        <v>7.9808160080574461E-14</v>
      </c>
      <c r="P168" s="14">
        <f t="shared" si="141"/>
        <v>1.2308384591775343E-12</v>
      </c>
      <c r="Q168" s="22">
        <f t="shared" si="162"/>
        <v>2.282709528541206E-12</v>
      </c>
      <c r="R168" s="62">
        <f t="shared" si="109"/>
        <v>288.22609502834842</v>
      </c>
      <c r="S168" s="62">
        <f ca="1">AVERAGE(OFFSET($R$3,0,0,'Données projet'!$E$9+1,1))-AVERAGE(OFFSET($H$3,0,0,'Données projet'!$E$9+1,1))</f>
        <v>234.81928430389272</v>
      </c>
      <c r="T168" s="62">
        <f t="shared" si="142"/>
        <v>294.47057757403411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10.901065020594388</v>
      </c>
      <c r="AA168" s="23">
        <f>EXP(-LN(2)/25)*AA167+(1-EXP(-LN(2)/25))/(LN(2)/25)*Calculateur!V168*Calculateur!X168*VLOOKUP('Données projet'!$B$9,Paramètres!$A$1:$I$89,3,0)*0.475*44/12</f>
        <v>2.048184962356518</v>
      </c>
      <c r="AB168" s="23">
        <f>EXP(-LN(2)/2)*AB167+(1-EXP(-LN(2)/2))/(LN(2)/2)*V168*Y168*VLOOKUP('Données projet'!$B$9,Paramètres!$A$1:$I$89,3,0)*0.475*44/12</f>
        <v>1.024627303420072E-14</v>
      </c>
      <c r="AC168" s="24">
        <f t="shared" si="163"/>
        <v>12.949249982950917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273.00000000000023</v>
      </c>
      <c r="AJ168" s="14">
        <f>AI168*VLOOKUP('Données projet'!$B$10,Paramètres!$A$1:$I$89,3,0)*VLOOKUP('Données projet'!$B$10,Paramètres!$A$1:$I$89,5,0)</f>
        <v>212.9400000000002</v>
      </c>
      <c r="AK168" s="14">
        <f t="shared" si="164"/>
        <v>52.577528895212915</v>
      </c>
      <c r="AL168" s="22">
        <f t="shared" si="165"/>
        <v>462.44302949249618</v>
      </c>
      <c r="AM168" s="62">
        <f t="shared" si="113"/>
        <v>750.66912452084239</v>
      </c>
      <c r="AN168" s="62">
        <f ca="1">AVERAGE(OFFSET($AM$3,0,0,'Données projet'!$E$10+1,1))-AVERAGE(OFFSET($H$3,0,0,'Données projet'!$E$10+1,1))</f>
        <v>304.39782420428173</v>
      </c>
      <c r="AO168" s="62">
        <f t="shared" si="144"/>
        <v>360.34132229290537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4.0800772017282698</v>
      </c>
      <c r="AV168" s="23">
        <f>EXP(-LN(2)/25)*AV167+(1-EXP(-LN(2)/25))/(LN(2)/25)*Calculateur!AQ168*Calculateur!AS168*VLOOKUP('Données projet'!$B$10,Paramètres!$A$1:$I$89,3,0)*0.475*44/12</f>
        <v>0.32278518549512841</v>
      </c>
      <c r="AW168" s="23">
        <f>EXP(-LN(2)/2)*AW167+(1-EXP(-LN(2)/2))/(LN(2)/2)*AQ168*AT168*VLOOKUP('Données projet'!$B$10,Paramètres!$A$1:$I$89,3,0)*0.475*44/12</f>
        <v>7.7159426867976476E-16</v>
      </c>
      <c r="AX168" s="23">
        <f t="shared" si="166"/>
        <v>4.402862387223399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273.00000000000023</v>
      </c>
      <c r="BE168" s="14">
        <f>BD168*VLOOKUP('Données projet'!$B$11,Paramètres!$A$1:$I$89,3,0)*VLOOKUP('Données projet'!$B$11,Paramètres!$A$1:$I$89,5,0)</f>
        <v>212.9400000000002</v>
      </c>
      <c r="BF168" s="14">
        <f t="shared" si="167"/>
        <v>52.577528895212915</v>
      </c>
      <c r="BG168" s="22">
        <f t="shared" si="168"/>
        <v>462.44302949249618</v>
      </c>
      <c r="BH168" s="62">
        <f t="shared" si="116"/>
        <v>750.66912452084239</v>
      </c>
      <c r="BI168" s="62">
        <f ca="1">AVERAGE(OFFSET($BH$3,0,0,'Données projet'!$E$11+1,1))-AVERAGE(OFFSET($H$3,0,0,'Données projet'!$E$11+1,1))</f>
        <v>304.39782420428173</v>
      </c>
      <c r="BJ168" s="62">
        <f t="shared" si="146"/>
        <v>360.34132229290537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4.0800772017282698</v>
      </c>
      <c r="BQ168" s="23">
        <f>EXP(-LN(2)/25)*BQ167+(1-EXP(-LN(2)/25))/(LN(2)/25)*Calculateur!BL168*Calculateur!BN168*VLOOKUP('Données projet'!$B$11,Paramètres!$A$1:$I$89,3,0)*0.475*44/12</f>
        <v>0.32278518549512841</v>
      </c>
      <c r="BR168" s="23">
        <f>EXP(-LN(2)/2)*BR167+(1-EXP(-LN(2)/2))/(LN(2)/2)*BL168*BO168*VLOOKUP('Données projet'!$B$11,Paramètres!$A$1:$I$89,3,0)*0.475*44/12</f>
        <v>7.7159426867976476E-16</v>
      </c>
      <c r="BS168" s="24">
        <f t="shared" si="169"/>
        <v>4.402862387223399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273.00000000000023</v>
      </c>
      <c r="BZ168" s="14">
        <f>BY168*VLOOKUP('Données projet'!$B$12,Paramètres!$A$1:$I$89,3,0)*VLOOKUP('Données projet'!$B$12,Paramètres!$A$1:$I$89,5,0)</f>
        <v>212.9400000000002</v>
      </c>
      <c r="CA168" s="14">
        <f t="shared" si="170"/>
        <v>52.577528895212915</v>
      </c>
      <c r="CB168" s="22">
        <f t="shared" si="171"/>
        <v>462.44302949249618</v>
      </c>
      <c r="CC168" s="62">
        <f t="shared" si="119"/>
        <v>750.66912452084239</v>
      </c>
      <c r="CD168" s="62">
        <f ca="1">AVERAGE(OFFSET($CC$3,0,0,'Données projet'!$E$12+1,1))-AVERAGE(OFFSET($H$3,0,0,'Données projet'!$E$12+1,1))</f>
        <v>304.39782420428173</v>
      </c>
      <c r="CE168" s="62">
        <f t="shared" si="148"/>
        <v>360.34132229290537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4.0800772017282698</v>
      </c>
      <c r="CL168" s="23">
        <f>EXP(-LN(2)/25)*CL167+(1-EXP(-LN(2)/25))/(LN(2)/25)*Calculateur!CG168*Calculateur!CI168*VLOOKUP('Données projet'!$B$12,Paramètres!$A$1:$I$89,3,0)*0.475*44/12</f>
        <v>0.32278518549512841</v>
      </c>
      <c r="CM168" s="23">
        <f>EXP(-LN(2)/2)*CM167+(1-EXP(-LN(2)/2))/(LN(2)/2)*CG168*CJ168*VLOOKUP('Données projet'!$B$12,Paramètres!$A$1:$I$89,3,0)*0.475*44/12</f>
        <v>7.7159426867976476E-16</v>
      </c>
      <c r="CN168" s="24">
        <f t="shared" si="172"/>
        <v>4.402862387223399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1.7053025658242404E-13</v>
      </c>
      <c r="O169" s="14">
        <f>N169*VLOOKUP('Données projet'!$B$9,Paramètres!$A$1:$I$89,3,0)*VLOOKUP('Données projet'!$B$9,Paramètres!$A$1:$I$89,5,0)</f>
        <v>7.9808160080574461E-14</v>
      </c>
      <c r="P169" s="14">
        <f t="shared" si="141"/>
        <v>1.2308384591775343E-12</v>
      </c>
      <c r="Q169" s="22">
        <f t="shared" si="162"/>
        <v>2.282709528541206E-12</v>
      </c>
      <c r="R169" s="62">
        <f t="shared" si="109"/>
        <v>288.31469419486569</v>
      </c>
      <c r="S169" s="62">
        <f ca="1">AVERAGE(OFFSET($R$3,0,0,'Données projet'!$E$9+1,1))-AVERAGE(OFFSET($H$3,0,0,'Données projet'!$E$9+1,1))</f>
        <v>234.81928430389272</v>
      </c>
      <c r="T169" s="62">
        <f t="shared" si="142"/>
        <v>294.47057757403411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10.687301784533661</v>
      </c>
      <c r="AA169" s="23">
        <f>EXP(-LN(2)/25)*AA168+(1-EXP(-LN(2)/25))/(LN(2)/25)*Calculateur!V169*Calculateur!X169*VLOOKUP('Données projet'!$B$9,Paramètres!$A$1:$I$89,3,0)*0.475*44/12</f>
        <v>1.9921772368515132</v>
      </c>
      <c r="AB169" s="23">
        <f>EXP(-LN(2)/2)*AB168+(1-EXP(-LN(2)/2))/(LN(2)/2)*V169*Y169*VLOOKUP('Données projet'!$B$9,Paramètres!$A$1:$I$89,3,0)*0.475*44/12</f>
        <v>7.2452091443721908E-15</v>
      </c>
      <c r="AC169" s="24">
        <f t="shared" si="163"/>
        <v>12.67947902138518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273.00000000000023</v>
      </c>
      <c r="AJ169" s="14">
        <f>AI169*VLOOKUP('Données projet'!$B$10,Paramètres!$A$1:$I$89,3,0)*VLOOKUP('Données projet'!$B$10,Paramètres!$A$1:$I$89,5,0)</f>
        <v>212.9400000000002</v>
      </c>
      <c r="AK169" s="14">
        <f t="shared" si="164"/>
        <v>52.577528895212915</v>
      </c>
      <c r="AL169" s="22">
        <f t="shared" si="165"/>
        <v>462.44302949249618</v>
      </c>
      <c r="AM169" s="62">
        <f t="shared" si="113"/>
        <v>750.75772368735966</v>
      </c>
      <c r="AN169" s="62">
        <f ca="1">AVERAGE(OFFSET($AM$3,0,0,'Données projet'!$E$10+1,1))-AVERAGE(OFFSET($H$3,0,0,'Données projet'!$E$10+1,1))</f>
        <v>304.39782420428173</v>
      </c>
      <c r="AO169" s="62">
        <f t="shared" si="144"/>
        <v>360.34132229290537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4.0000693764037427</v>
      </c>
      <c r="AV169" s="23">
        <f>EXP(-LN(2)/25)*AV168+(1-EXP(-LN(2)/25))/(LN(2)/25)*Calculateur!AQ169*Calculateur!AS169*VLOOKUP('Données projet'!$B$10,Paramètres!$A$1:$I$89,3,0)*0.475*44/12</f>
        <v>0.31395860762322897</v>
      </c>
      <c r="AW169" s="23">
        <f>EXP(-LN(2)/2)*AW168+(1-EXP(-LN(2)/2))/(LN(2)/2)*AQ169*AT169*VLOOKUP('Données projet'!$B$10,Paramètres!$A$1:$I$89,3,0)*0.475*44/12</f>
        <v>5.4559953970813657E-16</v>
      </c>
      <c r="AX169" s="23">
        <f t="shared" si="166"/>
        <v>4.3140279840269722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273.00000000000023</v>
      </c>
      <c r="BE169" s="14">
        <f>BD169*VLOOKUP('Données projet'!$B$11,Paramètres!$A$1:$I$89,3,0)*VLOOKUP('Données projet'!$B$11,Paramètres!$A$1:$I$89,5,0)</f>
        <v>212.9400000000002</v>
      </c>
      <c r="BF169" s="14">
        <f t="shared" si="167"/>
        <v>52.577528895212915</v>
      </c>
      <c r="BG169" s="22">
        <f t="shared" si="168"/>
        <v>462.44302949249618</v>
      </c>
      <c r="BH169" s="62">
        <f t="shared" si="116"/>
        <v>750.75772368735966</v>
      </c>
      <c r="BI169" s="62">
        <f ca="1">AVERAGE(OFFSET($BH$3,0,0,'Données projet'!$E$11+1,1))-AVERAGE(OFFSET($H$3,0,0,'Données projet'!$E$11+1,1))</f>
        <v>304.39782420428173</v>
      </c>
      <c r="BJ169" s="62">
        <f t="shared" si="146"/>
        <v>360.34132229290537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4.0000693764037427</v>
      </c>
      <c r="BQ169" s="23">
        <f>EXP(-LN(2)/25)*BQ168+(1-EXP(-LN(2)/25))/(LN(2)/25)*Calculateur!BL169*Calculateur!BN169*VLOOKUP('Données projet'!$B$11,Paramètres!$A$1:$I$89,3,0)*0.475*44/12</f>
        <v>0.31395860762322897</v>
      </c>
      <c r="BR169" s="23">
        <f>EXP(-LN(2)/2)*BR168+(1-EXP(-LN(2)/2))/(LN(2)/2)*BL169*BO169*VLOOKUP('Données projet'!$B$11,Paramètres!$A$1:$I$89,3,0)*0.475*44/12</f>
        <v>5.4559953970813657E-16</v>
      </c>
      <c r="BS169" s="24">
        <f t="shared" si="169"/>
        <v>4.3140279840269722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273.00000000000023</v>
      </c>
      <c r="BZ169" s="14">
        <f>BY169*VLOOKUP('Données projet'!$B$12,Paramètres!$A$1:$I$89,3,0)*VLOOKUP('Données projet'!$B$12,Paramètres!$A$1:$I$89,5,0)</f>
        <v>212.9400000000002</v>
      </c>
      <c r="CA169" s="14">
        <f t="shared" si="170"/>
        <v>52.577528895212915</v>
      </c>
      <c r="CB169" s="22">
        <f t="shared" si="171"/>
        <v>462.44302949249618</v>
      </c>
      <c r="CC169" s="62">
        <f t="shared" si="119"/>
        <v>750.75772368735966</v>
      </c>
      <c r="CD169" s="62">
        <f ca="1">AVERAGE(OFFSET($CC$3,0,0,'Données projet'!$E$12+1,1))-AVERAGE(OFFSET($H$3,0,0,'Données projet'!$E$12+1,1))</f>
        <v>304.39782420428173</v>
      </c>
      <c r="CE169" s="62">
        <f t="shared" si="148"/>
        <v>360.34132229290537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4.0000693764037427</v>
      </c>
      <c r="CL169" s="23">
        <f>EXP(-LN(2)/25)*CL168+(1-EXP(-LN(2)/25))/(LN(2)/25)*Calculateur!CG169*Calculateur!CI169*VLOOKUP('Données projet'!$B$12,Paramètres!$A$1:$I$89,3,0)*0.475*44/12</f>
        <v>0.31395860762322897</v>
      </c>
      <c r="CM169" s="23">
        <f>EXP(-LN(2)/2)*CM168+(1-EXP(-LN(2)/2))/(LN(2)/2)*CG169*CJ169*VLOOKUP('Données projet'!$B$12,Paramètres!$A$1:$I$89,3,0)*0.475*44/12</f>
        <v>5.4559953970813657E-16</v>
      </c>
      <c r="CN169" s="24">
        <f t="shared" si="172"/>
        <v>4.3140279840269722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1.7053025658242404E-13</v>
      </c>
      <c r="O170" s="14">
        <f>N170*VLOOKUP('Données projet'!$B$9,Paramètres!$A$1:$I$89,3,0)*VLOOKUP('Données projet'!$B$9,Paramètres!$A$1:$I$89,5,0)</f>
        <v>7.9808160080574461E-14</v>
      </c>
      <c r="P170" s="14">
        <f t="shared" si="141"/>
        <v>1.2308384591775343E-12</v>
      </c>
      <c r="Q170" s="22">
        <f t="shared" si="162"/>
        <v>2.282709528541206E-12</v>
      </c>
      <c r="R170" s="62">
        <f t="shared" si="109"/>
        <v>288.40175636392189</v>
      </c>
      <c r="S170" s="62">
        <f ca="1">AVERAGE(OFFSET($R$3,0,0,'Données projet'!$E$9+1,1))-AVERAGE(OFFSET($H$3,0,0,'Données projet'!$E$9+1,1))</f>
        <v>234.81928430389272</v>
      </c>
      <c r="T170" s="62">
        <f t="shared" si="142"/>
        <v>294.47057757403411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10.477730315149385</v>
      </c>
      <c r="AA170" s="23">
        <f>EXP(-LN(2)/25)*AA169+(1-EXP(-LN(2)/25))/(LN(2)/25)*Calculateur!V170*Calculateur!X170*VLOOKUP('Données projet'!$B$9,Paramètres!$A$1:$I$89,3,0)*0.475*44/12</f>
        <v>1.9377010455457608</v>
      </c>
      <c r="AB170" s="23">
        <f>EXP(-LN(2)/2)*AB169+(1-EXP(-LN(2)/2))/(LN(2)/2)*V170*Y170*VLOOKUP('Données projet'!$B$9,Paramètres!$A$1:$I$89,3,0)*0.475*44/12</f>
        <v>5.12313651710036E-15</v>
      </c>
      <c r="AC170" s="24">
        <f t="shared" si="163"/>
        <v>12.415431360695152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273.00000000000023</v>
      </c>
      <c r="AJ170" s="14">
        <f>AI170*VLOOKUP('Données projet'!$B$10,Paramètres!$A$1:$I$89,3,0)*VLOOKUP('Données projet'!$B$10,Paramètres!$A$1:$I$89,5,0)</f>
        <v>212.9400000000002</v>
      </c>
      <c r="AK170" s="14">
        <f t="shared" si="164"/>
        <v>52.577528895212915</v>
      </c>
      <c r="AL170" s="22">
        <f t="shared" si="165"/>
        <v>462.44302949249618</v>
      </c>
      <c r="AM170" s="62">
        <f t="shared" si="113"/>
        <v>750.8447858564158</v>
      </c>
      <c r="AN170" s="62">
        <f ca="1">AVERAGE(OFFSET($AM$3,0,0,'Données projet'!$E$10+1,1))-AVERAGE(OFFSET($H$3,0,0,'Données projet'!$E$10+1,1))</f>
        <v>304.39782420428173</v>
      </c>
      <c r="AO170" s="62">
        <f t="shared" si="144"/>
        <v>360.34132229290537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3.9216304557338746</v>
      </c>
      <c r="AV170" s="23">
        <f>EXP(-LN(2)/25)*AV169+(1-EXP(-LN(2)/25))/(LN(2)/25)*Calculateur!AQ170*Calculateur!AS170*VLOOKUP('Données projet'!$B$10,Paramètres!$A$1:$I$89,3,0)*0.475*44/12</f>
        <v>0.30537339298740618</v>
      </c>
      <c r="AW170" s="23">
        <f>EXP(-LN(2)/2)*AW169+(1-EXP(-LN(2)/2))/(LN(2)/2)*AQ170*AT170*VLOOKUP('Données projet'!$B$10,Paramètres!$A$1:$I$89,3,0)*0.475*44/12</f>
        <v>3.8579713433988238E-16</v>
      </c>
      <c r="AX170" s="23">
        <f t="shared" si="166"/>
        <v>4.2270038487212807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273.00000000000023</v>
      </c>
      <c r="BE170" s="14">
        <f>BD170*VLOOKUP('Données projet'!$B$11,Paramètres!$A$1:$I$89,3,0)*VLOOKUP('Données projet'!$B$11,Paramètres!$A$1:$I$89,5,0)</f>
        <v>212.9400000000002</v>
      </c>
      <c r="BF170" s="14">
        <f t="shared" si="167"/>
        <v>52.577528895212915</v>
      </c>
      <c r="BG170" s="22">
        <f t="shared" si="168"/>
        <v>462.44302949249618</v>
      </c>
      <c r="BH170" s="62">
        <f t="shared" si="116"/>
        <v>750.8447858564158</v>
      </c>
      <c r="BI170" s="62">
        <f ca="1">AVERAGE(OFFSET($BH$3,0,0,'Données projet'!$E$11+1,1))-AVERAGE(OFFSET($H$3,0,0,'Données projet'!$E$11+1,1))</f>
        <v>304.39782420428173</v>
      </c>
      <c r="BJ170" s="62">
        <f t="shared" si="146"/>
        <v>360.34132229290537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3.9216304557338746</v>
      </c>
      <c r="BQ170" s="23">
        <f>EXP(-LN(2)/25)*BQ169+(1-EXP(-LN(2)/25))/(LN(2)/25)*Calculateur!BL170*Calculateur!BN170*VLOOKUP('Données projet'!$B$11,Paramètres!$A$1:$I$89,3,0)*0.475*44/12</f>
        <v>0.30537339298740618</v>
      </c>
      <c r="BR170" s="23">
        <f>EXP(-LN(2)/2)*BR169+(1-EXP(-LN(2)/2))/(LN(2)/2)*BL170*BO170*VLOOKUP('Données projet'!$B$11,Paramètres!$A$1:$I$89,3,0)*0.475*44/12</f>
        <v>3.8579713433988238E-16</v>
      </c>
      <c r="BS170" s="24">
        <f t="shared" si="169"/>
        <v>4.2270038487212807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273.00000000000023</v>
      </c>
      <c r="BZ170" s="14">
        <f>BY170*VLOOKUP('Données projet'!$B$12,Paramètres!$A$1:$I$89,3,0)*VLOOKUP('Données projet'!$B$12,Paramètres!$A$1:$I$89,5,0)</f>
        <v>212.9400000000002</v>
      </c>
      <c r="CA170" s="14">
        <f t="shared" si="170"/>
        <v>52.577528895212915</v>
      </c>
      <c r="CB170" s="22">
        <f t="shared" si="171"/>
        <v>462.44302949249618</v>
      </c>
      <c r="CC170" s="62">
        <f t="shared" si="119"/>
        <v>750.8447858564158</v>
      </c>
      <c r="CD170" s="62">
        <f ca="1">AVERAGE(OFFSET($CC$3,0,0,'Données projet'!$E$12+1,1))-AVERAGE(OFFSET($H$3,0,0,'Données projet'!$E$12+1,1))</f>
        <v>304.39782420428173</v>
      </c>
      <c r="CE170" s="62">
        <f t="shared" si="148"/>
        <v>360.34132229290537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3.9216304557338746</v>
      </c>
      <c r="CL170" s="23">
        <f>EXP(-LN(2)/25)*CL169+(1-EXP(-LN(2)/25))/(LN(2)/25)*Calculateur!CG170*Calculateur!CI170*VLOOKUP('Données projet'!$B$12,Paramètres!$A$1:$I$89,3,0)*0.475*44/12</f>
        <v>0.30537339298740618</v>
      </c>
      <c r="CM170" s="23">
        <f>EXP(-LN(2)/2)*CM169+(1-EXP(-LN(2)/2))/(LN(2)/2)*CG170*CJ170*VLOOKUP('Données projet'!$B$12,Paramètres!$A$1:$I$89,3,0)*0.475*44/12</f>
        <v>3.8579713433988238E-16</v>
      </c>
      <c r="CN170" s="24">
        <f t="shared" si="172"/>
        <v>4.2270038487212807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1.7053025658242404E-13</v>
      </c>
      <c r="O171" s="14">
        <f>N171*VLOOKUP('Données projet'!$B$9,Paramètres!$A$1:$I$89,3,0)*VLOOKUP('Données projet'!$B$9,Paramètres!$A$1:$I$89,5,0)</f>
        <v>7.9808160080574461E-14</v>
      </c>
      <c r="P171" s="14">
        <f t="shared" si="141"/>
        <v>1.2308384591775343E-12</v>
      </c>
      <c r="Q171" s="22">
        <f t="shared" si="162"/>
        <v>2.282709528541206E-12</v>
      </c>
      <c r="R171" s="62">
        <f t="shared" si="109"/>
        <v>288.4873081989868</v>
      </c>
      <c r="S171" s="62">
        <f ca="1">AVERAGE(OFFSET($R$3,0,0,'Données projet'!$E$9+1,1))-AVERAGE(OFFSET($H$3,0,0,'Données projet'!$E$9+1,1))</f>
        <v>234.81928430389272</v>
      </c>
      <c r="T171" s="62">
        <f t="shared" si="142"/>
        <v>294.47057757403411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10.272268414453761</v>
      </c>
      <c r="AA171" s="23">
        <f>EXP(-LN(2)/25)*AA170+(1-EXP(-LN(2)/25))/(LN(2)/25)*Calculateur!V171*Calculateur!X171*VLOOKUP('Données projet'!$B$9,Paramètres!$A$1:$I$89,3,0)*0.475*44/12</f>
        <v>1.8847145085560426</v>
      </c>
      <c r="AB171" s="23">
        <f>EXP(-LN(2)/2)*AB170+(1-EXP(-LN(2)/2))/(LN(2)/2)*V171*Y171*VLOOKUP('Données projet'!$B$9,Paramètres!$A$1:$I$89,3,0)*0.475*44/12</f>
        <v>3.6226045721860954E-15</v>
      </c>
      <c r="AC171" s="24">
        <f t="shared" si="163"/>
        <v>12.156982923009807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273.00000000000023</v>
      </c>
      <c r="AJ171" s="14">
        <f>AI171*VLOOKUP('Données projet'!$B$10,Paramètres!$A$1:$I$89,3,0)*VLOOKUP('Données projet'!$B$10,Paramètres!$A$1:$I$89,5,0)</f>
        <v>212.9400000000002</v>
      </c>
      <c r="AK171" s="14">
        <f t="shared" si="164"/>
        <v>52.577528895212915</v>
      </c>
      <c r="AL171" s="22">
        <f t="shared" si="165"/>
        <v>462.44302949249618</v>
      </c>
      <c r="AM171" s="62">
        <f t="shared" si="113"/>
        <v>750.93033769148064</v>
      </c>
      <c r="AN171" s="62">
        <f ca="1">AVERAGE(OFFSET($AM$3,0,0,'Données projet'!$E$10+1,1))-AVERAGE(OFFSET($H$3,0,0,'Données projet'!$E$10+1,1))</f>
        <v>304.39782420428173</v>
      </c>
      <c r="AO171" s="62">
        <f t="shared" si="144"/>
        <v>360.34132229290537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3.844729674455325</v>
      </c>
      <c r="AV171" s="23">
        <f>EXP(-LN(2)/25)*AV170+(1-EXP(-LN(2)/25))/(LN(2)/25)*Calculateur!AQ171*Calculateur!AS171*VLOOKUP('Données projet'!$B$10,Paramètres!$A$1:$I$89,3,0)*0.475*44/12</f>
        <v>0.29702294149727676</v>
      </c>
      <c r="AW171" s="23">
        <f>EXP(-LN(2)/2)*AW170+(1-EXP(-LN(2)/2))/(LN(2)/2)*AQ171*AT171*VLOOKUP('Données projet'!$B$10,Paramètres!$A$1:$I$89,3,0)*0.475*44/12</f>
        <v>2.7279976985406828E-16</v>
      </c>
      <c r="AX171" s="23">
        <f t="shared" si="166"/>
        <v>4.1417526159526021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273.00000000000023</v>
      </c>
      <c r="BE171" s="14">
        <f>BD171*VLOOKUP('Données projet'!$B$11,Paramètres!$A$1:$I$89,3,0)*VLOOKUP('Données projet'!$B$11,Paramètres!$A$1:$I$89,5,0)</f>
        <v>212.9400000000002</v>
      </c>
      <c r="BF171" s="14">
        <f t="shared" si="167"/>
        <v>52.577528895212915</v>
      </c>
      <c r="BG171" s="22">
        <f t="shared" si="168"/>
        <v>462.44302949249618</v>
      </c>
      <c r="BH171" s="62">
        <f t="shared" si="116"/>
        <v>750.93033769148064</v>
      </c>
      <c r="BI171" s="62">
        <f ca="1">AVERAGE(OFFSET($BH$3,0,0,'Données projet'!$E$11+1,1))-AVERAGE(OFFSET($H$3,0,0,'Données projet'!$E$11+1,1))</f>
        <v>304.39782420428173</v>
      </c>
      <c r="BJ171" s="62">
        <f t="shared" si="146"/>
        <v>360.34132229290537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3.844729674455325</v>
      </c>
      <c r="BQ171" s="23">
        <f>EXP(-LN(2)/25)*BQ170+(1-EXP(-LN(2)/25))/(LN(2)/25)*Calculateur!BL171*Calculateur!BN171*VLOOKUP('Données projet'!$B$11,Paramètres!$A$1:$I$89,3,0)*0.475*44/12</f>
        <v>0.29702294149727676</v>
      </c>
      <c r="BR171" s="23">
        <f>EXP(-LN(2)/2)*BR170+(1-EXP(-LN(2)/2))/(LN(2)/2)*BL171*BO171*VLOOKUP('Données projet'!$B$11,Paramètres!$A$1:$I$89,3,0)*0.475*44/12</f>
        <v>2.7279976985406828E-16</v>
      </c>
      <c r="BS171" s="24">
        <f t="shared" si="169"/>
        <v>4.1417526159526021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273.00000000000023</v>
      </c>
      <c r="BZ171" s="14">
        <f>BY171*VLOOKUP('Données projet'!$B$12,Paramètres!$A$1:$I$89,3,0)*VLOOKUP('Données projet'!$B$12,Paramètres!$A$1:$I$89,5,0)</f>
        <v>212.9400000000002</v>
      </c>
      <c r="CA171" s="14">
        <f t="shared" si="170"/>
        <v>52.577528895212915</v>
      </c>
      <c r="CB171" s="22">
        <f t="shared" si="171"/>
        <v>462.44302949249618</v>
      </c>
      <c r="CC171" s="62">
        <f t="shared" si="119"/>
        <v>750.93033769148064</v>
      </c>
      <c r="CD171" s="62">
        <f ca="1">AVERAGE(OFFSET($CC$3,0,0,'Données projet'!$E$12+1,1))-AVERAGE(OFFSET($H$3,0,0,'Données projet'!$E$12+1,1))</f>
        <v>304.39782420428173</v>
      </c>
      <c r="CE171" s="62">
        <f t="shared" si="148"/>
        <v>360.34132229290537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3.844729674455325</v>
      </c>
      <c r="CL171" s="23">
        <f>EXP(-LN(2)/25)*CL170+(1-EXP(-LN(2)/25))/(LN(2)/25)*Calculateur!CG171*Calculateur!CI171*VLOOKUP('Données projet'!$B$12,Paramètres!$A$1:$I$89,3,0)*0.475*44/12</f>
        <v>0.29702294149727676</v>
      </c>
      <c r="CM171" s="23">
        <f>EXP(-LN(2)/2)*CM170+(1-EXP(-LN(2)/2))/(LN(2)/2)*CG171*CJ171*VLOOKUP('Données projet'!$B$12,Paramètres!$A$1:$I$89,3,0)*0.475*44/12</f>
        <v>2.7279976985406828E-16</v>
      </c>
      <c r="CN171" s="24">
        <f t="shared" si="172"/>
        <v>4.1417526159526021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1.7053025658242404E-13</v>
      </c>
      <c r="O172" s="14">
        <f>N172*VLOOKUP('Données projet'!$B$9,Paramètres!$A$1:$I$89,3,0)*VLOOKUP('Données projet'!$B$9,Paramètres!$A$1:$I$89,5,0)</f>
        <v>7.9808160080574461E-14</v>
      </c>
      <c r="P172" s="14">
        <f t="shared" si="141"/>
        <v>1.2308384591775343E-12</v>
      </c>
      <c r="Q172" s="22">
        <f t="shared" si="162"/>
        <v>2.282709528541206E-12</v>
      </c>
      <c r="R172" s="62">
        <f t="shared" si="109"/>
        <v>288.57137590097869</v>
      </c>
      <c r="S172" s="62">
        <f ca="1">AVERAGE(OFFSET($R$3,0,0,'Données projet'!$E$9+1,1))-AVERAGE(OFFSET($H$3,0,0,'Données projet'!$E$9+1,1))</f>
        <v>234.81928430389272</v>
      </c>
      <c r="T172" s="62">
        <f t="shared" si="142"/>
        <v>294.47057757403411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10.070835496311393</v>
      </c>
      <c r="AA172" s="23">
        <f>EXP(-LN(2)/25)*AA171+(1-EXP(-LN(2)/25))/(LN(2)/25)*Calculateur!V172*Calculateur!X172*VLOOKUP('Données projet'!$B$9,Paramètres!$A$1:$I$89,3,0)*0.475*44/12</f>
        <v>1.8331768912067492</v>
      </c>
      <c r="AB172" s="23">
        <f>EXP(-LN(2)/2)*AB171+(1-EXP(-LN(2)/2))/(LN(2)/2)*V172*Y172*VLOOKUP('Données projet'!$B$9,Paramètres!$A$1:$I$89,3,0)*0.475*44/12</f>
        <v>2.56156825855018E-15</v>
      </c>
      <c r="AC172" s="24">
        <f t="shared" si="163"/>
        <v>11.904012387518144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273.00000000000023</v>
      </c>
      <c r="AJ172" s="14">
        <f>AI172*VLOOKUP('Données projet'!$B$10,Paramètres!$A$1:$I$89,3,0)*VLOOKUP('Données projet'!$B$10,Paramètres!$A$1:$I$89,5,0)</f>
        <v>212.9400000000002</v>
      </c>
      <c r="AK172" s="14">
        <f t="shared" si="164"/>
        <v>52.577528895212915</v>
      </c>
      <c r="AL172" s="22">
        <f t="shared" si="165"/>
        <v>462.44302949249618</v>
      </c>
      <c r="AM172" s="62">
        <f t="shared" si="113"/>
        <v>751.01440539347254</v>
      </c>
      <c r="AN172" s="62">
        <f ca="1">AVERAGE(OFFSET($AM$3,0,0,'Données projet'!$E$10+1,1))-AVERAGE(OFFSET($H$3,0,0,'Données projet'!$E$10+1,1))</f>
        <v>304.39782420428173</v>
      </c>
      <c r="AO172" s="62">
        <f t="shared" si="144"/>
        <v>360.34132229290537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3.7693368705928028</v>
      </c>
      <c r="AV172" s="23">
        <f>EXP(-LN(2)/25)*AV171+(1-EXP(-LN(2)/25))/(LN(2)/25)*Calculateur!AQ172*Calculateur!AS172*VLOOKUP('Données projet'!$B$10,Paramètres!$A$1:$I$89,3,0)*0.475*44/12</f>
        <v>0.28890083354227608</v>
      </c>
      <c r="AW172" s="23">
        <f>EXP(-LN(2)/2)*AW171+(1-EXP(-LN(2)/2))/(LN(2)/2)*AQ172*AT172*VLOOKUP('Données projet'!$B$10,Paramètres!$A$1:$I$89,3,0)*0.475*44/12</f>
        <v>1.9289856716994119E-16</v>
      </c>
      <c r="AX172" s="23">
        <f t="shared" si="166"/>
        <v>4.0582377041350792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273.00000000000023</v>
      </c>
      <c r="BE172" s="14">
        <f>BD172*VLOOKUP('Données projet'!$B$11,Paramètres!$A$1:$I$89,3,0)*VLOOKUP('Données projet'!$B$11,Paramètres!$A$1:$I$89,5,0)</f>
        <v>212.9400000000002</v>
      </c>
      <c r="BF172" s="14">
        <f t="shared" si="167"/>
        <v>52.577528895212915</v>
      </c>
      <c r="BG172" s="22">
        <f t="shared" si="168"/>
        <v>462.44302949249618</v>
      </c>
      <c r="BH172" s="62">
        <f t="shared" si="116"/>
        <v>751.01440539347254</v>
      </c>
      <c r="BI172" s="62">
        <f ca="1">AVERAGE(OFFSET($BH$3,0,0,'Données projet'!$E$11+1,1))-AVERAGE(OFFSET($H$3,0,0,'Données projet'!$E$11+1,1))</f>
        <v>304.39782420428173</v>
      </c>
      <c r="BJ172" s="62">
        <f t="shared" si="146"/>
        <v>360.34132229290537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3.7693368705928028</v>
      </c>
      <c r="BQ172" s="23">
        <f>EXP(-LN(2)/25)*BQ171+(1-EXP(-LN(2)/25))/(LN(2)/25)*Calculateur!BL172*Calculateur!BN172*VLOOKUP('Données projet'!$B$11,Paramètres!$A$1:$I$89,3,0)*0.475*44/12</f>
        <v>0.28890083354227608</v>
      </c>
      <c r="BR172" s="23">
        <f>EXP(-LN(2)/2)*BR171+(1-EXP(-LN(2)/2))/(LN(2)/2)*BL172*BO172*VLOOKUP('Données projet'!$B$11,Paramètres!$A$1:$I$89,3,0)*0.475*44/12</f>
        <v>1.9289856716994119E-16</v>
      </c>
      <c r="BS172" s="24">
        <f t="shared" si="169"/>
        <v>4.0582377041350792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273.00000000000023</v>
      </c>
      <c r="BZ172" s="14">
        <f>BY172*VLOOKUP('Données projet'!$B$12,Paramètres!$A$1:$I$89,3,0)*VLOOKUP('Données projet'!$B$12,Paramètres!$A$1:$I$89,5,0)</f>
        <v>212.9400000000002</v>
      </c>
      <c r="CA172" s="14">
        <f t="shared" si="170"/>
        <v>52.577528895212915</v>
      </c>
      <c r="CB172" s="22">
        <f t="shared" si="171"/>
        <v>462.44302949249618</v>
      </c>
      <c r="CC172" s="62">
        <f t="shared" si="119"/>
        <v>751.01440539347254</v>
      </c>
      <c r="CD172" s="62">
        <f ca="1">AVERAGE(OFFSET($CC$3,0,0,'Données projet'!$E$12+1,1))-AVERAGE(OFFSET($H$3,0,0,'Données projet'!$E$12+1,1))</f>
        <v>304.39782420428173</v>
      </c>
      <c r="CE172" s="62">
        <f t="shared" si="148"/>
        <v>360.34132229290537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3.7693368705928028</v>
      </c>
      <c r="CL172" s="23">
        <f>EXP(-LN(2)/25)*CL171+(1-EXP(-LN(2)/25))/(LN(2)/25)*Calculateur!CG172*Calculateur!CI172*VLOOKUP('Données projet'!$B$12,Paramètres!$A$1:$I$89,3,0)*0.475*44/12</f>
        <v>0.28890083354227608</v>
      </c>
      <c r="CM172" s="23">
        <f>EXP(-LN(2)/2)*CM171+(1-EXP(-LN(2)/2))/(LN(2)/2)*CG172*CJ172*VLOOKUP('Données projet'!$B$12,Paramètres!$A$1:$I$89,3,0)*0.475*44/12</f>
        <v>1.9289856716994119E-16</v>
      </c>
      <c r="CN172" s="24">
        <f t="shared" si="172"/>
        <v>4.0582377041350792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1.7053025658242404E-13</v>
      </c>
      <c r="O173" s="14">
        <f>N173*VLOOKUP('Données projet'!$B$9,Paramètres!$A$1:$I$89,3,0)*VLOOKUP('Données projet'!$B$9,Paramètres!$A$1:$I$89,5,0)</f>
        <v>7.9808160080574461E-14</v>
      </c>
      <c r="P173" s="14">
        <f t="shared" si="141"/>
        <v>1.2308384591775343E-12</v>
      </c>
      <c r="Q173" s="22">
        <f t="shared" si="162"/>
        <v>2.282709528541206E-12</v>
      </c>
      <c r="R173" s="62">
        <f t="shared" si="109"/>
        <v>288.65398521628816</v>
      </c>
      <c r="S173" s="62">
        <f ca="1">AVERAGE(OFFSET($R$3,0,0,'Données projet'!$E$9+1,1))-AVERAGE(OFFSET($H$3,0,0,'Données projet'!$E$9+1,1))</f>
        <v>234.81928430389272</v>
      </c>
      <c r="T173" s="62">
        <f t="shared" si="142"/>
        <v>294.47057757403411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9.8733525548318468</v>
      </c>
      <c r="AA173" s="23">
        <f>EXP(-LN(2)/25)*AA172+(1-EXP(-LN(2)/25))/(LN(2)/25)*Calculateur!V173*Calculateur!X173*VLOOKUP('Données projet'!$B$9,Paramètres!$A$1:$I$89,3,0)*0.475*44/12</f>
        <v>1.7830485727141177</v>
      </c>
      <c r="AB173" s="23">
        <f>EXP(-LN(2)/2)*AB172+(1-EXP(-LN(2)/2))/(LN(2)/2)*V173*Y173*VLOOKUP('Données projet'!$B$9,Paramètres!$A$1:$I$89,3,0)*0.475*44/12</f>
        <v>1.8113022860930477E-15</v>
      </c>
      <c r="AC173" s="24">
        <f t="shared" si="163"/>
        <v>11.656401127545966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273.00000000000023</v>
      </c>
      <c r="AJ173" s="14">
        <f>AI173*VLOOKUP('Données projet'!$B$10,Paramètres!$A$1:$I$89,3,0)*VLOOKUP('Données projet'!$B$10,Paramètres!$A$1:$I$89,5,0)</f>
        <v>212.9400000000002</v>
      </c>
      <c r="AK173" s="14">
        <f t="shared" si="164"/>
        <v>52.577528895212915</v>
      </c>
      <c r="AL173" s="22">
        <f t="shared" si="165"/>
        <v>462.44302949249618</v>
      </c>
      <c r="AM173" s="62">
        <f t="shared" si="113"/>
        <v>751.09701470878213</v>
      </c>
      <c r="AN173" s="62">
        <f ca="1">AVERAGE(OFFSET($AM$3,0,0,'Données projet'!$E$10+1,1))-AVERAGE(OFFSET($H$3,0,0,'Données projet'!$E$10+1,1))</f>
        <v>304.39782420428173</v>
      </c>
      <c r="AO173" s="62">
        <f t="shared" si="144"/>
        <v>360.34132229290537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3.6954224736289549</v>
      </c>
      <c r="AV173" s="23">
        <f>EXP(-LN(2)/25)*AV172+(1-EXP(-LN(2)/25))/(LN(2)/25)*Calculateur!AQ173*Calculateur!AS173*VLOOKUP('Données projet'!$B$10,Paramètres!$A$1:$I$89,3,0)*0.475*44/12</f>
        <v>0.28100082505642798</v>
      </c>
      <c r="AW173" s="23">
        <f>EXP(-LN(2)/2)*AW172+(1-EXP(-LN(2)/2))/(LN(2)/2)*AQ173*AT173*VLOOKUP('Données projet'!$B$10,Paramètres!$A$1:$I$89,3,0)*0.475*44/12</f>
        <v>1.3639988492703414E-16</v>
      </c>
      <c r="AX173" s="23">
        <f t="shared" si="166"/>
        <v>3.9764232986853827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273.00000000000023</v>
      </c>
      <c r="BE173" s="14">
        <f>BD173*VLOOKUP('Données projet'!$B$11,Paramètres!$A$1:$I$89,3,0)*VLOOKUP('Données projet'!$B$11,Paramètres!$A$1:$I$89,5,0)</f>
        <v>212.9400000000002</v>
      </c>
      <c r="BF173" s="14">
        <f t="shared" si="167"/>
        <v>52.577528895212915</v>
      </c>
      <c r="BG173" s="22">
        <f t="shared" si="168"/>
        <v>462.44302949249618</v>
      </c>
      <c r="BH173" s="62">
        <f t="shared" si="116"/>
        <v>751.09701470878213</v>
      </c>
      <c r="BI173" s="62">
        <f ca="1">AVERAGE(OFFSET($BH$3,0,0,'Données projet'!$E$11+1,1))-AVERAGE(OFFSET($H$3,0,0,'Données projet'!$E$11+1,1))</f>
        <v>304.39782420428173</v>
      </c>
      <c r="BJ173" s="62">
        <f t="shared" si="146"/>
        <v>360.34132229290537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3.6954224736289549</v>
      </c>
      <c r="BQ173" s="23">
        <f>EXP(-LN(2)/25)*BQ172+(1-EXP(-LN(2)/25))/(LN(2)/25)*Calculateur!BL173*Calculateur!BN173*VLOOKUP('Données projet'!$B$11,Paramètres!$A$1:$I$89,3,0)*0.475*44/12</f>
        <v>0.28100082505642798</v>
      </c>
      <c r="BR173" s="23">
        <f>EXP(-LN(2)/2)*BR172+(1-EXP(-LN(2)/2))/(LN(2)/2)*BL173*BO173*VLOOKUP('Données projet'!$B$11,Paramètres!$A$1:$I$89,3,0)*0.475*44/12</f>
        <v>1.3639988492703414E-16</v>
      </c>
      <c r="BS173" s="24">
        <f t="shared" si="169"/>
        <v>3.9764232986853827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273.00000000000023</v>
      </c>
      <c r="BZ173" s="14">
        <f>BY173*VLOOKUP('Données projet'!$B$12,Paramètres!$A$1:$I$89,3,0)*VLOOKUP('Données projet'!$B$12,Paramètres!$A$1:$I$89,5,0)</f>
        <v>212.9400000000002</v>
      </c>
      <c r="CA173" s="14">
        <f t="shared" si="170"/>
        <v>52.577528895212915</v>
      </c>
      <c r="CB173" s="22">
        <f t="shared" si="171"/>
        <v>462.44302949249618</v>
      </c>
      <c r="CC173" s="62">
        <f t="shared" si="119"/>
        <v>751.09701470878213</v>
      </c>
      <c r="CD173" s="62">
        <f ca="1">AVERAGE(OFFSET($CC$3,0,0,'Données projet'!$E$12+1,1))-AVERAGE(OFFSET($H$3,0,0,'Données projet'!$E$12+1,1))</f>
        <v>304.39782420428173</v>
      </c>
      <c r="CE173" s="62">
        <f t="shared" si="148"/>
        <v>360.34132229290537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3.6954224736289549</v>
      </c>
      <c r="CL173" s="23">
        <f>EXP(-LN(2)/25)*CL172+(1-EXP(-LN(2)/25))/(LN(2)/25)*Calculateur!CG173*Calculateur!CI173*VLOOKUP('Données projet'!$B$12,Paramètres!$A$1:$I$89,3,0)*0.475*44/12</f>
        <v>0.28100082505642798</v>
      </c>
      <c r="CM173" s="23">
        <f>EXP(-LN(2)/2)*CM172+(1-EXP(-LN(2)/2))/(LN(2)/2)*CG173*CJ173*VLOOKUP('Données projet'!$B$12,Paramètres!$A$1:$I$89,3,0)*0.475*44/12</f>
        <v>1.3639988492703414E-16</v>
      </c>
      <c r="CN173" s="24">
        <f t="shared" si="172"/>
        <v>3.9764232986853827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1.7053025658242404E-13</v>
      </c>
      <c r="O174" s="14">
        <f>N174*VLOOKUP('Données projet'!$B$9,Paramètres!$A$1:$I$89,3,0)*VLOOKUP('Données projet'!$B$9,Paramètres!$A$1:$I$89,5,0)</f>
        <v>7.9808160080574461E-14</v>
      </c>
      <c r="P174" s="14">
        <f t="shared" si="141"/>
        <v>1.2308384591775343E-12</v>
      </c>
      <c r="Q174" s="22">
        <f t="shared" si="162"/>
        <v>2.282709528541206E-12</v>
      </c>
      <c r="R174" s="62">
        <f t="shared" si="109"/>
        <v>288.73516144466379</v>
      </c>
      <c r="S174" s="62">
        <f ca="1">AVERAGE(OFFSET($R$3,0,0,'Données projet'!$E$9+1,1))-AVERAGE(OFFSET($H$3,0,0,'Données projet'!$E$9+1,1))</f>
        <v>234.81928430389272</v>
      </c>
      <c r="T174" s="62">
        <f t="shared" si="142"/>
        <v>294.47057757403411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9.6797421333820139</v>
      </c>
      <c r="AA174" s="23">
        <f>EXP(-LN(2)/25)*AA173+(1-EXP(-LN(2)/25))/(LN(2)/25)*Calculateur!V174*Calculateur!X174*VLOOKUP('Données projet'!$B$9,Paramètres!$A$1:$I$89,3,0)*0.475*44/12</f>
        <v>1.7342910157268008</v>
      </c>
      <c r="AB174" s="23">
        <f>EXP(-LN(2)/2)*AB173+(1-EXP(-LN(2)/2))/(LN(2)/2)*V174*Y174*VLOOKUP('Données projet'!$B$9,Paramètres!$A$1:$I$89,3,0)*0.475*44/12</f>
        <v>1.28078412927509E-15</v>
      </c>
      <c r="AC174" s="24">
        <f t="shared" si="163"/>
        <v>11.414033149108816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273.00000000000023</v>
      </c>
      <c r="AJ174" s="14">
        <f>AI174*VLOOKUP('Données projet'!$B$10,Paramètres!$A$1:$I$89,3,0)*VLOOKUP('Données projet'!$B$10,Paramètres!$A$1:$I$89,5,0)</f>
        <v>212.9400000000002</v>
      </c>
      <c r="AK174" s="14">
        <f t="shared" si="164"/>
        <v>52.577528895212915</v>
      </c>
      <c r="AL174" s="22">
        <f t="shared" si="165"/>
        <v>462.44302949249618</v>
      </c>
      <c r="AM174" s="62">
        <f t="shared" si="113"/>
        <v>751.17819093715775</v>
      </c>
      <c r="AN174" s="62">
        <f ca="1">AVERAGE(OFFSET($AM$3,0,0,'Données projet'!$E$10+1,1))-AVERAGE(OFFSET($H$3,0,0,'Données projet'!$E$10+1,1))</f>
        <v>304.39782420428173</v>
      </c>
      <c r="AO174" s="62">
        <f t="shared" si="144"/>
        <v>360.34132229290537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3.6229574929062376</v>
      </c>
      <c r="AV174" s="23">
        <f>EXP(-LN(2)/25)*AV173+(1-EXP(-LN(2)/25))/(LN(2)/25)*Calculateur!AQ174*Calculateur!AS174*VLOOKUP('Données projet'!$B$10,Paramètres!$A$1:$I$89,3,0)*0.475*44/12</f>
        <v>0.27331684271806883</v>
      </c>
      <c r="AW174" s="23">
        <f>EXP(-LN(2)/2)*AW173+(1-EXP(-LN(2)/2))/(LN(2)/2)*AQ174*AT174*VLOOKUP('Données projet'!$B$10,Paramètres!$A$1:$I$89,3,0)*0.475*44/12</f>
        <v>9.6449283584970595E-17</v>
      </c>
      <c r="AX174" s="23">
        <f t="shared" si="166"/>
        <v>3.8962743356243066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273.00000000000023</v>
      </c>
      <c r="BE174" s="14">
        <f>BD174*VLOOKUP('Données projet'!$B$11,Paramètres!$A$1:$I$89,3,0)*VLOOKUP('Données projet'!$B$11,Paramètres!$A$1:$I$89,5,0)</f>
        <v>212.9400000000002</v>
      </c>
      <c r="BF174" s="14">
        <f t="shared" si="167"/>
        <v>52.577528895212915</v>
      </c>
      <c r="BG174" s="22">
        <f t="shared" si="168"/>
        <v>462.44302949249618</v>
      </c>
      <c r="BH174" s="62">
        <f t="shared" si="116"/>
        <v>751.17819093715775</v>
      </c>
      <c r="BI174" s="62">
        <f ca="1">AVERAGE(OFFSET($BH$3,0,0,'Données projet'!$E$11+1,1))-AVERAGE(OFFSET($H$3,0,0,'Données projet'!$E$11+1,1))</f>
        <v>304.39782420428173</v>
      </c>
      <c r="BJ174" s="62">
        <f t="shared" si="146"/>
        <v>360.34132229290537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3.6229574929062376</v>
      </c>
      <c r="BQ174" s="23">
        <f>EXP(-LN(2)/25)*BQ173+(1-EXP(-LN(2)/25))/(LN(2)/25)*Calculateur!BL174*Calculateur!BN174*VLOOKUP('Données projet'!$B$11,Paramètres!$A$1:$I$89,3,0)*0.475*44/12</f>
        <v>0.27331684271806883</v>
      </c>
      <c r="BR174" s="23">
        <f>EXP(-LN(2)/2)*BR173+(1-EXP(-LN(2)/2))/(LN(2)/2)*BL174*BO174*VLOOKUP('Données projet'!$B$11,Paramètres!$A$1:$I$89,3,0)*0.475*44/12</f>
        <v>9.6449283584970595E-17</v>
      </c>
      <c r="BS174" s="24">
        <f t="shared" si="169"/>
        <v>3.8962743356243066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273.00000000000023</v>
      </c>
      <c r="BZ174" s="14">
        <f>BY174*VLOOKUP('Données projet'!$B$12,Paramètres!$A$1:$I$89,3,0)*VLOOKUP('Données projet'!$B$12,Paramètres!$A$1:$I$89,5,0)</f>
        <v>212.9400000000002</v>
      </c>
      <c r="CA174" s="14">
        <f t="shared" si="170"/>
        <v>52.577528895212915</v>
      </c>
      <c r="CB174" s="22">
        <f t="shared" si="171"/>
        <v>462.44302949249618</v>
      </c>
      <c r="CC174" s="62">
        <f t="shared" si="119"/>
        <v>751.17819093715775</v>
      </c>
      <c r="CD174" s="62">
        <f ca="1">AVERAGE(OFFSET($CC$3,0,0,'Données projet'!$E$12+1,1))-AVERAGE(OFFSET($H$3,0,0,'Données projet'!$E$12+1,1))</f>
        <v>304.39782420428173</v>
      </c>
      <c r="CE174" s="62">
        <f t="shared" si="148"/>
        <v>360.34132229290537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3.6229574929062376</v>
      </c>
      <c r="CL174" s="23">
        <f>EXP(-LN(2)/25)*CL173+(1-EXP(-LN(2)/25))/(LN(2)/25)*Calculateur!CG174*Calculateur!CI174*VLOOKUP('Données projet'!$B$12,Paramètres!$A$1:$I$89,3,0)*0.475*44/12</f>
        <v>0.27331684271806883</v>
      </c>
      <c r="CM174" s="23">
        <f>EXP(-LN(2)/2)*CM173+(1-EXP(-LN(2)/2))/(LN(2)/2)*CG174*CJ174*VLOOKUP('Données projet'!$B$12,Paramètres!$A$1:$I$89,3,0)*0.475*44/12</f>
        <v>9.6449283584970595E-17</v>
      </c>
      <c r="CN174" s="24">
        <f t="shared" si="172"/>
        <v>3.8962743356243066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1.7053025658242404E-13</v>
      </c>
      <c r="O175" s="14">
        <f>N175*VLOOKUP('Données projet'!$B$9,Paramètres!$A$1:$I$89,3,0)*VLOOKUP('Données projet'!$B$9,Paramètres!$A$1:$I$89,5,0)</f>
        <v>7.9808160080574461E-14</v>
      </c>
      <c r="P175" s="14">
        <f t="shared" si="141"/>
        <v>1.2308384591775343E-12</v>
      </c>
      <c r="Q175" s="22">
        <f t="shared" si="162"/>
        <v>2.282709528541206E-12</v>
      </c>
      <c r="R175" s="62">
        <f t="shared" si="109"/>
        <v>288.81492944695992</v>
      </c>
      <c r="S175" s="62">
        <f ca="1">AVERAGE(OFFSET($R$3,0,0,'Données projet'!$E$9+1,1))-AVERAGE(OFFSET($H$3,0,0,'Données projet'!$E$9+1,1))</f>
        <v>234.81928430389272</v>
      </c>
      <c r="T175" s="62">
        <f t="shared" si="142"/>
        <v>294.47057757403411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9.4899282942061163</v>
      </c>
      <c r="AA175" s="23">
        <f>EXP(-LN(2)/25)*AA174+(1-EXP(-LN(2)/25))/(LN(2)/25)*Calculateur!V175*Calculateur!X175*VLOOKUP('Données projet'!$B$9,Paramètres!$A$1:$I$89,3,0)*0.475*44/12</f>
        <v>1.6868667366993506</v>
      </c>
      <c r="AB175" s="23">
        <f>EXP(-LN(2)/2)*AB174+(1-EXP(-LN(2)/2))/(LN(2)/2)*V175*Y175*VLOOKUP('Données projet'!$B$9,Paramètres!$A$1:$I$89,3,0)*0.475*44/12</f>
        <v>9.0565114304652385E-16</v>
      </c>
      <c r="AC175" s="24">
        <f t="shared" si="163"/>
        <v>11.176795030905469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273.00000000000023</v>
      </c>
      <c r="AJ175" s="14">
        <f>AI175*VLOOKUP('Données projet'!$B$10,Paramètres!$A$1:$I$89,3,0)*VLOOKUP('Données projet'!$B$10,Paramètres!$A$1:$I$89,5,0)</f>
        <v>212.9400000000002</v>
      </c>
      <c r="AK175" s="14">
        <f t="shared" si="164"/>
        <v>52.577528895212915</v>
      </c>
      <c r="AL175" s="22">
        <f t="shared" si="165"/>
        <v>462.44302949249618</v>
      </c>
      <c r="AM175" s="62">
        <f t="shared" si="113"/>
        <v>751.25795893945383</v>
      </c>
      <c r="AN175" s="62">
        <f ca="1">AVERAGE(OFFSET($AM$3,0,0,'Données projet'!$E$10+1,1))-AVERAGE(OFFSET($H$3,0,0,'Données projet'!$E$10+1,1))</f>
        <v>304.39782420428173</v>
      </c>
      <c r="AO175" s="62">
        <f t="shared" si="144"/>
        <v>360.34132229290537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3.5519135062562186</v>
      </c>
      <c r="AV175" s="23">
        <f>EXP(-LN(2)/25)*AV174+(1-EXP(-LN(2)/25))/(LN(2)/25)*Calculateur!AQ175*Calculateur!AS175*VLOOKUP('Données projet'!$B$10,Paramètres!$A$1:$I$89,3,0)*0.475*44/12</f>
        <v>0.26584297928083517</v>
      </c>
      <c r="AW175" s="23">
        <f>EXP(-LN(2)/2)*AW174+(1-EXP(-LN(2)/2))/(LN(2)/2)*AQ175*AT175*VLOOKUP('Données projet'!$B$10,Paramètres!$A$1:$I$89,3,0)*0.475*44/12</f>
        <v>6.8199942463517071E-17</v>
      </c>
      <c r="AX175" s="23">
        <f t="shared" si="166"/>
        <v>3.8177564855370538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273.00000000000023</v>
      </c>
      <c r="BE175" s="14">
        <f>BD175*VLOOKUP('Données projet'!$B$11,Paramètres!$A$1:$I$89,3,0)*VLOOKUP('Données projet'!$B$11,Paramètres!$A$1:$I$89,5,0)</f>
        <v>212.9400000000002</v>
      </c>
      <c r="BF175" s="14">
        <f t="shared" si="167"/>
        <v>52.577528895212915</v>
      </c>
      <c r="BG175" s="22">
        <f t="shared" si="168"/>
        <v>462.44302949249618</v>
      </c>
      <c r="BH175" s="62">
        <f t="shared" si="116"/>
        <v>751.25795893945383</v>
      </c>
      <c r="BI175" s="62">
        <f ca="1">AVERAGE(OFFSET($BH$3,0,0,'Données projet'!$E$11+1,1))-AVERAGE(OFFSET($H$3,0,0,'Données projet'!$E$11+1,1))</f>
        <v>304.39782420428173</v>
      </c>
      <c r="BJ175" s="62">
        <f t="shared" si="146"/>
        <v>360.34132229290537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3.5519135062562186</v>
      </c>
      <c r="BQ175" s="23">
        <f>EXP(-LN(2)/25)*BQ174+(1-EXP(-LN(2)/25))/(LN(2)/25)*Calculateur!BL175*Calculateur!BN175*VLOOKUP('Données projet'!$B$11,Paramètres!$A$1:$I$89,3,0)*0.475*44/12</f>
        <v>0.26584297928083517</v>
      </c>
      <c r="BR175" s="23">
        <f>EXP(-LN(2)/2)*BR174+(1-EXP(-LN(2)/2))/(LN(2)/2)*BL175*BO175*VLOOKUP('Données projet'!$B$11,Paramètres!$A$1:$I$89,3,0)*0.475*44/12</f>
        <v>6.8199942463517071E-17</v>
      </c>
      <c r="BS175" s="24">
        <f t="shared" si="169"/>
        <v>3.8177564855370538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273.00000000000023</v>
      </c>
      <c r="BZ175" s="14">
        <f>BY175*VLOOKUP('Données projet'!$B$12,Paramètres!$A$1:$I$89,3,0)*VLOOKUP('Données projet'!$B$12,Paramètres!$A$1:$I$89,5,0)</f>
        <v>212.9400000000002</v>
      </c>
      <c r="CA175" s="14">
        <f t="shared" si="170"/>
        <v>52.577528895212915</v>
      </c>
      <c r="CB175" s="22">
        <f t="shared" si="171"/>
        <v>462.44302949249618</v>
      </c>
      <c r="CC175" s="62">
        <f t="shared" si="119"/>
        <v>751.25795893945383</v>
      </c>
      <c r="CD175" s="62">
        <f ca="1">AVERAGE(OFFSET($CC$3,0,0,'Données projet'!$E$12+1,1))-AVERAGE(OFFSET($H$3,0,0,'Données projet'!$E$12+1,1))</f>
        <v>304.39782420428173</v>
      </c>
      <c r="CE175" s="62">
        <f t="shared" si="148"/>
        <v>360.34132229290537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3.5519135062562186</v>
      </c>
      <c r="CL175" s="23">
        <f>EXP(-LN(2)/25)*CL174+(1-EXP(-LN(2)/25))/(LN(2)/25)*Calculateur!CG175*Calculateur!CI175*VLOOKUP('Données projet'!$B$12,Paramètres!$A$1:$I$89,3,0)*0.475*44/12</f>
        <v>0.26584297928083517</v>
      </c>
      <c r="CM175" s="23">
        <f>EXP(-LN(2)/2)*CM174+(1-EXP(-LN(2)/2))/(LN(2)/2)*CG175*CJ175*VLOOKUP('Données projet'!$B$12,Paramètres!$A$1:$I$89,3,0)*0.475*44/12</f>
        <v>6.8199942463517071E-17</v>
      </c>
      <c r="CN175" s="24">
        <f t="shared" si="172"/>
        <v>3.8177564855370538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1.7053025658242404E-13</v>
      </c>
      <c r="O176" s="14">
        <f>N176*VLOOKUP('Données projet'!$B$9,Paramètres!$A$1:$I$89,3,0)*VLOOKUP('Données projet'!$B$9,Paramètres!$A$1:$I$89,5,0)</f>
        <v>7.9808160080574461E-14</v>
      </c>
      <c r="P176" s="14">
        <f t="shared" si="141"/>
        <v>1.2308384591775343E-12</v>
      </c>
      <c r="Q176" s="22">
        <f t="shared" si="162"/>
        <v>2.282709528541206E-12</v>
      </c>
      <c r="R176" s="62">
        <f t="shared" si="109"/>
        <v>288.89331365275075</v>
      </c>
      <c r="S176" s="62">
        <f ca="1">AVERAGE(OFFSET($R$3,0,0,'Données projet'!$E$9+1,1))-AVERAGE(OFFSET($H$3,0,0,'Données projet'!$E$9+1,1))</f>
        <v>234.81928430389272</v>
      </c>
      <c r="T176" s="62">
        <f t="shared" si="142"/>
        <v>294.47057757403411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9.3038365886414489</v>
      </c>
      <c r="AA176" s="23">
        <f>EXP(-LN(2)/25)*AA175+(1-EXP(-LN(2)/25))/(LN(2)/25)*Calculateur!V176*Calculateur!X176*VLOOKUP('Données projet'!$B$9,Paramètres!$A$1:$I$89,3,0)*0.475*44/12</f>
        <v>1.6407392770758407</v>
      </c>
      <c r="AB176" s="23">
        <f>EXP(-LN(2)/2)*AB175+(1-EXP(-LN(2)/2))/(LN(2)/2)*V176*Y176*VLOOKUP('Données projet'!$B$9,Paramètres!$A$1:$I$89,3,0)*0.475*44/12</f>
        <v>6.40392064637545E-16</v>
      </c>
      <c r="AC176" s="24">
        <f t="shared" si="163"/>
        <v>10.94457586571729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273.00000000000023</v>
      </c>
      <c r="AJ176" s="14">
        <f>AI176*VLOOKUP('Données projet'!$B$10,Paramètres!$A$1:$I$89,3,0)*VLOOKUP('Données projet'!$B$10,Paramètres!$A$1:$I$89,5,0)</f>
        <v>212.9400000000002</v>
      </c>
      <c r="AK176" s="14">
        <f t="shared" si="164"/>
        <v>52.577528895212915</v>
      </c>
      <c r="AL176" s="22">
        <f t="shared" si="165"/>
        <v>462.44302949249618</v>
      </c>
      <c r="AM176" s="62">
        <f t="shared" si="113"/>
        <v>751.33634314524465</v>
      </c>
      <c r="AN176" s="62">
        <f ca="1">AVERAGE(OFFSET($AM$3,0,0,'Données projet'!$E$10+1,1))-AVERAGE(OFFSET($H$3,0,0,'Données projet'!$E$10+1,1))</f>
        <v>304.39782420428173</v>
      </c>
      <c r="AO176" s="62">
        <f t="shared" si="144"/>
        <v>360.34132229290537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3.4822626488518535</v>
      </c>
      <c r="AV176" s="23">
        <f>EXP(-LN(2)/25)*AV175+(1-EXP(-LN(2)/25))/(LN(2)/25)*Calculateur!AQ176*Calculateur!AS176*VLOOKUP('Données projet'!$B$10,Paramètres!$A$1:$I$89,3,0)*0.475*44/12</f>
        <v>0.25857348903232602</v>
      </c>
      <c r="AW176" s="23">
        <f>EXP(-LN(2)/2)*AW175+(1-EXP(-LN(2)/2))/(LN(2)/2)*AQ176*AT176*VLOOKUP('Données projet'!$B$10,Paramètres!$A$1:$I$89,3,0)*0.475*44/12</f>
        <v>4.8224641792485297E-17</v>
      </c>
      <c r="AX176" s="23">
        <f t="shared" si="166"/>
        <v>3.7408361378841795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273.00000000000023</v>
      </c>
      <c r="BE176" s="14">
        <f>BD176*VLOOKUP('Données projet'!$B$11,Paramètres!$A$1:$I$89,3,0)*VLOOKUP('Données projet'!$B$11,Paramètres!$A$1:$I$89,5,0)</f>
        <v>212.9400000000002</v>
      </c>
      <c r="BF176" s="14">
        <f t="shared" si="167"/>
        <v>52.577528895212915</v>
      </c>
      <c r="BG176" s="22">
        <f t="shared" si="168"/>
        <v>462.44302949249618</v>
      </c>
      <c r="BH176" s="62">
        <f t="shared" si="116"/>
        <v>751.33634314524465</v>
      </c>
      <c r="BI176" s="62">
        <f ca="1">AVERAGE(OFFSET($BH$3,0,0,'Données projet'!$E$11+1,1))-AVERAGE(OFFSET($H$3,0,0,'Données projet'!$E$11+1,1))</f>
        <v>304.39782420428173</v>
      </c>
      <c r="BJ176" s="62">
        <f t="shared" si="146"/>
        <v>360.34132229290537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3.4822626488518535</v>
      </c>
      <c r="BQ176" s="23">
        <f>EXP(-LN(2)/25)*BQ175+(1-EXP(-LN(2)/25))/(LN(2)/25)*Calculateur!BL176*Calculateur!BN176*VLOOKUP('Données projet'!$B$11,Paramètres!$A$1:$I$89,3,0)*0.475*44/12</f>
        <v>0.25857348903232602</v>
      </c>
      <c r="BR176" s="23">
        <f>EXP(-LN(2)/2)*BR175+(1-EXP(-LN(2)/2))/(LN(2)/2)*BL176*BO176*VLOOKUP('Données projet'!$B$11,Paramètres!$A$1:$I$89,3,0)*0.475*44/12</f>
        <v>4.8224641792485297E-17</v>
      </c>
      <c r="BS176" s="24">
        <f t="shared" si="169"/>
        <v>3.7408361378841795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273.00000000000023</v>
      </c>
      <c r="BZ176" s="14">
        <f>BY176*VLOOKUP('Données projet'!$B$12,Paramètres!$A$1:$I$89,3,0)*VLOOKUP('Données projet'!$B$12,Paramètres!$A$1:$I$89,5,0)</f>
        <v>212.9400000000002</v>
      </c>
      <c r="CA176" s="14">
        <f t="shared" si="170"/>
        <v>52.577528895212915</v>
      </c>
      <c r="CB176" s="22">
        <f t="shared" si="171"/>
        <v>462.44302949249618</v>
      </c>
      <c r="CC176" s="62">
        <f t="shared" si="119"/>
        <v>751.33634314524465</v>
      </c>
      <c r="CD176" s="62">
        <f ca="1">AVERAGE(OFFSET($CC$3,0,0,'Données projet'!$E$12+1,1))-AVERAGE(OFFSET($H$3,0,0,'Données projet'!$E$12+1,1))</f>
        <v>304.39782420428173</v>
      </c>
      <c r="CE176" s="62">
        <f t="shared" si="148"/>
        <v>360.34132229290537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3.4822626488518535</v>
      </c>
      <c r="CL176" s="23">
        <f>EXP(-LN(2)/25)*CL175+(1-EXP(-LN(2)/25))/(LN(2)/25)*Calculateur!CG176*Calculateur!CI176*VLOOKUP('Données projet'!$B$12,Paramètres!$A$1:$I$89,3,0)*0.475*44/12</f>
        <v>0.25857348903232602</v>
      </c>
      <c r="CM176" s="23">
        <f>EXP(-LN(2)/2)*CM175+(1-EXP(-LN(2)/2))/(LN(2)/2)*CG176*CJ176*VLOOKUP('Données projet'!$B$12,Paramètres!$A$1:$I$89,3,0)*0.475*44/12</f>
        <v>4.8224641792485297E-17</v>
      </c>
      <c r="CN176" s="24">
        <f t="shared" si="172"/>
        <v>3.7408361378841795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1.7053025658242404E-13</v>
      </c>
      <c r="O177" s="14">
        <f>N177*VLOOKUP('Données projet'!$B$9,Paramètres!$A$1:$I$89,3,0)*VLOOKUP('Données projet'!$B$9,Paramètres!$A$1:$I$89,5,0)</f>
        <v>7.9808160080574461E-14</v>
      </c>
      <c r="P177" s="14">
        <f t="shared" si="141"/>
        <v>1.2308384591775343E-12</v>
      </c>
      <c r="Q177" s="22">
        <f t="shared" si="162"/>
        <v>2.282709528541206E-12</v>
      </c>
      <c r="R177" s="62">
        <f t="shared" si="109"/>
        <v>288.97033806781201</v>
      </c>
      <c r="S177" s="62">
        <f ca="1">AVERAGE(OFFSET($R$3,0,0,'Données projet'!$E$9+1,1))-AVERAGE(OFFSET($H$3,0,0,'Données projet'!$E$9+1,1))</f>
        <v>234.81928430389272</v>
      </c>
      <c r="T177" s="62">
        <f t="shared" si="142"/>
        <v>294.47057757403411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9.1213940279181713</v>
      </c>
      <c r="AA177" s="23">
        <f>EXP(-LN(2)/25)*AA176+(1-EXP(-LN(2)/25))/(LN(2)/25)*Calculateur!V177*Calculateur!X177*VLOOKUP('Données projet'!$B$9,Paramètres!$A$1:$I$89,3,0)*0.475*44/12</f>
        <v>1.5958731752614732</v>
      </c>
      <c r="AB177" s="23">
        <f>EXP(-LN(2)/2)*AB176+(1-EXP(-LN(2)/2))/(LN(2)/2)*V177*Y177*VLOOKUP('Données projet'!$B$9,Paramètres!$A$1:$I$89,3,0)*0.475*44/12</f>
        <v>4.5282557152326192E-16</v>
      </c>
      <c r="AC177" s="24">
        <f t="shared" si="163"/>
        <v>10.717267203179645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273.00000000000023</v>
      </c>
      <c r="AJ177" s="14">
        <f>AI177*VLOOKUP('Données projet'!$B$10,Paramètres!$A$1:$I$89,3,0)*VLOOKUP('Données projet'!$B$10,Paramètres!$A$1:$I$89,5,0)</f>
        <v>212.9400000000002</v>
      </c>
      <c r="AK177" s="14">
        <f t="shared" si="164"/>
        <v>52.577528895212915</v>
      </c>
      <c r="AL177" s="22">
        <f t="shared" si="165"/>
        <v>462.44302949249618</v>
      </c>
      <c r="AM177" s="62">
        <f t="shared" si="113"/>
        <v>751.41336756030591</v>
      </c>
      <c r="AN177" s="62">
        <f ca="1">AVERAGE(OFFSET($AM$3,0,0,'Données projet'!$E$10+1,1))-AVERAGE(OFFSET($H$3,0,0,'Données projet'!$E$10+1,1))</f>
        <v>304.39782420428173</v>
      </c>
      <c r="AO177" s="62">
        <f t="shared" si="144"/>
        <v>360.34132229290537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3.4139776022783597</v>
      </c>
      <c r="AV177" s="23">
        <f>EXP(-LN(2)/25)*AV176+(1-EXP(-LN(2)/25))/(LN(2)/25)*Calculateur!AQ177*Calculateur!AS177*VLOOKUP('Données projet'!$B$10,Paramètres!$A$1:$I$89,3,0)*0.475*44/12</f>
        <v>0.25150278337694826</v>
      </c>
      <c r="AW177" s="23">
        <f>EXP(-LN(2)/2)*AW176+(1-EXP(-LN(2)/2))/(LN(2)/2)*AQ177*AT177*VLOOKUP('Données projet'!$B$10,Paramètres!$A$1:$I$89,3,0)*0.475*44/12</f>
        <v>3.4099971231758535E-17</v>
      </c>
      <c r="AX177" s="23">
        <f t="shared" si="166"/>
        <v>3.6654803856553078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273.00000000000023</v>
      </c>
      <c r="BE177" s="14">
        <f>BD177*VLOOKUP('Données projet'!$B$11,Paramètres!$A$1:$I$89,3,0)*VLOOKUP('Données projet'!$B$11,Paramètres!$A$1:$I$89,5,0)</f>
        <v>212.9400000000002</v>
      </c>
      <c r="BF177" s="14">
        <f t="shared" si="167"/>
        <v>52.577528895212915</v>
      </c>
      <c r="BG177" s="22">
        <f t="shared" si="168"/>
        <v>462.44302949249618</v>
      </c>
      <c r="BH177" s="62">
        <f t="shared" si="116"/>
        <v>751.41336756030591</v>
      </c>
      <c r="BI177" s="62">
        <f ca="1">AVERAGE(OFFSET($BH$3,0,0,'Données projet'!$E$11+1,1))-AVERAGE(OFFSET($H$3,0,0,'Données projet'!$E$11+1,1))</f>
        <v>304.39782420428173</v>
      </c>
      <c r="BJ177" s="62">
        <f t="shared" si="146"/>
        <v>360.34132229290537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3.4139776022783597</v>
      </c>
      <c r="BQ177" s="23">
        <f>EXP(-LN(2)/25)*BQ176+(1-EXP(-LN(2)/25))/(LN(2)/25)*Calculateur!BL177*Calculateur!BN177*VLOOKUP('Données projet'!$B$11,Paramètres!$A$1:$I$89,3,0)*0.475*44/12</f>
        <v>0.25150278337694826</v>
      </c>
      <c r="BR177" s="23">
        <f>EXP(-LN(2)/2)*BR176+(1-EXP(-LN(2)/2))/(LN(2)/2)*BL177*BO177*VLOOKUP('Données projet'!$B$11,Paramètres!$A$1:$I$89,3,0)*0.475*44/12</f>
        <v>3.4099971231758535E-17</v>
      </c>
      <c r="BS177" s="24">
        <f t="shared" si="169"/>
        <v>3.6654803856553078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273.00000000000023</v>
      </c>
      <c r="BZ177" s="14">
        <f>BY177*VLOOKUP('Données projet'!$B$12,Paramètres!$A$1:$I$89,3,0)*VLOOKUP('Données projet'!$B$12,Paramètres!$A$1:$I$89,5,0)</f>
        <v>212.9400000000002</v>
      </c>
      <c r="CA177" s="14">
        <f t="shared" si="170"/>
        <v>52.577528895212915</v>
      </c>
      <c r="CB177" s="22">
        <f t="shared" si="171"/>
        <v>462.44302949249618</v>
      </c>
      <c r="CC177" s="62">
        <f t="shared" si="119"/>
        <v>751.41336756030591</v>
      </c>
      <c r="CD177" s="62">
        <f ca="1">AVERAGE(OFFSET($CC$3,0,0,'Données projet'!$E$12+1,1))-AVERAGE(OFFSET($H$3,0,0,'Données projet'!$E$12+1,1))</f>
        <v>304.39782420428173</v>
      </c>
      <c r="CE177" s="62">
        <f t="shared" si="148"/>
        <v>360.34132229290537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3.4139776022783597</v>
      </c>
      <c r="CL177" s="23">
        <f>EXP(-LN(2)/25)*CL176+(1-EXP(-LN(2)/25))/(LN(2)/25)*Calculateur!CG177*Calculateur!CI177*VLOOKUP('Données projet'!$B$12,Paramètres!$A$1:$I$89,3,0)*0.475*44/12</f>
        <v>0.25150278337694826</v>
      </c>
      <c r="CM177" s="23">
        <f>EXP(-LN(2)/2)*CM176+(1-EXP(-LN(2)/2))/(LN(2)/2)*CG177*CJ177*VLOOKUP('Données projet'!$B$12,Paramètres!$A$1:$I$89,3,0)*0.475*44/12</f>
        <v>3.4099971231758535E-17</v>
      </c>
      <c r="CN177" s="24">
        <f t="shared" si="172"/>
        <v>3.6654803856553078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1.7053025658242404E-13</v>
      </c>
      <c r="O178" s="14">
        <f>N178*VLOOKUP('Données projet'!$B$9,Paramètres!$A$1:$I$89,3,0)*VLOOKUP('Données projet'!$B$9,Paramètres!$A$1:$I$89,5,0)</f>
        <v>7.9808160080574461E-14</v>
      </c>
      <c r="P178" s="14">
        <f t="shared" si="141"/>
        <v>1.2308384591775343E-12</v>
      </c>
      <c r="Q178" s="22">
        <f t="shared" si="162"/>
        <v>2.282709528541206E-12</v>
      </c>
      <c r="R178" s="62">
        <f t="shared" si="109"/>
        <v>289.04602628147268</v>
      </c>
      <c r="S178" s="62">
        <f ca="1">AVERAGE(OFFSET($R$3,0,0,'Données projet'!$E$9+1,1))-AVERAGE(OFFSET($H$3,0,0,'Données projet'!$E$9+1,1))</f>
        <v>234.81928430389272</v>
      </c>
      <c r="T178" s="62">
        <f t="shared" si="142"/>
        <v>294.47057757403411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8.9425290545317022</v>
      </c>
      <c r="AA178" s="23">
        <f>EXP(-LN(2)/25)*AA177+(1-EXP(-LN(2)/25))/(LN(2)/25)*Calculateur!V178*Calculateur!X178*VLOOKUP('Données projet'!$B$9,Paramètres!$A$1:$I$89,3,0)*0.475*44/12</f>
        <v>1.5522339393606253</v>
      </c>
      <c r="AB178" s="23">
        <f>EXP(-LN(2)/2)*AB177+(1-EXP(-LN(2)/2))/(LN(2)/2)*V178*Y178*VLOOKUP('Données projet'!$B$9,Paramètres!$A$1:$I$89,3,0)*0.475*44/12</f>
        <v>3.201960323187725E-16</v>
      </c>
      <c r="AC178" s="24">
        <f t="shared" si="163"/>
        <v>10.494762993892328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273.00000000000023</v>
      </c>
      <c r="AJ178" s="14">
        <f>AI178*VLOOKUP('Données projet'!$B$10,Paramètres!$A$1:$I$89,3,0)*VLOOKUP('Données projet'!$B$10,Paramètres!$A$1:$I$89,5,0)</f>
        <v>212.9400000000002</v>
      </c>
      <c r="AK178" s="14">
        <f t="shared" si="164"/>
        <v>52.577528895212915</v>
      </c>
      <c r="AL178" s="22">
        <f t="shared" si="165"/>
        <v>462.44302949249618</v>
      </c>
      <c r="AM178" s="62">
        <f t="shared" si="113"/>
        <v>751.48905577396658</v>
      </c>
      <c r="AN178" s="62">
        <f ca="1">AVERAGE(OFFSET($AM$3,0,0,'Données projet'!$E$10+1,1))-AVERAGE(OFFSET($H$3,0,0,'Données projet'!$E$10+1,1))</f>
        <v>304.39782420428173</v>
      </c>
      <c r="AO178" s="62">
        <f t="shared" si="144"/>
        <v>360.34132229290537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3.3470315838184064</v>
      </c>
      <c r="AV178" s="23">
        <f>EXP(-LN(2)/25)*AV177+(1-EXP(-LN(2)/25))/(LN(2)/25)*Calculateur!AQ178*Calculateur!AS178*VLOOKUP('Données projet'!$B$10,Paramètres!$A$1:$I$89,3,0)*0.475*44/12</f>
        <v>0.24462542653954905</v>
      </c>
      <c r="AW178" s="23">
        <f>EXP(-LN(2)/2)*AW177+(1-EXP(-LN(2)/2))/(LN(2)/2)*AQ178*AT178*VLOOKUP('Données projet'!$B$10,Paramètres!$A$1:$I$89,3,0)*0.475*44/12</f>
        <v>2.4112320896242649E-17</v>
      </c>
      <c r="AX178" s="23">
        <f t="shared" si="166"/>
        <v>3.5916570103579555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273.00000000000023</v>
      </c>
      <c r="BE178" s="14">
        <f>BD178*VLOOKUP('Données projet'!$B$11,Paramètres!$A$1:$I$89,3,0)*VLOOKUP('Données projet'!$B$11,Paramètres!$A$1:$I$89,5,0)</f>
        <v>212.9400000000002</v>
      </c>
      <c r="BF178" s="14">
        <f t="shared" si="167"/>
        <v>52.577528895212915</v>
      </c>
      <c r="BG178" s="22">
        <f t="shared" si="168"/>
        <v>462.44302949249618</v>
      </c>
      <c r="BH178" s="62">
        <f t="shared" si="116"/>
        <v>751.48905577396658</v>
      </c>
      <c r="BI178" s="62">
        <f ca="1">AVERAGE(OFFSET($BH$3,0,0,'Données projet'!$E$11+1,1))-AVERAGE(OFFSET($H$3,0,0,'Données projet'!$E$11+1,1))</f>
        <v>304.39782420428173</v>
      </c>
      <c r="BJ178" s="62">
        <f t="shared" si="146"/>
        <v>360.34132229290537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3.3470315838184064</v>
      </c>
      <c r="BQ178" s="23">
        <f>EXP(-LN(2)/25)*BQ177+(1-EXP(-LN(2)/25))/(LN(2)/25)*Calculateur!BL178*Calculateur!BN178*VLOOKUP('Données projet'!$B$11,Paramètres!$A$1:$I$89,3,0)*0.475*44/12</f>
        <v>0.24462542653954905</v>
      </c>
      <c r="BR178" s="23">
        <f>EXP(-LN(2)/2)*BR177+(1-EXP(-LN(2)/2))/(LN(2)/2)*BL178*BO178*VLOOKUP('Données projet'!$B$11,Paramètres!$A$1:$I$89,3,0)*0.475*44/12</f>
        <v>2.4112320896242649E-17</v>
      </c>
      <c r="BS178" s="24">
        <f t="shared" si="169"/>
        <v>3.5916570103579555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273.00000000000023</v>
      </c>
      <c r="BZ178" s="14">
        <f>BY178*VLOOKUP('Données projet'!$B$12,Paramètres!$A$1:$I$89,3,0)*VLOOKUP('Données projet'!$B$12,Paramètres!$A$1:$I$89,5,0)</f>
        <v>212.9400000000002</v>
      </c>
      <c r="CA178" s="14">
        <f t="shared" si="170"/>
        <v>52.577528895212915</v>
      </c>
      <c r="CB178" s="22">
        <f t="shared" si="171"/>
        <v>462.44302949249618</v>
      </c>
      <c r="CC178" s="62">
        <f t="shared" si="119"/>
        <v>751.48905577396658</v>
      </c>
      <c r="CD178" s="62">
        <f ca="1">AVERAGE(OFFSET($CC$3,0,0,'Données projet'!$E$12+1,1))-AVERAGE(OFFSET($H$3,0,0,'Données projet'!$E$12+1,1))</f>
        <v>304.39782420428173</v>
      </c>
      <c r="CE178" s="62">
        <f t="shared" si="148"/>
        <v>360.34132229290537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3.3470315838184064</v>
      </c>
      <c r="CL178" s="23">
        <f>EXP(-LN(2)/25)*CL177+(1-EXP(-LN(2)/25))/(LN(2)/25)*Calculateur!CG178*Calculateur!CI178*VLOOKUP('Données projet'!$B$12,Paramètres!$A$1:$I$89,3,0)*0.475*44/12</f>
        <v>0.24462542653954905</v>
      </c>
      <c r="CM178" s="23">
        <f>EXP(-LN(2)/2)*CM177+(1-EXP(-LN(2)/2))/(LN(2)/2)*CG178*CJ178*VLOOKUP('Données projet'!$B$12,Paramètres!$A$1:$I$89,3,0)*0.475*44/12</f>
        <v>2.4112320896242649E-17</v>
      </c>
      <c r="CN178" s="24">
        <f t="shared" si="172"/>
        <v>3.5916570103579555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1.7053025658242404E-13</v>
      </c>
      <c r="O179" s="14">
        <f>N179*VLOOKUP('Données projet'!$B$9,Paramètres!$A$1:$I$89,3,0)*VLOOKUP('Données projet'!$B$9,Paramètres!$A$1:$I$89,5,0)</f>
        <v>7.9808160080574461E-14</v>
      </c>
      <c r="P179" s="14">
        <f t="shared" si="141"/>
        <v>1.2308384591775343E-12</v>
      </c>
      <c r="Q179" s="22">
        <f t="shared" si="162"/>
        <v>2.282709528541206E-12</v>
      </c>
      <c r="R179" s="62">
        <f t="shared" si="109"/>
        <v>289.12040147383988</v>
      </c>
      <c r="S179" s="62">
        <f ca="1">AVERAGE(OFFSET($R$3,0,0,'Données projet'!$E$9+1,1))-AVERAGE(OFFSET($H$3,0,0,'Données projet'!$E$9+1,1))</f>
        <v>234.81928430389272</v>
      </c>
      <c r="T179" s="62">
        <f t="shared" si="142"/>
        <v>294.47057757403411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8.7671715141764803</v>
      </c>
      <c r="AA179" s="23">
        <f>EXP(-LN(2)/25)*AA178+(1-EXP(-LN(2)/25))/(LN(2)/25)*Calculateur!V179*Calculateur!X179*VLOOKUP('Données projet'!$B$9,Paramètres!$A$1:$I$89,3,0)*0.475*44/12</f>
        <v>1.5097880206603738</v>
      </c>
      <c r="AB179" s="23">
        <f>EXP(-LN(2)/2)*AB178+(1-EXP(-LN(2)/2))/(LN(2)/2)*V179*Y179*VLOOKUP('Données projet'!$B$9,Paramètres!$A$1:$I$89,3,0)*0.475*44/12</f>
        <v>2.2641278576163096E-16</v>
      </c>
      <c r="AC179" s="24">
        <f t="shared" si="163"/>
        <v>10.276959534836854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273.00000000000023</v>
      </c>
      <c r="AJ179" s="14">
        <f>AI179*VLOOKUP('Données projet'!$B$10,Paramètres!$A$1:$I$89,3,0)*VLOOKUP('Données projet'!$B$10,Paramètres!$A$1:$I$89,5,0)</f>
        <v>212.9400000000002</v>
      </c>
      <c r="AK179" s="14">
        <f t="shared" si="164"/>
        <v>52.577528895212915</v>
      </c>
      <c r="AL179" s="22">
        <f t="shared" si="165"/>
        <v>462.44302949249618</v>
      </c>
      <c r="AM179" s="62">
        <f t="shared" si="113"/>
        <v>751.56343096633373</v>
      </c>
      <c r="AN179" s="62">
        <f ca="1">AVERAGE(OFFSET($AM$3,0,0,'Données projet'!$E$10+1,1))-AVERAGE(OFFSET($H$3,0,0,'Données projet'!$E$10+1,1))</f>
        <v>304.39782420428173</v>
      </c>
      <c r="AO179" s="62">
        <f t="shared" si="144"/>
        <v>360.34132229290537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3.2813983359474133</v>
      </c>
      <c r="AV179" s="23">
        <f>EXP(-LN(2)/25)*AV178+(1-EXP(-LN(2)/25))/(LN(2)/25)*Calculateur!AQ179*Calculateur!AS179*VLOOKUP('Données projet'!$B$10,Paramètres!$A$1:$I$89,3,0)*0.475*44/12</f>
        <v>0.237936131386533</v>
      </c>
      <c r="AW179" s="23">
        <f>EXP(-LN(2)/2)*AW178+(1-EXP(-LN(2)/2))/(LN(2)/2)*AQ179*AT179*VLOOKUP('Données projet'!$B$10,Paramètres!$A$1:$I$89,3,0)*0.475*44/12</f>
        <v>1.7049985615879268E-17</v>
      </c>
      <c r="AX179" s="23">
        <f t="shared" si="166"/>
        <v>3.5193344673339464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273.00000000000023</v>
      </c>
      <c r="BE179" s="14">
        <f>BD179*VLOOKUP('Données projet'!$B$11,Paramètres!$A$1:$I$89,3,0)*VLOOKUP('Données projet'!$B$11,Paramètres!$A$1:$I$89,5,0)</f>
        <v>212.9400000000002</v>
      </c>
      <c r="BF179" s="14">
        <f t="shared" si="167"/>
        <v>52.577528895212915</v>
      </c>
      <c r="BG179" s="22">
        <f t="shared" si="168"/>
        <v>462.44302949249618</v>
      </c>
      <c r="BH179" s="62">
        <f t="shared" si="116"/>
        <v>751.56343096633373</v>
      </c>
      <c r="BI179" s="62">
        <f ca="1">AVERAGE(OFFSET($BH$3,0,0,'Données projet'!$E$11+1,1))-AVERAGE(OFFSET($H$3,0,0,'Données projet'!$E$11+1,1))</f>
        <v>304.39782420428173</v>
      </c>
      <c r="BJ179" s="62">
        <f t="shared" si="146"/>
        <v>360.34132229290537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3.2813983359474133</v>
      </c>
      <c r="BQ179" s="23">
        <f>EXP(-LN(2)/25)*BQ178+(1-EXP(-LN(2)/25))/(LN(2)/25)*Calculateur!BL179*Calculateur!BN179*VLOOKUP('Données projet'!$B$11,Paramètres!$A$1:$I$89,3,0)*0.475*44/12</f>
        <v>0.237936131386533</v>
      </c>
      <c r="BR179" s="23">
        <f>EXP(-LN(2)/2)*BR178+(1-EXP(-LN(2)/2))/(LN(2)/2)*BL179*BO179*VLOOKUP('Données projet'!$B$11,Paramètres!$A$1:$I$89,3,0)*0.475*44/12</f>
        <v>1.7049985615879268E-17</v>
      </c>
      <c r="BS179" s="24">
        <f t="shared" si="169"/>
        <v>3.5193344673339464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273.00000000000023</v>
      </c>
      <c r="BZ179" s="14">
        <f>BY179*VLOOKUP('Données projet'!$B$12,Paramètres!$A$1:$I$89,3,0)*VLOOKUP('Données projet'!$B$12,Paramètres!$A$1:$I$89,5,0)</f>
        <v>212.9400000000002</v>
      </c>
      <c r="CA179" s="14">
        <f t="shared" si="170"/>
        <v>52.577528895212915</v>
      </c>
      <c r="CB179" s="22">
        <f t="shared" si="171"/>
        <v>462.44302949249618</v>
      </c>
      <c r="CC179" s="62">
        <f t="shared" si="119"/>
        <v>751.56343096633373</v>
      </c>
      <c r="CD179" s="62">
        <f ca="1">AVERAGE(OFFSET($CC$3,0,0,'Données projet'!$E$12+1,1))-AVERAGE(OFFSET($H$3,0,0,'Données projet'!$E$12+1,1))</f>
        <v>304.39782420428173</v>
      </c>
      <c r="CE179" s="62">
        <f t="shared" si="148"/>
        <v>360.34132229290537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3.2813983359474133</v>
      </c>
      <c r="CL179" s="23">
        <f>EXP(-LN(2)/25)*CL178+(1-EXP(-LN(2)/25))/(LN(2)/25)*Calculateur!CG179*Calculateur!CI179*VLOOKUP('Données projet'!$B$12,Paramètres!$A$1:$I$89,3,0)*0.475*44/12</f>
        <v>0.237936131386533</v>
      </c>
      <c r="CM179" s="23">
        <f>EXP(-LN(2)/2)*CM178+(1-EXP(-LN(2)/2))/(LN(2)/2)*CG179*CJ179*VLOOKUP('Données projet'!$B$12,Paramètres!$A$1:$I$89,3,0)*0.475*44/12</f>
        <v>1.7049985615879268E-17</v>
      </c>
      <c r="CN179" s="24">
        <f t="shared" si="172"/>
        <v>3.5193344673339464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1.7053025658242404E-13</v>
      </c>
      <c r="O180" s="14">
        <f>N180*VLOOKUP('Données projet'!$B$9,Paramètres!$A$1:$I$89,3,0)*VLOOKUP('Données projet'!$B$9,Paramètres!$A$1:$I$89,5,0)</f>
        <v>7.9808160080574461E-14</v>
      </c>
      <c r="P180" s="14">
        <f t="shared" si="141"/>
        <v>1.2308384591775343E-12</v>
      </c>
      <c r="Q180" s="22">
        <f t="shared" si="162"/>
        <v>2.282709528541206E-12</v>
      </c>
      <c r="R180" s="62">
        <f t="shared" si="109"/>
        <v>289.19348642289754</v>
      </c>
      <c r="S180" s="62">
        <f ca="1">AVERAGE(OFFSET($R$3,0,0,'Données projet'!$E$9+1,1))-AVERAGE(OFFSET($H$3,0,0,'Données projet'!$E$9+1,1))</f>
        <v>234.81928430389272</v>
      </c>
      <c r="T180" s="62">
        <f t="shared" si="142"/>
        <v>294.47057757403411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8.595252628230087</v>
      </c>
      <c r="AA180" s="23">
        <f>EXP(-LN(2)/25)*AA179+(1-EXP(-LN(2)/25))/(LN(2)/25)*Calculateur!V180*Calculateur!X180*VLOOKUP('Données projet'!$B$9,Paramètres!$A$1:$I$89,3,0)*0.475*44/12</f>
        <v>1.4685027878391146</v>
      </c>
      <c r="AB180" s="23">
        <f>EXP(-LN(2)/2)*AB179+(1-EXP(-LN(2)/2))/(LN(2)/2)*V180*Y180*VLOOKUP('Données projet'!$B$9,Paramètres!$A$1:$I$89,3,0)*0.475*44/12</f>
        <v>1.6009801615938625E-16</v>
      </c>
      <c r="AC180" s="24">
        <f t="shared" si="163"/>
        <v>10.063755416069201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273.00000000000023</v>
      </c>
      <c r="AJ180" s="14">
        <f>AI180*VLOOKUP('Données projet'!$B$10,Paramètres!$A$1:$I$89,3,0)*VLOOKUP('Données projet'!$B$10,Paramètres!$A$1:$I$89,5,0)</f>
        <v>212.9400000000002</v>
      </c>
      <c r="AK180" s="14">
        <f t="shared" si="164"/>
        <v>52.577528895212915</v>
      </c>
      <c r="AL180" s="22">
        <f t="shared" si="165"/>
        <v>462.44302949249618</v>
      </c>
      <c r="AM180" s="62">
        <f t="shared" si="113"/>
        <v>751.63651591539144</v>
      </c>
      <c r="AN180" s="62">
        <f ca="1">AVERAGE(OFFSET($AM$3,0,0,'Données projet'!$E$10+1,1))-AVERAGE(OFFSET($H$3,0,0,'Données projet'!$E$10+1,1))</f>
        <v>304.39782420428173</v>
      </c>
      <c r="AO180" s="62">
        <f t="shared" si="144"/>
        <v>360.34132229290537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3.217052116034842</v>
      </c>
      <c r="AV180" s="23">
        <f>EXP(-LN(2)/25)*AV179+(1-EXP(-LN(2)/25))/(LN(2)/25)*Calculateur!AQ180*Calculateur!AS180*VLOOKUP('Données projet'!$B$10,Paramètres!$A$1:$I$89,3,0)*0.475*44/12</f>
        <v>0.23142975536125091</v>
      </c>
      <c r="AW180" s="23">
        <f>EXP(-LN(2)/2)*AW179+(1-EXP(-LN(2)/2))/(LN(2)/2)*AQ180*AT180*VLOOKUP('Données projet'!$B$10,Paramètres!$A$1:$I$89,3,0)*0.475*44/12</f>
        <v>1.2056160448121324E-17</v>
      </c>
      <c r="AX180" s="23">
        <f t="shared" si="166"/>
        <v>3.4484818713960927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273.00000000000023</v>
      </c>
      <c r="BE180" s="14">
        <f>BD180*VLOOKUP('Données projet'!$B$11,Paramètres!$A$1:$I$89,3,0)*VLOOKUP('Données projet'!$B$11,Paramètres!$A$1:$I$89,5,0)</f>
        <v>212.9400000000002</v>
      </c>
      <c r="BF180" s="14">
        <f t="shared" si="167"/>
        <v>52.577528895212915</v>
      </c>
      <c r="BG180" s="22">
        <f t="shared" si="168"/>
        <v>462.44302949249618</v>
      </c>
      <c r="BH180" s="62">
        <f t="shared" si="116"/>
        <v>751.63651591539144</v>
      </c>
      <c r="BI180" s="62">
        <f ca="1">AVERAGE(OFFSET($BH$3,0,0,'Données projet'!$E$11+1,1))-AVERAGE(OFFSET($H$3,0,0,'Données projet'!$E$11+1,1))</f>
        <v>304.39782420428173</v>
      </c>
      <c r="BJ180" s="62">
        <f t="shared" si="146"/>
        <v>360.34132229290537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3.217052116034842</v>
      </c>
      <c r="BQ180" s="23">
        <f>EXP(-LN(2)/25)*BQ179+(1-EXP(-LN(2)/25))/(LN(2)/25)*Calculateur!BL180*Calculateur!BN180*VLOOKUP('Données projet'!$B$11,Paramètres!$A$1:$I$89,3,0)*0.475*44/12</f>
        <v>0.23142975536125091</v>
      </c>
      <c r="BR180" s="23">
        <f>EXP(-LN(2)/2)*BR179+(1-EXP(-LN(2)/2))/(LN(2)/2)*BL180*BO180*VLOOKUP('Données projet'!$B$11,Paramètres!$A$1:$I$89,3,0)*0.475*44/12</f>
        <v>1.2056160448121324E-17</v>
      </c>
      <c r="BS180" s="24">
        <f t="shared" si="169"/>
        <v>3.4484818713960927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273.00000000000023</v>
      </c>
      <c r="BZ180" s="14">
        <f>BY180*VLOOKUP('Données projet'!$B$12,Paramètres!$A$1:$I$89,3,0)*VLOOKUP('Données projet'!$B$12,Paramètres!$A$1:$I$89,5,0)</f>
        <v>212.9400000000002</v>
      </c>
      <c r="CA180" s="14">
        <f t="shared" si="170"/>
        <v>52.577528895212915</v>
      </c>
      <c r="CB180" s="22">
        <f t="shared" si="171"/>
        <v>462.44302949249618</v>
      </c>
      <c r="CC180" s="62">
        <f t="shared" si="119"/>
        <v>751.63651591539144</v>
      </c>
      <c r="CD180" s="62">
        <f ca="1">AVERAGE(OFFSET($CC$3,0,0,'Données projet'!$E$12+1,1))-AVERAGE(OFFSET($H$3,0,0,'Données projet'!$E$12+1,1))</f>
        <v>304.39782420428173</v>
      </c>
      <c r="CE180" s="62">
        <f t="shared" si="148"/>
        <v>360.34132229290537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3.217052116034842</v>
      </c>
      <c r="CL180" s="23">
        <f>EXP(-LN(2)/25)*CL179+(1-EXP(-LN(2)/25))/(LN(2)/25)*Calculateur!CG180*Calculateur!CI180*VLOOKUP('Données projet'!$B$12,Paramètres!$A$1:$I$89,3,0)*0.475*44/12</f>
        <v>0.23142975536125091</v>
      </c>
      <c r="CM180" s="23">
        <f>EXP(-LN(2)/2)*CM179+(1-EXP(-LN(2)/2))/(LN(2)/2)*CG180*CJ180*VLOOKUP('Données projet'!$B$12,Paramètres!$A$1:$I$89,3,0)*0.475*44/12</f>
        <v>1.2056160448121324E-17</v>
      </c>
      <c r="CN180" s="24">
        <f t="shared" si="172"/>
        <v>3.4484818713960927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1.7053025658242404E-13</v>
      </c>
      <c r="O181" s="14">
        <f>N181*VLOOKUP('Données projet'!$B$9,Paramètres!$A$1:$I$89,3,0)*VLOOKUP('Données projet'!$B$9,Paramètres!$A$1:$I$89,5,0)</f>
        <v>7.9808160080574461E-14</v>
      </c>
      <c r="P181" s="14">
        <f t="shared" si="141"/>
        <v>1.2308384591775343E-12</v>
      </c>
      <c r="Q181" s="22">
        <f t="shared" si="162"/>
        <v>2.282709528541206E-12</v>
      </c>
      <c r="R181" s="62">
        <f t="shared" si="109"/>
        <v>289.26530351148244</v>
      </c>
      <c r="S181" s="62">
        <f ca="1">AVERAGE(OFFSET($R$3,0,0,'Données projet'!$E$9+1,1))-AVERAGE(OFFSET($H$3,0,0,'Données projet'!$E$9+1,1))</f>
        <v>234.81928430389272</v>
      </c>
      <c r="T181" s="62">
        <f t="shared" si="142"/>
        <v>294.47057757403411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8.4267049667769349</v>
      </c>
      <c r="AA181" s="23">
        <f>EXP(-LN(2)/25)*AA180+(1-EXP(-LN(2)/25))/(LN(2)/25)*Calculateur!V181*Calculateur!X181*VLOOKUP('Données projet'!$B$9,Paramètres!$A$1:$I$89,3,0)*0.475*44/12</f>
        <v>1.4283465018804486</v>
      </c>
      <c r="AB181" s="23">
        <f>EXP(-LN(2)/2)*AB180+(1-EXP(-LN(2)/2))/(LN(2)/2)*V181*Y181*VLOOKUP('Données projet'!$B$9,Paramètres!$A$1:$I$89,3,0)*0.475*44/12</f>
        <v>1.1320639288081548E-16</v>
      </c>
      <c r="AC181" s="24">
        <f t="shared" si="163"/>
        <v>9.8550514686573827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273.00000000000023</v>
      </c>
      <c r="AJ181" s="14">
        <f>AI181*VLOOKUP('Données projet'!$B$10,Paramètres!$A$1:$I$89,3,0)*VLOOKUP('Données projet'!$B$10,Paramètres!$A$1:$I$89,5,0)</f>
        <v>212.9400000000002</v>
      </c>
      <c r="AK181" s="14">
        <f t="shared" si="164"/>
        <v>52.577528895212915</v>
      </c>
      <c r="AL181" s="22">
        <f t="shared" si="165"/>
        <v>462.44302949249618</v>
      </c>
      <c r="AM181" s="62">
        <f t="shared" si="113"/>
        <v>751.70833300397635</v>
      </c>
      <c r="AN181" s="62">
        <f ca="1">AVERAGE(OFFSET($AM$3,0,0,'Données projet'!$E$10+1,1))-AVERAGE(OFFSET($H$3,0,0,'Données projet'!$E$10+1,1))</f>
        <v>304.39782420428173</v>
      </c>
      <c r="AO181" s="62">
        <f t="shared" si="144"/>
        <v>360.34132229290537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3.1539676862474377</v>
      </c>
      <c r="AV181" s="23">
        <f>EXP(-LN(2)/25)*AV180+(1-EXP(-LN(2)/25))/(LN(2)/25)*Calculateur!AQ181*Calculateur!AS181*VLOOKUP('Données projet'!$B$10,Paramètres!$A$1:$I$89,3,0)*0.475*44/12</f>
        <v>0.22510129653053559</v>
      </c>
      <c r="AW181" s="23">
        <f>EXP(-LN(2)/2)*AW180+(1-EXP(-LN(2)/2))/(LN(2)/2)*AQ181*AT181*VLOOKUP('Données projet'!$B$10,Paramètres!$A$1:$I$89,3,0)*0.475*44/12</f>
        <v>8.5249928079396339E-18</v>
      </c>
      <c r="AX181" s="23">
        <f t="shared" si="166"/>
        <v>3.3790689827779734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273.00000000000023</v>
      </c>
      <c r="BE181" s="14">
        <f>BD181*VLOOKUP('Données projet'!$B$11,Paramètres!$A$1:$I$89,3,0)*VLOOKUP('Données projet'!$B$11,Paramètres!$A$1:$I$89,5,0)</f>
        <v>212.9400000000002</v>
      </c>
      <c r="BF181" s="14">
        <f t="shared" si="167"/>
        <v>52.577528895212915</v>
      </c>
      <c r="BG181" s="22">
        <f t="shared" si="168"/>
        <v>462.44302949249618</v>
      </c>
      <c r="BH181" s="62">
        <f t="shared" si="116"/>
        <v>751.70833300397635</v>
      </c>
      <c r="BI181" s="62">
        <f ca="1">AVERAGE(OFFSET($BH$3,0,0,'Données projet'!$E$11+1,1))-AVERAGE(OFFSET($H$3,0,0,'Données projet'!$E$11+1,1))</f>
        <v>304.39782420428173</v>
      </c>
      <c r="BJ181" s="62">
        <f t="shared" si="146"/>
        <v>360.34132229290537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3.1539676862474377</v>
      </c>
      <c r="BQ181" s="23">
        <f>EXP(-LN(2)/25)*BQ180+(1-EXP(-LN(2)/25))/(LN(2)/25)*Calculateur!BL181*Calculateur!BN181*VLOOKUP('Données projet'!$B$11,Paramètres!$A$1:$I$89,3,0)*0.475*44/12</f>
        <v>0.22510129653053559</v>
      </c>
      <c r="BR181" s="23">
        <f>EXP(-LN(2)/2)*BR180+(1-EXP(-LN(2)/2))/(LN(2)/2)*BL181*BO181*VLOOKUP('Données projet'!$B$11,Paramètres!$A$1:$I$89,3,0)*0.475*44/12</f>
        <v>8.5249928079396339E-18</v>
      </c>
      <c r="BS181" s="24">
        <f t="shared" si="169"/>
        <v>3.3790689827779734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273.00000000000023</v>
      </c>
      <c r="BZ181" s="14">
        <f>BY181*VLOOKUP('Données projet'!$B$12,Paramètres!$A$1:$I$89,3,0)*VLOOKUP('Données projet'!$B$12,Paramètres!$A$1:$I$89,5,0)</f>
        <v>212.9400000000002</v>
      </c>
      <c r="CA181" s="14">
        <f t="shared" si="170"/>
        <v>52.577528895212915</v>
      </c>
      <c r="CB181" s="22">
        <f t="shared" si="171"/>
        <v>462.44302949249618</v>
      </c>
      <c r="CC181" s="62">
        <f t="shared" si="119"/>
        <v>751.70833300397635</v>
      </c>
      <c r="CD181" s="62">
        <f ca="1">AVERAGE(OFFSET($CC$3,0,0,'Données projet'!$E$12+1,1))-AVERAGE(OFFSET($H$3,0,0,'Données projet'!$E$12+1,1))</f>
        <v>304.39782420428173</v>
      </c>
      <c r="CE181" s="62">
        <f t="shared" si="148"/>
        <v>360.34132229290537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3.1539676862474377</v>
      </c>
      <c r="CL181" s="23">
        <f>EXP(-LN(2)/25)*CL180+(1-EXP(-LN(2)/25))/(LN(2)/25)*Calculateur!CG181*Calculateur!CI181*VLOOKUP('Données projet'!$B$12,Paramètres!$A$1:$I$89,3,0)*0.475*44/12</f>
        <v>0.22510129653053559</v>
      </c>
      <c r="CM181" s="23">
        <f>EXP(-LN(2)/2)*CM180+(1-EXP(-LN(2)/2))/(LN(2)/2)*CG181*CJ181*VLOOKUP('Données projet'!$B$12,Paramètres!$A$1:$I$89,3,0)*0.475*44/12</f>
        <v>8.5249928079396339E-18</v>
      </c>
      <c r="CN181" s="24">
        <f t="shared" si="172"/>
        <v>3.3790689827779734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1.7053025658242404E-13</v>
      </c>
      <c r="O182" s="14">
        <f>N182*VLOOKUP('Données projet'!$B$9,Paramètres!$A$1:$I$89,3,0)*VLOOKUP('Données projet'!$B$9,Paramètres!$A$1:$I$89,5,0)</f>
        <v>7.9808160080574461E-14</v>
      </c>
      <c r="P182" s="14">
        <f t="shared" si="141"/>
        <v>1.2308384591775343E-12</v>
      </c>
      <c r="Q182" s="22">
        <f t="shared" si="162"/>
        <v>2.282709528541206E-12</v>
      </c>
      <c r="R182" s="62">
        <f t="shared" si="109"/>
        <v>289.3358747341394</v>
      </c>
      <c r="S182" s="62">
        <f ca="1">AVERAGE(OFFSET($R$3,0,0,'Données projet'!$E$9+1,1))-AVERAGE(OFFSET($H$3,0,0,'Données projet'!$E$9+1,1))</f>
        <v>234.81928430389272</v>
      </c>
      <c r="T182" s="62">
        <f t="shared" si="142"/>
        <v>294.47057757403411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8.2614624221609567</v>
      </c>
      <c r="AA182" s="23">
        <f>EXP(-LN(2)/25)*AA181+(1-EXP(-LN(2)/25))/(LN(2)/25)*Calculateur!V182*Calculateur!X182*VLOOKUP('Données projet'!$B$9,Paramètres!$A$1:$I$89,3,0)*0.475*44/12</f>
        <v>1.3892882916730498</v>
      </c>
      <c r="AB182" s="23">
        <f>EXP(-LN(2)/2)*AB181+(1-EXP(-LN(2)/2))/(LN(2)/2)*V182*Y182*VLOOKUP('Données projet'!$B$9,Paramètres!$A$1:$I$89,3,0)*0.475*44/12</f>
        <v>8.0049008079693125E-17</v>
      </c>
      <c r="AC182" s="24">
        <f t="shared" si="163"/>
        <v>9.6507507138340074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273.00000000000023</v>
      </c>
      <c r="AJ182" s="14">
        <f>AI182*VLOOKUP('Données projet'!$B$10,Paramètres!$A$1:$I$89,3,0)*VLOOKUP('Données projet'!$B$10,Paramètres!$A$1:$I$89,5,0)</f>
        <v>212.9400000000002</v>
      </c>
      <c r="AK182" s="14">
        <f t="shared" si="164"/>
        <v>52.577528895212915</v>
      </c>
      <c r="AL182" s="22">
        <f t="shared" si="165"/>
        <v>462.44302949249618</v>
      </c>
      <c r="AM182" s="62">
        <f t="shared" si="113"/>
        <v>751.77890422663336</v>
      </c>
      <c r="AN182" s="62">
        <f ca="1">AVERAGE(OFFSET($AM$3,0,0,'Données projet'!$E$10+1,1))-AVERAGE(OFFSET($H$3,0,0,'Données projet'!$E$10+1,1))</f>
        <v>304.39782420428173</v>
      </c>
      <c r="AO182" s="62">
        <f t="shared" si="144"/>
        <v>360.34132229290537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3.0921203036504616</v>
      </c>
      <c r="AV182" s="23">
        <f>EXP(-LN(2)/25)*AV181+(1-EXP(-LN(2)/25))/(LN(2)/25)*Calculateur!AQ182*Calculateur!AS182*VLOOKUP('Données projet'!$B$10,Paramètres!$A$1:$I$89,3,0)*0.475*44/12</f>
        <v>0.2189458897393454</v>
      </c>
      <c r="AW182" s="23">
        <f>EXP(-LN(2)/2)*AW181+(1-EXP(-LN(2)/2))/(LN(2)/2)*AQ182*AT182*VLOOKUP('Données projet'!$B$10,Paramètres!$A$1:$I$89,3,0)*0.475*44/12</f>
        <v>6.0280802240606622E-18</v>
      </c>
      <c r="AX182" s="23">
        <f t="shared" si="166"/>
        <v>3.3110661933898071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273.00000000000023</v>
      </c>
      <c r="BE182" s="14">
        <f>BD182*VLOOKUP('Données projet'!$B$11,Paramètres!$A$1:$I$89,3,0)*VLOOKUP('Données projet'!$B$11,Paramètres!$A$1:$I$89,5,0)</f>
        <v>212.9400000000002</v>
      </c>
      <c r="BF182" s="14">
        <f t="shared" si="167"/>
        <v>52.577528895212915</v>
      </c>
      <c r="BG182" s="22">
        <f t="shared" si="168"/>
        <v>462.44302949249618</v>
      </c>
      <c r="BH182" s="62">
        <f t="shared" si="116"/>
        <v>751.77890422663336</v>
      </c>
      <c r="BI182" s="62">
        <f ca="1">AVERAGE(OFFSET($BH$3,0,0,'Données projet'!$E$11+1,1))-AVERAGE(OFFSET($H$3,0,0,'Données projet'!$E$11+1,1))</f>
        <v>304.39782420428173</v>
      </c>
      <c r="BJ182" s="62">
        <f t="shared" si="146"/>
        <v>360.34132229290537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3.0921203036504616</v>
      </c>
      <c r="BQ182" s="23">
        <f>EXP(-LN(2)/25)*BQ181+(1-EXP(-LN(2)/25))/(LN(2)/25)*Calculateur!BL182*Calculateur!BN182*VLOOKUP('Données projet'!$B$11,Paramètres!$A$1:$I$89,3,0)*0.475*44/12</f>
        <v>0.2189458897393454</v>
      </c>
      <c r="BR182" s="23">
        <f>EXP(-LN(2)/2)*BR181+(1-EXP(-LN(2)/2))/(LN(2)/2)*BL182*BO182*VLOOKUP('Données projet'!$B$11,Paramètres!$A$1:$I$89,3,0)*0.475*44/12</f>
        <v>6.0280802240606622E-18</v>
      </c>
      <c r="BS182" s="24">
        <f t="shared" si="169"/>
        <v>3.3110661933898071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273.00000000000023</v>
      </c>
      <c r="BZ182" s="14">
        <f>BY182*VLOOKUP('Données projet'!$B$12,Paramètres!$A$1:$I$89,3,0)*VLOOKUP('Données projet'!$B$12,Paramètres!$A$1:$I$89,5,0)</f>
        <v>212.9400000000002</v>
      </c>
      <c r="CA182" s="14">
        <f t="shared" si="170"/>
        <v>52.577528895212915</v>
      </c>
      <c r="CB182" s="22">
        <f t="shared" si="171"/>
        <v>462.44302949249618</v>
      </c>
      <c r="CC182" s="62">
        <f t="shared" si="119"/>
        <v>751.77890422663336</v>
      </c>
      <c r="CD182" s="62">
        <f ca="1">AVERAGE(OFFSET($CC$3,0,0,'Données projet'!$E$12+1,1))-AVERAGE(OFFSET($H$3,0,0,'Données projet'!$E$12+1,1))</f>
        <v>304.39782420428173</v>
      </c>
      <c r="CE182" s="62">
        <f t="shared" si="148"/>
        <v>360.34132229290537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3.0921203036504616</v>
      </c>
      <c r="CL182" s="23">
        <f>EXP(-LN(2)/25)*CL181+(1-EXP(-LN(2)/25))/(LN(2)/25)*Calculateur!CG182*Calculateur!CI182*VLOOKUP('Données projet'!$B$12,Paramètres!$A$1:$I$89,3,0)*0.475*44/12</f>
        <v>0.2189458897393454</v>
      </c>
      <c r="CM182" s="23">
        <f>EXP(-LN(2)/2)*CM181+(1-EXP(-LN(2)/2))/(LN(2)/2)*CG182*CJ182*VLOOKUP('Données projet'!$B$12,Paramètres!$A$1:$I$89,3,0)*0.475*44/12</f>
        <v>6.0280802240606622E-18</v>
      </c>
      <c r="CN182" s="24">
        <f t="shared" si="172"/>
        <v>3.3110661933898071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1.7053025658242404E-13</v>
      </c>
      <c r="O183" s="14">
        <f>N183*VLOOKUP('Données projet'!$B$9,Paramètres!$A$1:$I$89,3,0)*VLOOKUP('Données projet'!$B$9,Paramètres!$A$1:$I$89,5,0)</f>
        <v>7.9808160080574461E-14</v>
      </c>
      <c r="P183" s="14">
        <f t="shared" si="141"/>
        <v>1.2308384591775343E-12</v>
      </c>
      <c r="Q183" s="22">
        <f t="shared" si="162"/>
        <v>2.282709528541206E-12</v>
      </c>
      <c r="R183" s="62">
        <f t="shared" si="109"/>
        <v>289.40522170385691</v>
      </c>
      <c r="S183" s="62">
        <f ca="1">AVERAGE(OFFSET($R$3,0,0,'Données projet'!$E$9+1,1))-AVERAGE(OFFSET($H$3,0,0,'Données projet'!$E$9+1,1))</f>
        <v>234.81928430389272</v>
      </c>
      <c r="T183" s="62">
        <f t="shared" si="142"/>
        <v>294.47057757403411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8.0994601830568982</v>
      </c>
      <c r="AA183" s="23">
        <f>EXP(-LN(2)/25)*AA182+(1-EXP(-LN(2)/25))/(LN(2)/25)*Calculateur!V183*Calculateur!X183*VLOOKUP('Données projet'!$B$9,Paramètres!$A$1:$I$89,3,0)*0.475*44/12</f>
        <v>1.3512981302777543</v>
      </c>
      <c r="AB183" s="23">
        <f>EXP(-LN(2)/2)*AB182+(1-EXP(-LN(2)/2))/(LN(2)/2)*V183*Y183*VLOOKUP('Données projet'!$B$9,Paramètres!$A$1:$I$89,3,0)*0.475*44/12</f>
        <v>5.660319644040774E-17</v>
      </c>
      <c r="AC183" s="24">
        <f t="shared" si="163"/>
        <v>9.4507583133346529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273.00000000000023</v>
      </c>
      <c r="AJ183" s="14">
        <f>AI183*VLOOKUP('Données projet'!$B$10,Paramètres!$A$1:$I$89,3,0)*VLOOKUP('Données projet'!$B$10,Paramètres!$A$1:$I$89,5,0)</f>
        <v>212.9400000000002</v>
      </c>
      <c r="AK183" s="14">
        <f t="shared" si="164"/>
        <v>52.577528895212915</v>
      </c>
      <c r="AL183" s="22">
        <f t="shared" si="165"/>
        <v>462.44302949249618</v>
      </c>
      <c r="AM183" s="62">
        <f t="shared" si="113"/>
        <v>751.84825119635082</v>
      </c>
      <c r="AN183" s="62">
        <f ca="1">AVERAGE(OFFSET($AM$3,0,0,'Données projet'!$E$10+1,1))-AVERAGE(OFFSET($H$3,0,0,'Données projet'!$E$10+1,1))</f>
        <v>304.39782420428173</v>
      </c>
      <c r="AO183" s="62">
        <f t="shared" si="144"/>
        <v>360.34132229290537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3.0314857105030337</v>
      </c>
      <c r="AV183" s="23">
        <f>EXP(-LN(2)/25)*AV182+(1-EXP(-LN(2)/25))/(LN(2)/25)*Calculateur!AQ183*Calculateur!AS183*VLOOKUP('Données projet'!$B$10,Paramètres!$A$1:$I$89,3,0)*0.475*44/12</f>
        <v>0.21295880287055907</v>
      </c>
      <c r="AW183" s="23">
        <f>EXP(-LN(2)/2)*AW182+(1-EXP(-LN(2)/2))/(LN(2)/2)*AQ183*AT183*VLOOKUP('Données projet'!$B$10,Paramètres!$A$1:$I$89,3,0)*0.475*44/12</f>
        <v>4.2624964039698169E-18</v>
      </c>
      <c r="AX183" s="23">
        <f t="shared" si="166"/>
        <v>3.2444445133735926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273.00000000000023</v>
      </c>
      <c r="BE183" s="14">
        <f>BD183*VLOOKUP('Données projet'!$B$11,Paramètres!$A$1:$I$89,3,0)*VLOOKUP('Données projet'!$B$11,Paramètres!$A$1:$I$89,5,0)</f>
        <v>212.9400000000002</v>
      </c>
      <c r="BF183" s="14">
        <f t="shared" si="167"/>
        <v>52.577528895212915</v>
      </c>
      <c r="BG183" s="22">
        <f t="shared" si="168"/>
        <v>462.44302949249618</v>
      </c>
      <c r="BH183" s="62">
        <f t="shared" si="116"/>
        <v>751.84825119635082</v>
      </c>
      <c r="BI183" s="62">
        <f ca="1">AVERAGE(OFFSET($BH$3,0,0,'Données projet'!$E$11+1,1))-AVERAGE(OFFSET($H$3,0,0,'Données projet'!$E$11+1,1))</f>
        <v>304.39782420428173</v>
      </c>
      <c r="BJ183" s="62">
        <f t="shared" si="146"/>
        <v>360.34132229290537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3.0314857105030337</v>
      </c>
      <c r="BQ183" s="23">
        <f>EXP(-LN(2)/25)*BQ182+(1-EXP(-LN(2)/25))/(LN(2)/25)*Calculateur!BL183*Calculateur!BN183*VLOOKUP('Données projet'!$B$11,Paramètres!$A$1:$I$89,3,0)*0.475*44/12</f>
        <v>0.21295880287055907</v>
      </c>
      <c r="BR183" s="23">
        <f>EXP(-LN(2)/2)*BR182+(1-EXP(-LN(2)/2))/(LN(2)/2)*BL183*BO183*VLOOKUP('Données projet'!$B$11,Paramètres!$A$1:$I$89,3,0)*0.475*44/12</f>
        <v>4.2624964039698169E-18</v>
      </c>
      <c r="BS183" s="24">
        <f t="shared" si="169"/>
        <v>3.2444445133735926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273.00000000000023</v>
      </c>
      <c r="BZ183" s="14">
        <f>BY183*VLOOKUP('Données projet'!$B$12,Paramètres!$A$1:$I$89,3,0)*VLOOKUP('Données projet'!$B$12,Paramètres!$A$1:$I$89,5,0)</f>
        <v>212.9400000000002</v>
      </c>
      <c r="CA183" s="14">
        <f t="shared" si="170"/>
        <v>52.577528895212915</v>
      </c>
      <c r="CB183" s="22">
        <f t="shared" si="171"/>
        <v>462.44302949249618</v>
      </c>
      <c r="CC183" s="62">
        <f t="shared" si="119"/>
        <v>751.84825119635082</v>
      </c>
      <c r="CD183" s="62">
        <f ca="1">AVERAGE(OFFSET($CC$3,0,0,'Données projet'!$E$12+1,1))-AVERAGE(OFFSET($H$3,0,0,'Données projet'!$E$12+1,1))</f>
        <v>304.39782420428173</v>
      </c>
      <c r="CE183" s="62">
        <f t="shared" si="148"/>
        <v>360.34132229290537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3.0314857105030337</v>
      </c>
      <c r="CL183" s="23">
        <f>EXP(-LN(2)/25)*CL182+(1-EXP(-LN(2)/25))/(LN(2)/25)*Calculateur!CG183*Calculateur!CI183*VLOOKUP('Données projet'!$B$12,Paramètres!$A$1:$I$89,3,0)*0.475*44/12</f>
        <v>0.21295880287055907</v>
      </c>
      <c r="CM183" s="23">
        <f>EXP(-LN(2)/2)*CM182+(1-EXP(-LN(2)/2))/(LN(2)/2)*CG183*CJ183*VLOOKUP('Données projet'!$B$12,Paramètres!$A$1:$I$89,3,0)*0.475*44/12</f>
        <v>4.2624964039698169E-18</v>
      </c>
      <c r="CN183" s="24">
        <f t="shared" si="172"/>
        <v>3.2444445133735926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1.7053025658242404E-13</v>
      </c>
      <c r="O184" s="14">
        <f>N184*VLOOKUP('Données projet'!$B$9,Paramètres!$A$1:$I$89,3,0)*VLOOKUP('Données projet'!$B$9,Paramètres!$A$1:$I$89,5,0)</f>
        <v>7.9808160080574461E-14</v>
      </c>
      <c r="P184" s="14">
        <f t="shared" si="141"/>
        <v>1.2308384591775343E-12</v>
      </c>
      <c r="Q184" s="22">
        <f t="shared" si="162"/>
        <v>2.282709528541206E-12</v>
      </c>
      <c r="R184" s="62">
        <f t="shared" si="109"/>
        <v>289.47336565868636</v>
      </c>
      <c r="S184" s="62">
        <f ca="1">AVERAGE(OFFSET($R$3,0,0,'Données projet'!$E$9+1,1))-AVERAGE(OFFSET($H$3,0,0,'Données projet'!$E$9+1,1))</f>
        <v>234.81928430389272</v>
      </c>
      <c r="T184" s="62">
        <f t="shared" si="142"/>
        <v>294.47057757403411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7.9406347090500615</v>
      </c>
      <c r="AA184" s="23">
        <f>EXP(-LN(2)/25)*AA183+(1-EXP(-LN(2)/25))/(LN(2)/25)*Calculateur!V184*Calculateur!X184*VLOOKUP('Données projet'!$B$9,Paramètres!$A$1:$I$89,3,0)*0.475*44/12</f>
        <v>1.3143468118436288</v>
      </c>
      <c r="AB184" s="23">
        <f>EXP(-LN(2)/2)*AB183+(1-EXP(-LN(2)/2))/(LN(2)/2)*V184*Y184*VLOOKUP('Données projet'!$B$9,Paramètres!$A$1:$I$89,3,0)*0.475*44/12</f>
        <v>4.0024504039846563E-17</v>
      </c>
      <c r="AC184" s="24">
        <f t="shared" si="163"/>
        <v>9.2549815208936899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273.00000000000023</v>
      </c>
      <c r="AJ184" s="14">
        <f>AI184*VLOOKUP('Données projet'!$B$10,Paramètres!$A$1:$I$89,3,0)*VLOOKUP('Données projet'!$B$10,Paramètres!$A$1:$I$89,5,0)</f>
        <v>212.9400000000002</v>
      </c>
      <c r="AK184" s="14">
        <f t="shared" si="164"/>
        <v>52.577528895212915</v>
      </c>
      <c r="AL184" s="22">
        <f t="shared" si="165"/>
        <v>462.44302949249618</v>
      </c>
      <c r="AM184" s="62">
        <f t="shared" si="113"/>
        <v>751.91639515118027</v>
      </c>
      <c r="AN184" s="62">
        <f ca="1">AVERAGE(OFFSET($AM$3,0,0,'Données projet'!$E$10+1,1))-AVERAGE(OFFSET($H$3,0,0,'Données projet'!$E$10+1,1))</f>
        <v>304.39782420428173</v>
      </c>
      <c r="AO184" s="62">
        <f t="shared" si="144"/>
        <v>360.34132229290537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2.9720401247437769</v>
      </c>
      <c r="AV184" s="23">
        <f>EXP(-LN(2)/25)*AV183+(1-EXP(-LN(2)/25))/(LN(2)/25)*Calculateur!AQ184*Calculateur!AS184*VLOOKUP('Données projet'!$B$10,Paramètres!$A$1:$I$89,3,0)*0.475*44/12</f>
        <v>0.20713543320704692</v>
      </c>
      <c r="AW184" s="23">
        <f>EXP(-LN(2)/2)*AW183+(1-EXP(-LN(2)/2))/(LN(2)/2)*AQ184*AT184*VLOOKUP('Données projet'!$B$10,Paramètres!$A$1:$I$89,3,0)*0.475*44/12</f>
        <v>3.0140401120303311E-18</v>
      </c>
      <c r="AX184" s="23">
        <f t="shared" si="166"/>
        <v>3.1791755579508236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273.00000000000023</v>
      </c>
      <c r="BE184" s="14">
        <f>BD184*VLOOKUP('Données projet'!$B$11,Paramètres!$A$1:$I$89,3,0)*VLOOKUP('Données projet'!$B$11,Paramètres!$A$1:$I$89,5,0)</f>
        <v>212.9400000000002</v>
      </c>
      <c r="BF184" s="14">
        <f t="shared" si="167"/>
        <v>52.577528895212915</v>
      </c>
      <c r="BG184" s="22">
        <f t="shared" si="168"/>
        <v>462.44302949249618</v>
      </c>
      <c r="BH184" s="62">
        <f t="shared" si="116"/>
        <v>751.91639515118027</v>
      </c>
      <c r="BI184" s="62">
        <f ca="1">AVERAGE(OFFSET($BH$3,0,0,'Données projet'!$E$11+1,1))-AVERAGE(OFFSET($H$3,0,0,'Données projet'!$E$11+1,1))</f>
        <v>304.39782420428173</v>
      </c>
      <c r="BJ184" s="62">
        <f t="shared" si="146"/>
        <v>360.34132229290537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2.9720401247437769</v>
      </c>
      <c r="BQ184" s="23">
        <f>EXP(-LN(2)/25)*BQ183+(1-EXP(-LN(2)/25))/(LN(2)/25)*Calculateur!BL184*Calculateur!BN184*VLOOKUP('Données projet'!$B$11,Paramètres!$A$1:$I$89,3,0)*0.475*44/12</f>
        <v>0.20713543320704692</v>
      </c>
      <c r="BR184" s="23">
        <f>EXP(-LN(2)/2)*BR183+(1-EXP(-LN(2)/2))/(LN(2)/2)*BL184*BO184*VLOOKUP('Données projet'!$B$11,Paramètres!$A$1:$I$89,3,0)*0.475*44/12</f>
        <v>3.0140401120303311E-18</v>
      </c>
      <c r="BS184" s="24">
        <f t="shared" si="169"/>
        <v>3.1791755579508236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273.00000000000023</v>
      </c>
      <c r="BZ184" s="14">
        <f>BY184*VLOOKUP('Données projet'!$B$12,Paramètres!$A$1:$I$89,3,0)*VLOOKUP('Données projet'!$B$12,Paramètres!$A$1:$I$89,5,0)</f>
        <v>212.9400000000002</v>
      </c>
      <c r="CA184" s="14">
        <f t="shared" si="170"/>
        <v>52.577528895212915</v>
      </c>
      <c r="CB184" s="22">
        <f t="shared" si="171"/>
        <v>462.44302949249618</v>
      </c>
      <c r="CC184" s="62">
        <f t="shared" si="119"/>
        <v>751.91639515118027</v>
      </c>
      <c r="CD184" s="62">
        <f ca="1">AVERAGE(OFFSET($CC$3,0,0,'Données projet'!$E$12+1,1))-AVERAGE(OFFSET($H$3,0,0,'Données projet'!$E$12+1,1))</f>
        <v>304.39782420428173</v>
      </c>
      <c r="CE184" s="62">
        <f t="shared" si="148"/>
        <v>360.34132229290537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2.9720401247437769</v>
      </c>
      <c r="CL184" s="23">
        <f>EXP(-LN(2)/25)*CL183+(1-EXP(-LN(2)/25))/(LN(2)/25)*Calculateur!CG184*Calculateur!CI184*VLOOKUP('Données projet'!$B$12,Paramètres!$A$1:$I$89,3,0)*0.475*44/12</f>
        <v>0.20713543320704692</v>
      </c>
      <c r="CM184" s="23">
        <f>EXP(-LN(2)/2)*CM183+(1-EXP(-LN(2)/2))/(LN(2)/2)*CG184*CJ184*VLOOKUP('Données projet'!$B$12,Paramètres!$A$1:$I$89,3,0)*0.475*44/12</f>
        <v>3.0140401120303311E-18</v>
      </c>
      <c r="CN184" s="24">
        <f t="shared" si="172"/>
        <v>3.1791755579508236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1.7053025658242404E-13</v>
      </c>
      <c r="O185" s="14">
        <f>N185*VLOOKUP('Données projet'!$B$9,Paramètres!$A$1:$I$89,3,0)*VLOOKUP('Données projet'!$B$9,Paramètres!$A$1:$I$89,5,0)</f>
        <v>7.9808160080574461E-14</v>
      </c>
      <c r="P185" s="14">
        <f t="shared" si="141"/>
        <v>1.2308384591775343E-12</v>
      </c>
      <c r="Q185" s="22">
        <f t="shared" si="162"/>
        <v>2.282709528541206E-12</v>
      </c>
      <c r="R185" s="62">
        <f t="shared" si="109"/>
        <v>289.54032746824669</v>
      </c>
      <c r="S185" s="62">
        <f ca="1">AVERAGE(OFFSET($R$3,0,0,'Données projet'!$E$9+1,1))-AVERAGE(OFFSET($H$3,0,0,'Données projet'!$E$9+1,1))</f>
        <v>234.81928430389272</v>
      </c>
      <c r="T185" s="62">
        <f t="shared" si="142"/>
        <v>294.47057757403411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7.7849237057145251</v>
      </c>
      <c r="AA185" s="23">
        <f>EXP(-LN(2)/25)*AA184+(1-EXP(-LN(2)/25))/(LN(2)/25)*Calculateur!V185*Calculateur!X185*VLOOKUP('Données projet'!$B$9,Paramètres!$A$1:$I$89,3,0)*0.475*44/12</f>
        <v>1.2784059291552698</v>
      </c>
      <c r="AB185" s="23">
        <f>EXP(-LN(2)/2)*AB184+(1-EXP(-LN(2)/2))/(LN(2)/2)*V185*Y185*VLOOKUP('Données projet'!$B$9,Paramètres!$A$1:$I$89,3,0)*0.475*44/12</f>
        <v>2.830159822020387E-17</v>
      </c>
      <c r="AC185" s="24">
        <f t="shared" si="163"/>
        <v>9.0633296348697954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273.00000000000023</v>
      </c>
      <c r="AJ185" s="14">
        <f>AI185*VLOOKUP('Données projet'!$B$10,Paramètres!$A$1:$I$89,3,0)*VLOOKUP('Données projet'!$B$10,Paramètres!$A$1:$I$89,5,0)</f>
        <v>212.9400000000002</v>
      </c>
      <c r="AK185" s="14">
        <f t="shared" si="164"/>
        <v>52.577528895212915</v>
      </c>
      <c r="AL185" s="22">
        <f t="shared" si="165"/>
        <v>462.44302949249618</v>
      </c>
      <c r="AM185" s="62">
        <f t="shared" si="113"/>
        <v>751.98335696074059</v>
      </c>
      <c r="AN185" s="62">
        <f ca="1">AVERAGE(OFFSET($AM$3,0,0,'Données projet'!$E$10+1,1))-AVERAGE(OFFSET($H$3,0,0,'Données projet'!$E$10+1,1))</f>
        <v>304.39782420428173</v>
      </c>
      <c r="AO185" s="62">
        <f t="shared" si="144"/>
        <v>360.34132229290537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2.9137602306630317</v>
      </c>
      <c r="AV185" s="23">
        <f>EXP(-LN(2)/25)*AV184+(1-EXP(-LN(2)/25))/(LN(2)/25)*Calculateur!AQ185*Calculateur!AS185*VLOOKUP('Données projet'!$B$10,Paramètres!$A$1:$I$89,3,0)*0.475*44/12</f>
        <v>0.20147130389322121</v>
      </c>
      <c r="AW185" s="23">
        <f>EXP(-LN(2)/2)*AW184+(1-EXP(-LN(2)/2))/(LN(2)/2)*AQ185*AT185*VLOOKUP('Données projet'!$B$10,Paramètres!$A$1:$I$89,3,0)*0.475*44/12</f>
        <v>2.1312482019849085E-18</v>
      </c>
      <c r="AX185" s="23">
        <f t="shared" si="166"/>
        <v>3.1152315345562531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273.00000000000023</v>
      </c>
      <c r="BE185" s="14">
        <f>BD185*VLOOKUP('Données projet'!$B$11,Paramètres!$A$1:$I$89,3,0)*VLOOKUP('Données projet'!$B$11,Paramètres!$A$1:$I$89,5,0)</f>
        <v>212.9400000000002</v>
      </c>
      <c r="BF185" s="14">
        <f t="shared" si="167"/>
        <v>52.577528895212915</v>
      </c>
      <c r="BG185" s="22">
        <f t="shared" si="168"/>
        <v>462.44302949249618</v>
      </c>
      <c r="BH185" s="62">
        <f t="shared" si="116"/>
        <v>751.98335696074059</v>
      </c>
      <c r="BI185" s="62">
        <f ca="1">AVERAGE(OFFSET($BH$3,0,0,'Données projet'!$E$11+1,1))-AVERAGE(OFFSET($H$3,0,0,'Données projet'!$E$11+1,1))</f>
        <v>304.39782420428173</v>
      </c>
      <c r="BJ185" s="62">
        <f t="shared" si="146"/>
        <v>360.34132229290537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2.9137602306630317</v>
      </c>
      <c r="BQ185" s="23">
        <f>EXP(-LN(2)/25)*BQ184+(1-EXP(-LN(2)/25))/(LN(2)/25)*Calculateur!BL185*Calculateur!BN185*VLOOKUP('Données projet'!$B$11,Paramètres!$A$1:$I$89,3,0)*0.475*44/12</f>
        <v>0.20147130389322121</v>
      </c>
      <c r="BR185" s="23">
        <f>EXP(-LN(2)/2)*BR184+(1-EXP(-LN(2)/2))/(LN(2)/2)*BL185*BO185*VLOOKUP('Données projet'!$B$11,Paramètres!$A$1:$I$89,3,0)*0.475*44/12</f>
        <v>2.1312482019849085E-18</v>
      </c>
      <c r="BS185" s="24">
        <f t="shared" si="169"/>
        <v>3.1152315345562531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273.00000000000023</v>
      </c>
      <c r="BZ185" s="14">
        <f>BY185*VLOOKUP('Données projet'!$B$12,Paramètres!$A$1:$I$89,3,0)*VLOOKUP('Données projet'!$B$12,Paramètres!$A$1:$I$89,5,0)</f>
        <v>212.9400000000002</v>
      </c>
      <c r="CA185" s="14">
        <f t="shared" si="170"/>
        <v>52.577528895212915</v>
      </c>
      <c r="CB185" s="22">
        <f t="shared" si="171"/>
        <v>462.44302949249618</v>
      </c>
      <c r="CC185" s="62">
        <f t="shared" si="119"/>
        <v>751.98335696074059</v>
      </c>
      <c r="CD185" s="62">
        <f ca="1">AVERAGE(OFFSET($CC$3,0,0,'Données projet'!$E$12+1,1))-AVERAGE(OFFSET($H$3,0,0,'Données projet'!$E$12+1,1))</f>
        <v>304.39782420428173</v>
      </c>
      <c r="CE185" s="62">
        <f t="shared" si="148"/>
        <v>360.34132229290537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2.9137602306630317</v>
      </c>
      <c r="CL185" s="23">
        <f>EXP(-LN(2)/25)*CL184+(1-EXP(-LN(2)/25))/(LN(2)/25)*Calculateur!CG185*Calculateur!CI185*VLOOKUP('Données projet'!$B$12,Paramètres!$A$1:$I$89,3,0)*0.475*44/12</f>
        <v>0.20147130389322121</v>
      </c>
      <c r="CM185" s="23">
        <f>EXP(-LN(2)/2)*CM184+(1-EXP(-LN(2)/2))/(LN(2)/2)*CG185*CJ185*VLOOKUP('Données projet'!$B$12,Paramètres!$A$1:$I$89,3,0)*0.475*44/12</f>
        <v>2.1312482019849085E-18</v>
      </c>
      <c r="CN185" s="24">
        <f t="shared" si="172"/>
        <v>3.1152315345562531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1.7053025658242404E-13</v>
      </c>
      <c r="O186" s="14">
        <f>N186*VLOOKUP('Données projet'!$B$9,Paramètres!$A$1:$I$89,3,0)*VLOOKUP('Données projet'!$B$9,Paramètres!$A$1:$I$89,5,0)</f>
        <v>7.9808160080574461E-14</v>
      </c>
      <c r="P186" s="14">
        <f t="shared" si="141"/>
        <v>1.2308384591775343E-12</v>
      </c>
      <c r="Q186" s="22">
        <f t="shared" si="162"/>
        <v>2.282709528541206E-12</v>
      </c>
      <c r="R186" s="62">
        <f t="shared" si="109"/>
        <v>289.60612764011523</v>
      </c>
      <c r="S186" s="62">
        <f ca="1">AVERAGE(OFFSET($R$3,0,0,'Données projet'!$E$9+1,1))-AVERAGE(OFFSET($H$3,0,0,'Données projet'!$E$9+1,1))</f>
        <v>234.81928430389272</v>
      </c>
      <c r="T186" s="62">
        <f t="shared" si="142"/>
        <v>294.47057757403411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7.6322661001800647</v>
      </c>
      <c r="AA186" s="23">
        <f>EXP(-LN(2)/25)*AA185+(1-EXP(-LN(2)/25))/(LN(2)/25)*Calculateur!V186*Calculateur!X186*VLOOKUP('Données projet'!$B$9,Paramètres!$A$1:$I$89,3,0)*0.475*44/12</f>
        <v>1.243447851794073</v>
      </c>
      <c r="AB186" s="23">
        <f>EXP(-LN(2)/2)*AB185+(1-EXP(-LN(2)/2))/(LN(2)/2)*V186*Y186*VLOOKUP('Données projet'!$B$9,Paramètres!$A$1:$I$89,3,0)*0.475*44/12</f>
        <v>2.0012252019923281E-17</v>
      </c>
      <c r="AC186" s="24">
        <f t="shared" si="163"/>
        <v>8.8757139519741379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273.00000000000023</v>
      </c>
      <c r="AJ186" s="14">
        <f>AI186*VLOOKUP('Données projet'!$B$10,Paramètres!$A$1:$I$89,3,0)*VLOOKUP('Données projet'!$B$10,Paramètres!$A$1:$I$89,5,0)</f>
        <v>212.9400000000002</v>
      </c>
      <c r="AK186" s="14">
        <f t="shared" si="164"/>
        <v>52.577528895212915</v>
      </c>
      <c r="AL186" s="22">
        <f t="shared" si="165"/>
        <v>462.44302949249618</v>
      </c>
      <c r="AM186" s="62">
        <f t="shared" si="113"/>
        <v>752.04915713260914</v>
      </c>
      <c r="AN186" s="62">
        <f ca="1">AVERAGE(OFFSET($AM$3,0,0,'Données projet'!$E$10+1,1))-AVERAGE(OFFSET($H$3,0,0,'Données projet'!$E$10+1,1))</f>
        <v>304.39782420428173</v>
      </c>
      <c r="AO186" s="62">
        <f t="shared" si="144"/>
        <v>360.34132229290537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2.8566231697579845</v>
      </c>
      <c r="AV186" s="23">
        <f>EXP(-LN(2)/25)*AV185+(1-EXP(-LN(2)/25))/(LN(2)/25)*Calculateur!AQ186*Calculateur!AS186*VLOOKUP('Données projet'!$B$10,Paramètres!$A$1:$I$89,3,0)*0.475*44/12</f>
        <v>0.19596206049334566</v>
      </c>
      <c r="AW186" s="23">
        <f>EXP(-LN(2)/2)*AW185+(1-EXP(-LN(2)/2))/(LN(2)/2)*AQ186*AT186*VLOOKUP('Données projet'!$B$10,Paramètres!$A$1:$I$89,3,0)*0.475*44/12</f>
        <v>1.5070200560151655E-18</v>
      </c>
      <c r="AX186" s="23">
        <f t="shared" si="166"/>
        <v>3.0525852302513301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273.00000000000023</v>
      </c>
      <c r="BE186" s="14">
        <f>BD186*VLOOKUP('Données projet'!$B$11,Paramètres!$A$1:$I$89,3,0)*VLOOKUP('Données projet'!$B$11,Paramètres!$A$1:$I$89,5,0)</f>
        <v>212.9400000000002</v>
      </c>
      <c r="BF186" s="14">
        <f t="shared" si="167"/>
        <v>52.577528895212915</v>
      </c>
      <c r="BG186" s="22">
        <f t="shared" si="168"/>
        <v>462.44302949249618</v>
      </c>
      <c r="BH186" s="62">
        <f t="shared" si="116"/>
        <v>752.04915713260914</v>
      </c>
      <c r="BI186" s="62">
        <f ca="1">AVERAGE(OFFSET($BH$3,0,0,'Données projet'!$E$11+1,1))-AVERAGE(OFFSET($H$3,0,0,'Données projet'!$E$11+1,1))</f>
        <v>304.39782420428173</v>
      </c>
      <c r="BJ186" s="62">
        <f t="shared" si="146"/>
        <v>360.34132229290537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2.8566231697579845</v>
      </c>
      <c r="BQ186" s="23">
        <f>EXP(-LN(2)/25)*BQ185+(1-EXP(-LN(2)/25))/(LN(2)/25)*Calculateur!BL186*Calculateur!BN186*VLOOKUP('Données projet'!$B$11,Paramètres!$A$1:$I$89,3,0)*0.475*44/12</f>
        <v>0.19596206049334566</v>
      </c>
      <c r="BR186" s="23">
        <f>EXP(-LN(2)/2)*BR185+(1-EXP(-LN(2)/2))/(LN(2)/2)*BL186*BO186*VLOOKUP('Données projet'!$B$11,Paramètres!$A$1:$I$89,3,0)*0.475*44/12</f>
        <v>1.5070200560151655E-18</v>
      </c>
      <c r="BS186" s="24">
        <f t="shared" si="169"/>
        <v>3.0525852302513301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273.00000000000023</v>
      </c>
      <c r="BZ186" s="14">
        <f>BY186*VLOOKUP('Données projet'!$B$12,Paramètres!$A$1:$I$89,3,0)*VLOOKUP('Données projet'!$B$12,Paramètres!$A$1:$I$89,5,0)</f>
        <v>212.9400000000002</v>
      </c>
      <c r="CA186" s="14">
        <f t="shared" si="170"/>
        <v>52.577528895212915</v>
      </c>
      <c r="CB186" s="22">
        <f t="shared" si="171"/>
        <v>462.44302949249618</v>
      </c>
      <c r="CC186" s="62">
        <f t="shared" si="119"/>
        <v>752.04915713260914</v>
      </c>
      <c r="CD186" s="62">
        <f ca="1">AVERAGE(OFFSET($CC$3,0,0,'Données projet'!$E$12+1,1))-AVERAGE(OFFSET($H$3,0,0,'Données projet'!$E$12+1,1))</f>
        <v>304.39782420428173</v>
      </c>
      <c r="CE186" s="62">
        <f t="shared" si="148"/>
        <v>360.34132229290537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2.8566231697579845</v>
      </c>
      <c r="CL186" s="23">
        <f>EXP(-LN(2)/25)*CL185+(1-EXP(-LN(2)/25))/(LN(2)/25)*Calculateur!CG186*Calculateur!CI186*VLOOKUP('Données projet'!$B$12,Paramètres!$A$1:$I$89,3,0)*0.475*44/12</f>
        <v>0.19596206049334566</v>
      </c>
      <c r="CM186" s="23">
        <f>EXP(-LN(2)/2)*CM185+(1-EXP(-LN(2)/2))/(LN(2)/2)*CG186*CJ186*VLOOKUP('Données projet'!$B$12,Paramètres!$A$1:$I$89,3,0)*0.475*44/12</f>
        <v>1.5070200560151655E-18</v>
      </c>
      <c r="CN186" s="24">
        <f t="shared" si="172"/>
        <v>3.0525852302513301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1.7053025658242404E-13</v>
      </c>
      <c r="O187" s="14">
        <f>N187*VLOOKUP('Données projet'!$B$9,Paramètres!$A$1:$I$89,3,0)*VLOOKUP('Données projet'!$B$9,Paramètres!$A$1:$I$89,5,0)</f>
        <v>7.9808160080574461E-14</v>
      </c>
      <c r="P187" s="14">
        <f t="shared" si="141"/>
        <v>1.2308384591775343E-12</v>
      </c>
      <c r="Q187" s="22">
        <f t="shared" si="162"/>
        <v>2.282709528541206E-12</v>
      </c>
      <c r="R187" s="62">
        <f t="shared" si="109"/>
        <v>289.67078632610901</v>
      </c>
      <c r="S187" s="62">
        <f ca="1">AVERAGE(OFFSET($R$3,0,0,'Données projet'!$E$9+1,1))-AVERAGE(OFFSET($H$3,0,0,'Données projet'!$E$9+1,1))</f>
        <v>234.81928430389272</v>
      </c>
      <c r="T187" s="62">
        <f t="shared" si="142"/>
        <v>294.47057757403411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7.4826020171781895</v>
      </c>
      <c r="AA187" s="23">
        <f>EXP(-LN(2)/25)*AA186+(1-EXP(-LN(2)/25))/(LN(2)/25)*Calculateur!V187*Calculateur!X187*VLOOKUP('Données projet'!$B$9,Paramètres!$A$1:$I$89,3,0)*0.475*44/12</f>
        <v>1.2094457048966836</v>
      </c>
      <c r="AB187" s="23">
        <f>EXP(-LN(2)/2)*AB186+(1-EXP(-LN(2)/2))/(LN(2)/2)*V187*Y187*VLOOKUP('Données projet'!$B$9,Paramètres!$A$1:$I$89,3,0)*0.475*44/12</f>
        <v>1.4150799110101935E-17</v>
      </c>
      <c r="AC187" s="24">
        <f t="shared" si="163"/>
        <v>8.6920477220748733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273.00000000000023</v>
      </c>
      <c r="AJ187" s="14">
        <f>AI187*VLOOKUP('Données projet'!$B$10,Paramètres!$A$1:$I$89,3,0)*VLOOKUP('Données projet'!$B$10,Paramètres!$A$1:$I$89,5,0)</f>
        <v>212.9400000000002</v>
      </c>
      <c r="AK187" s="14">
        <f t="shared" si="164"/>
        <v>52.577528895212915</v>
      </c>
      <c r="AL187" s="22">
        <f t="shared" si="165"/>
        <v>462.44302949249618</v>
      </c>
      <c r="AM187" s="62">
        <f t="shared" si="113"/>
        <v>752.11381581860292</v>
      </c>
      <c r="AN187" s="62">
        <f ca="1">AVERAGE(OFFSET($AM$3,0,0,'Données projet'!$E$10+1,1))-AVERAGE(OFFSET($H$3,0,0,'Données projet'!$E$10+1,1))</f>
        <v>304.39782420428173</v>
      </c>
      <c r="AO187" s="62">
        <f t="shared" si="144"/>
        <v>360.34132229290537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2.8006065317671194</v>
      </c>
      <c r="AV187" s="23">
        <f>EXP(-LN(2)/25)*AV186+(1-EXP(-LN(2)/25))/(LN(2)/25)*Calculateur!AQ187*Calculateur!AS187*VLOOKUP('Données projet'!$B$10,Paramètres!$A$1:$I$89,3,0)*0.475*44/12</f>
        <v>0.19060346764395825</v>
      </c>
      <c r="AW187" s="23">
        <f>EXP(-LN(2)/2)*AW186+(1-EXP(-LN(2)/2))/(LN(2)/2)*AQ187*AT187*VLOOKUP('Données projet'!$B$10,Paramètres!$A$1:$I$89,3,0)*0.475*44/12</f>
        <v>1.0656241009924542E-18</v>
      </c>
      <c r="AX187" s="23">
        <f t="shared" si="166"/>
        <v>2.9912099994110775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273.00000000000023</v>
      </c>
      <c r="BE187" s="14">
        <f>BD187*VLOOKUP('Données projet'!$B$11,Paramètres!$A$1:$I$89,3,0)*VLOOKUP('Données projet'!$B$11,Paramètres!$A$1:$I$89,5,0)</f>
        <v>212.9400000000002</v>
      </c>
      <c r="BF187" s="14">
        <f t="shared" si="167"/>
        <v>52.577528895212915</v>
      </c>
      <c r="BG187" s="22">
        <f t="shared" si="168"/>
        <v>462.44302949249618</v>
      </c>
      <c r="BH187" s="62">
        <f t="shared" si="116"/>
        <v>752.11381581860292</v>
      </c>
      <c r="BI187" s="62">
        <f ca="1">AVERAGE(OFFSET($BH$3,0,0,'Données projet'!$E$11+1,1))-AVERAGE(OFFSET($H$3,0,0,'Données projet'!$E$11+1,1))</f>
        <v>304.39782420428173</v>
      </c>
      <c r="BJ187" s="62">
        <f t="shared" si="146"/>
        <v>360.34132229290537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2.8006065317671194</v>
      </c>
      <c r="BQ187" s="23">
        <f>EXP(-LN(2)/25)*BQ186+(1-EXP(-LN(2)/25))/(LN(2)/25)*Calculateur!BL187*Calculateur!BN187*VLOOKUP('Données projet'!$B$11,Paramètres!$A$1:$I$89,3,0)*0.475*44/12</f>
        <v>0.19060346764395825</v>
      </c>
      <c r="BR187" s="23">
        <f>EXP(-LN(2)/2)*BR186+(1-EXP(-LN(2)/2))/(LN(2)/2)*BL187*BO187*VLOOKUP('Données projet'!$B$11,Paramètres!$A$1:$I$89,3,0)*0.475*44/12</f>
        <v>1.0656241009924542E-18</v>
      </c>
      <c r="BS187" s="24">
        <f t="shared" si="169"/>
        <v>2.9912099994110775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273.00000000000023</v>
      </c>
      <c r="BZ187" s="14">
        <f>BY187*VLOOKUP('Données projet'!$B$12,Paramètres!$A$1:$I$89,3,0)*VLOOKUP('Données projet'!$B$12,Paramètres!$A$1:$I$89,5,0)</f>
        <v>212.9400000000002</v>
      </c>
      <c r="CA187" s="14">
        <f t="shared" si="170"/>
        <v>52.577528895212915</v>
      </c>
      <c r="CB187" s="22">
        <f t="shared" si="171"/>
        <v>462.44302949249618</v>
      </c>
      <c r="CC187" s="62">
        <f t="shared" si="119"/>
        <v>752.11381581860292</v>
      </c>
      <c r="CD187" s="62">
        <f ca="1">AVERAGE(OFFSET($CC$3,0,0,'Données projet'!$E$12+1,1))-AVERAGE(OFFSET($H$3,0,0,'Données projet'!$E$12+1,1))</f>
        <v>304.39782420428173</v>
      </c>
      <c r="CE187" s="62">
        <f t="shared" si="148"/>
        <v>360.34132229290537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2.8006065317671194</v>
      </c>
      <c r="CL187" s="23">
        <f>EXP(-LN(2)/25)*CL186+(1-EXP(-LN(2)/25))/(LN(2)/25)*Calculateur!CG187*Calculateur!CI187*VLOOKUP('Données projet'!$B$12,Paramètres!$A$1:$I$89,3,0)*0.475*44/12</f>
        <v>0.19060346764395825</v>
      </c>
      <c r="CM187" s="23">
        <f>EXP(-LN(2)/2)*CM186+(1-EXP(-LN(2)/2))/(LN(2)/2)*CG187*CJ187*VLOOKUP('Données projet'!$B$12,Paramètres!$A$1:$I$89,3,0)*0.475*44/12</f>
        <v>1.0656241009924542E-18</v>
      </c>
      <c r="CN187" s="24">
        <f t="shared" si="172"/>
        <v>2.9912099994110775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1.7053025658242404E-13</v>
      </c>
      <c r="O188" s="14">
        <f>N188*VLOOKUP('Données projet'!$B$9,Paramètres!$A$1:$I$89,3,0)*VLOOKUP('Données projet'!$B$9,Paramètres!$A$1:$I$89,5,0)</f>
        <v>7.9808160080574461E-14</v>
      </c>
      <c r="P188" s="14">
        <f t="shared" si="141"/>
        <v>1.2308384591775343E-12</v>
      </c>
      <c r="Q188" s="22">
        <f t="shared" si="162"/>
        <v>2.282709528541206E-12</v>
      </c>
      <c r="R188" s="62">
        <f t="shared" si="109"/>
        <v>289.73432332845601</v>
      </c>
      <c r="S188" s="62">
        <f ca="1">AVERAGE(OFFSET($R$3,0,0,'Données projet'!$E$9+1,1))-AVERAGE(OFFSET($H$3,0,0,'Données projet'!$E$9+1,1))</f>
        <v>234.81928430389272</v>
      </c>
      <c r="T188" s="62">
        <f t="shared" si="142"/>
        <v>294.47057757403411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7.3358727555579044</v>
      </c>
      <c r="AA188" s="23">
        <f>EXP(-LN(2)/25)*AA187+(1-EXP(-LN(2)/25))/(LN(2)/25)*Calculateur!V188*Calculateur!X188*VLOOKUP('Données projet'!$B$9,Paramètres!$A$1:$I$89,3,0)*0.475*44/12</f>
        <v>1.1763733484942984</v>
      </c>
      <c r="AB188" s="23">
        <f>EXP(-LN(2)/2)*AB187+(1-EXP(-LN(2)/2))/(LN(2)/2)*V188*Y188*VLOOKUP('Données projet'!$B$9,Paramètres!$A$1:$I$89,3,0)*0.475*44/12</f>
        <v>1.0006126009961641E-17</v>
      </c>
      <c r="AC188" s="24">
        <f t="shared" si="163"/>
        <v>8.5122461040522026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273.00000000000023</v>
      </c>
      <c r="AJ188" s="14">
        <f>AI188*VLOOKUP('Données projet'!$B$10,Paramètres!$A$1:$I$89,3,0)*VLOOKUP('Données projet'!$B$10,Paramètres!$A$1:$I$89,5,0)</f>
        <v>212.9400000000002</v>
      </c>
      <c r="AK188" s="14">
        <f t="shared" si="164"/>
        <v>52.577528895212915</v>
      </c>
      <c r="AL188" s="22">
        <f t="shared" si="165"/>
        <v>462.44302949249618</v>
      </c>
      <c r="AM188" s="62">
        <f t="shared" si="113"/>
        <v>752.17735282094986</v>
      </c>
      <c r="AN188" s="62">
        <f ca="1">AVERAGE(OFFSET($AM$3,0,0,'Données projet'!$E$10+1,1))-AVERAGE(OFFSET($H$3,0,0,'Données projet'!$E$10+1,1))</f>
        <v>304.39782420428173</v>
      </c>
      <c r="AO188" s="62">
        <f t="shared" si="144"/>
        <v>360.34132229290537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2.7456883458804797</v>
      </c>
      <c r="AV188" s="23">
        <f>EXP(-LN(2)/25)*AV187+(1-EXP(-LN(2)/25))/(LN(2)/25)*Calculateur!AQ188*Calculateur!AS188*VLOOKUP('Données projet'!$B$10,Paramètres!$A$1:$I$89,3,0)*0.475*44/12</f>
        <v>0.18539140579783348</v>
      </c>
      <c r="AW188" s="23">
        <f>EXP(-LN(2)/2)*AW187+(1-EXP(-LN(2)/2))/(LN(2)/2)*AQ188*AT188*VLOOKUP('Données projet'!$B$10,Paramètres!$A$1:$I$89,3,0)*0.475*44/12</f>
        <v>7.5351002800758277E-19</v>
      </c>
      <c r="AX188" s="23">
        <f t="shared" si="166"/>
        <v>2.9310797516783134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273.00000000000023</v>
      </c>
      <c r="BE188" s="14">
        <f>BD188*VLOOKUP('Données projet'!$B$11,Paramètres!$A$1:$I$89,3,0)*VLOOKUP('Données projet'!$B$11,Paramètres!$A$1:$I$89,5,0)</f>
        <v>212.9400000000002</v>
      </c>
      <c r="BF188" s="14">
        <f t="shared" si="167"/>
        <v>52.577528895212915</v>
      </c>
      <c r="BG188" s="22">
        <f t="shared" si="168"/>
        <v>462.44302949249618</v>
      </c>
      <c r="BH188" s="62">
        <f t="shared" si="116"/>
        <v>752.17735282094986</v>
      </c>
      <c r="BI188" s="62">
        <f ca="1">AVERAGE(OFFSET($BH$3,0,0,'Données projet'!$E$11+1,1))-AVERAGE(OFFSET($H$3,0,0,'Données projet'!$E$11+1,1))</f>
        <v>304.39782420428173</v>
      </c>
      <c r="BJ188" s="62">
        <f t="shared" si="146"/>
        <v>360.34132229290537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2.7456883458804797</v>
      </c>
      <c r="BQ188" s="23">
        <f>EXP(-LN(2)/25)*BQ187+(1-EXP(-LN(2)/25))/(LN(2)/25)*Calculateur!BL188*Calculateur!BN188*VLOOKUP('Données projet'!$B$11,Paramètres!$A$1:$I$89,3,0)*0.475*44/12</f>
        <v>0.18539140579783348</v>
      </c>
      <c r="BR188" s="23">
        <f>EXP(-LN(2)/2)*BR187+(1-EXP(-LN(2)/2))/(LN(2)/2)*BL188*BO188*VLOOKUP('Données projet'!$B$11,Paramètres!$A$1:$I$89,3,0)*0.475*44/12</f>
        <v>7.5351002800758277E-19</v>
      </c>
      <c r="BS188" s="24">
        <f t="shared" si="169"/>
        <v>2.9310797516783134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273.00000000000023</v>
      </c>
      <c r="BZ188" s="14">
        <f>BY188*VLOOKUP('Données projet'!$B$12,Paramètres!$A$1:$I$89,3,0)*VLOOKUP('Données projet'!$B$12,Paramètres!$A$1:$I$89,5,0)</f>
        <v>212.9400000000002</v>
      </c>
      <c r="CA188" s="14">
        <f t="shared" si="170"/>
        <v>52.577528895212915</v>
      </c>
      <c r="CB188" s="22">
        <f t="shared" si="171"/>
        <v>462.44302949249618</v>
      </c>
      <c r="CC188" s="62">
        <f t="shared" si="119"/>
        <v>752.17735282094986</v>
      </c>
      <c r="CD188" s="62">
        <f ca="1">AVERAGE(OFFSET($CC$3,0,0,'Données projet'!$E$12+1,1))-AVERAGE(OFFSET($H$3,0,0,'Données projet'!$E$12+1,1))</f>
        <v>304.39782420428173</v>
      </c>
      <c r="CE188" s="62">
        <f t="shared" si="148"/>
        <v>360.34132229290537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2.7456883458804797</v>
      </c>
      <c r="CL188" s="23">
        <f>EXP(-LN(2)/25)*CL187+(1-EXP(-LN(2)/25))/(LN(2)/25)*Calculateur!CG188*Calculateur!CI188*VLOOKUP('Données projet'!$B$12,Paramètres!$A$1:$I$89,3,0)*0.475*44/12</f>
        <v>0.18539140579783348</v>
      </c>
      <c r="CM188" s="23">
        <f>EXP(-LN(2)/2)*CM187+(1-EXP(-LN(2)/2))/(LN(2)/2)*CG188*CJ188*VLOOKUP('Données projet'!$B$12,Paramètres!$A$1:$I$89,3,0)*0.475*44/12</f>
        <v>7.5351002800758277E-19</v>
      </c>
      <c r="CN188" s="24">
        <f t="shared" si="172"/>
        <v>2.9310797516783134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1.7053025658242404E-13</v>
      </c>
      <c r="O189" s="14">
        <f>N189*VLOOKUP('Données projet'!$B$9,Paramètres!$A$1:$I$89,3,0)*VLOOKUP('Données projet'!$B$9,Paramètres!$A$1:$I$89,5,0)</f>
        <v>7.9808160080574461E-14</v>
      </c>
      <c r="P189" s="14">
        <f t="shared" si="141"/>
        <v>1.2308384591775343E-12</v>
      </c>
      <c r="Q189" s="22">
        <f t="shared" si="162"/>
        <v>2.282709528541206E-12</v>
      </c>
      <c r="R189" s="62">
        <f t="shared" si="109"/>
        <v>289.79675810585968</v>
      </c>
      <c r="S189" s="62">
        <f ca="1">AVERAGE(OFFSET($R$3,0,0,'Données projet'!$E$9+1,1))-AVERAGE(OFFSET($H$3,0,0,'Données projet'!$E$9+1,1))</f>
        <v>234.81928430389272</v>
      </c>
      <c r="T189" s="62">
        <f t="shared" si="142"/>
        <v>294.47057757403411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7.1920207652619803</v>
      </c>
      <c r="AA189" s="23">
        <f>EXP(-LN(2)/25)*AA188+(1-EXP(-LN(2)/25))/(LN(2)/25)*Calculateur!V189*Calculateur!X189*VLOOKUP('Données projet'!$B$9,Paramètres!$A$1:$I$89,3,0)*0.475*44/12</f>
        <v>1.144205357416936</v>
      </c>
      <c r="AB189" s="23">
        <f>EXP(-LN(2)/2)*AB188+(1-EXP(-LN(2)/2))/(LN(2)/2)*V189*Y189*VLOOKUP('Données projet'!$B$9,Paramètres!$A$1:$I$89,3,0)*0.475*44/12</f>
        <v>7.0753995550509675E-18</v>
      </c>
      <c r="AC189" s="24">
        <f t="shared" si="163"/>
        <v>8.3362261226789158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273.00000000000023</v>
      </c>
      <c r="AJ189" s="14">
        <f>AI189*VLOOKUP('Données projet'!$B$10,Paramètres!$A$1:$I$89,3,0)*VLOOKUP('Données projet'!$B$10,Paramètres!$A$1:$I$89,5,0)</f>
        <v>212.9400000000002</v>
      </c>
      <c r="AK189" s="14">
        <f t="shared" si="164"/>
        <v>52.577528895212915</v>
      </c>
      <c r="AL189" s="22">
        <f t="shared" si="165"/>
        <v>462.44302949249618</v>
      </c>
      <c r="AM189" s="62">
        <f t="shared" si="113"/>
        <v>752.23978759835359</v>
      </c>
      <c r="AN189" s="62">
        <f ca="1">AVERAGE(OFFSET($AM$3,0,0,'Données projet'!$E$10+1,1))-AVERAGE(OFFSET($H$3,0,0,'Données projet'!$E$10+1,1))</f>
        <v>304.39782420428173</v>
      </c>
      <c r="AO189" s="62">
        <f t="shared" si="144"/>
        <v>360.34132229290537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2.6918470721222914</v>
      </c>
      <c r="AV189" s="23">
        <f>EXP(-LN(2)/25)*AV188+(1-EXP(-LN(2)/25))/(LN(2)/25)*Calculateur!AQ189*Calculateur!AS189*VLOOKUP('Données projet'!$B$10,Paramètres!$A$1:$I$89,3,0)*0.475*44/12</f>
        <v>0.18032186805698142</v>
      </c>
      <c r="AW189" s="23">
        <f>EXP(-LN(2)/2)*AW188+(1-EXP(-LN(2)/2))/(LN(2)/2)*AQ189*AT189*VLOOKUP('Données projet'!$B$10,Paramètres!$A$1:$I$89,3,0)*0.475*44/12</f>
        <v>5.3281205049622712E-19</v>
      </c>
      <c r="AX189" s="23">
        <f t="shared" si="166"/>
        <v>2.8721689401792729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273.00000000000023</v>
      </c>
      <c r="BE189" s="14">
        <f>BD189*VLOOKUP('Données projet'!$B$11,Paramètres!$A$1:$I$89,3,0)*VLOOKUP('Données projet'!$B$11,Paramètres!$A$1:$I$89,5,0)</f>
        <v>212.9400000000002</v>
      </c>
      <c r="BF189" s="14">
        <f t="shared" si="167"/>
        <v>52.577528895212915</v>
      </c>
      <c r="BG189" s="22">
        <f t="shared" si="168"/>
        <v>462.44302949249618</v>
      </c>
      <c r="BH189" s="62">
        <f t="shared" si="116"/>
        <v>752.23978759835359</v>
      </c>
      <c r="BI189" s="62">
        <f ca="1">AVERAGE(OFFSET($BH$3,0,0,'Données projet'!$E$11+1,1))-AVERAGE(OFFSET($H$3,0,0,'Données projet'!$E$11+1,1))</f>
        <v>304.39782420428173</v>
      </c>
      <c r="BJ189" s="62">
        <f t="shared" si="146"/>
        <v>360.34132229290537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2.6918470721222914</v>
      </c>
      <c r="BQ189" s="23">
        <f>EXP(-LN(2)/25)*BQ188+(1-EXP(-LN(2)/25))/(LN(2)/25)*Calculateur!BL189*Calculateur!BN189*VLOOKUP('Données projet'!$B$11,Paramètres!$A$1:$I$89,3,0)*0.475*44/12</f>
        <v>0.18032186805698142</v>
      </c>
      <c r="BR189" s="23">
        <f>EXP(-LN(2)/2)*BR188+(1-EXP(-LN(2)/2))/(LN(2)/2)*BL189*BO189*VLOOKUP('Données projet'!$B$11,Paramètres!$A$1:$I$89,3,0)*0.475*44/12</f>
        <v>5.3281205049622712E-19</v>
      </c>
      <c r="BS189" s="24">
        <f t="shared" si="169"/>
        <v>2.8721689401792729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273.00000000000023</v>
      </c>
      <c r="BZ189" s="14">
        <f>BY189*VLOOKUP('Données projet'!$B$12,Paramètres!$A$1:$I$89,3,0)*VLOOKUP('Données projet'!$B$12,Paramètres!$A$1:$I$89,5,0)</f>
        <v>212.9400000000002</v>
      </c>
      <c r="CA189" s="14">
        <f t="shared" si="170"/>
        <v>52.577528895212915</v>
      </c>
      <c r="CB189" s="22">
        <f t="shared" si="171"/>
        <v>462.44302949249618</v>
      </c>
      <c r="CC189" s="62">
        <f t="shared" si="119"/>
        <v>752.23978759835359</v>
      </c>
      <c r="CD189" s="62">
        <f ca="1">AVERAGE(OFFSET($CC$3,0,0,'Données projet'!$E$12+1,1))-AVERAGE(OFFSET($H$3,0,0,'Données projet'!$E$12+1,1))</f>
        <v>304.39782420428173</v>
      </c>
      <c r="CE189" s="62">
        <f t="shared" si="148"/>
        <v>360.34132229290537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2.6918470721222914</v>
      </c>
      <c r="CL189" s="23">
        <f>EXP(-LN(2)/25)*CL188+(1-EXP(-LN(2)/25))/(LN(2)/25)*Calculateur!CG189*Calculateur!CI189*VLOOKUP('Données projet'!$B$12,Paramètres!$A$1:$I$89,3,0)*0.475*44/12</f>
        <v>0.18032186805698142</v>
      </c>
      <c r="CM189" s="23">
        <f>EXP(-LN(2)/2)*CM188+(1-EXP(-LN(2)/2))/(LN(2)/2)*CG189*CJ189*VLOOKUP('Données projet'!$B$12,Paramètres!$A$1:$I$89,3,0)*0.475*44/12</f>
        <v>5.3281205049622712E-19</v>
      </c>
      <c r="CN189" s="24">
        <f t="shared" si="172"/>
        <v>2.8721689401792729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1.7053025658242404E-13</v>
      </c>
      <c r="O190" s="14">
        <f>N190*VLOOKUP('Données projet'!$B$9,Paramètres!$A$1:$I$89,3,0)*VLOOKUP('Données projet'!$B$9,Paramètres!$A$1:$I$89,5,0)</f>
        <v>7.9808160080574461E-14</v>
      </c>
      <c r="P190" s="14">
        <f t="shared" si="141"/>
        <v>1.2308384591775343E-12</v>
      </c>
      <c r="Q190" s="22">
        <f t="shared" si="162"/>
        <v>2.282709528541206E-12</v>
      </c>
      <c r="R190" s="62">
        <f t="shared" si="109"/>
        <v>289.85810977945869</v>
      </c>
      <c r="S190" s="62">
        <f ca="1">AVERAGE(OFFSET($R$3,0,0,'Données projet'!$E$9+1,1))-AVERAGE(OFFSET($H$3,0,0,'Données projet'!$E$9+1,1))</f>
        <v>234.81928430389272</v>
      </c>
      <c r="T190" s="62">
        <f t="shared" si="142"/>
        <v>294.47057757403411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7.0509896247547088</v>
      </c>
      <c r="AA190" s="23">
        <f>EXP(-LN(2)/25)*AA189+(1-EXP(-LN(2)/25))/(LN(2)/25)*Calculateur!V190*Calculateur!X190*VLOOKUP('Données projet'!$B$9,Paramètres!$A$1:$I$89,3,0)*0.475*44/12</f>
        <v>1.1129170017472252</v>
      </c>
      <c r="AB190" s="23">
        <f>EXP(-LN(2)/2)*AB189+(1-EXP(-LN(2)/2))/(LN(2)/2)*V190*Y190*VLOOKUP('Données projet'!$B$9,Paramètres!$A$1:$I$89,3,0)*0.475*44/12</f>
        <v>5.0030630049808203E-18</v>
      </c>
      <c r="AC190" s="24">
        <f t="shared" si="163"/>
        <v>8.1639066265019338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273.00000000000023</v>
      </c>
      <c r="AJ190" s="14">
        <f>AI190*VLOOKUP('Données projet'!$B$10,Paramètres!$A$1:$I$89,3,0)*VLOOKUP('Données projet'!$B$10,Paramètres!$A$1:$I$89,5,0)</f>
        <v>212.9400000000002</v>
      </c>
      <c r="AK190" s="14">
        <f t="shared" si="164"/>
        <v>52.577528895212915</v>
      </c>
      <c r="AL190" s="22">
        <f t="shared" si="165"/>
        <v>462.44302949249618</v>
      </c>
      <c r="AM190" s="62">
        <f t="shared" si="113"/>
        <v>752.30113927195259</v>
      </c>
      <c r="AN190" s="62">
        <f ca="1">AVERAGE(OFFSET($AM$3,0,0,'Données projet'!$E$10+1,1))-AVERAGE(OFFSET($H$3,0,0,'Données projet'!$E$10+1,1))</f>
        <v>304.39782420428173</v>
      </c>
      <c r="AO190" s="62">
        <f t="shared" si="144"/>
        <v>360.34132229290537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2.6390615929025665</v>
      </c>
      <c r="AV190" s="23">
        <f>EXP(-LN(2)/25)*AV189+(1-EXP(-LN(2)/25))/(LN(2)/25)*Calculateur!AQ190*Calculateur!AS190*VLOOKUP('Données projet'!$B$10,Paramètres!$A$1:$I$89,3,0)*0.475*44/12</f>
        <v>0.17539095709224836</v>
      </c>
      <c r="AW190" s="23">
        <f>EXP(-LN(2)/2)*AW189+(1-EXP(-LN(2)/2))/(LN(2)/2)*AQ190*AT190*VLOOKUP('Données projet'!$B$10,Paramètres!$A$1:$I$89,3,0)*0.475*44/12</f>
        <v>3.7675501400379139E-19</v>
      </c>
      <c r="AX190" s="23">
        <f t="shared" si="166"/>
        <v>2.8144525499948148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273.00000000000023</v>
      </c>
      <c r="BE190" s="14">
        <f>BD190*VLOOKUP('Données projet'!$B$11,Paramètres!$A$1:$I$89,3,0)*VLOOKUP('Données projet'!$B$11,Paramètres!$A$1:$I$89,5,0)</f>
        <v>212.9400000000002</v>
      </c>
      <c r="BF190" s="14">
        <f t="shared" si="167"/>
        <v>52.577528895212915</v>
      </c>
      <c r="BG190" s="22">
        <f t="shared" si="168"/>
        <v>462.44302949249618</v>
      </c>
      <c r="BH190" s="62">
        <f t="shared" si="116"/>
        <v>752.30113927195259</v>
      </c>
      <c r="BI190" s="62">
        <f ca="1">AVERAGE(OFFSET($BH$3,0,0,'Données projet'!$E$11+1,1))-AVERAGE(OFFSET($H$3,0,0,'Données projet'!$E$11+1,1))</f>
        <v>304.39782420428173</v>
      </c>
      <c r="BJ190" s="62">
        <f t="shared" si="146"/>
        <v>360.34132229290537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2.6390615929025665</v>
      </c>
      <c r="BQ190" s="23">
        <f>EXP(-LN(2)/25)*BQ189+(1-EXP(-LN(2)/25))/(LN(2)/25)*Calculateur!BL190*Calculateur!BN190*VLOOKUP('Données projet'!$B$11,Paramètres!$A$1:$I$89,3,0)*0.475*44/12</f>
        <v>0.17539095709224836</v>
      </c>
      <c r="BR190" s="23">
        <f>EXP(-LN(2)/2)*BR189+(1-EXP(-LN(2)/2))/(LN(2)/2)*BL190*BO190*VLOOKUP('Données projet'!$B$11,Paramètres!$A$1:$I$89,3,0)*0.475*44/12</f>
        <v>3.7675501400379139E-19</v>
      </c>
      <c r="BS190" s="24">
        <f t="shared" si="169"/>
        <v>2.8144525499948148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273.00000000000023</v>
      </c>
      <c r="BZ190" s="14">
        <f>BY190*VLOOKUP('Données projet'!$B$12,Paramètres!$A$1:$I$89,3,0)*VLOOKUP('Données projet'!$B$12,Paramètres!$A$1:$I$89,5,0)</f>
        <v>212.9400000000002</v>
      </c>
      <c r="CA190" s="14">
        <f t="shared" si="170"/>
        <v>52.577528895212915</v>
      </c>
      <c r="CB190" s="22">
        <f t="shared" si="171"/>
        <v>462.44302949249618</v>
      </c>
      <c r="CC190" s="62">
        <f t="shared" si="119"/>
        <v>752.30113927195259</v>
      </c>
      <c r="CD190" s="62">
        <f ca="1">AVERAGE(OFFSET($CC$3,0,0,'Données projet'!$E$12+1,1))-AVERAGE(OFFSET($H$3,0,0,'Données projet'!$E$12+1,1))</f>
        <v>304.39782420428173</v>
      </c>
      <c r="CE190" s="62">
        <f t="shared" si="148"/>
        <v>360.34132229290537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2.6390615929025665</v>
      </c>
      <c r="CL190" s="23">
        <f>EXP(-LN(2)/25)*CL189+(1-EXP(-LN(2)/25))/(LN(2)/25)*Calculateur!CG190*Calculateur!CI190*VLOOKUP('Données projet'!$B$12,Paramètres!$A$1:$I$89,3,0)*0.475*44/12</f>
        <v>0.17539095709224836</v>
      </c>
      <c r="CM190" s="23">
        <f>EXP(-LN(2)/2)*CM189+(1-EXP(-LN(2)/2))/(LN(2)/2)*CG190*CJ190*VLOOKUP('Données projet'!$B$12,Paramètres!$A$1:$I$89,3,0)*0.475*44/12</f>
        <v>3.7675501400379139E-19</v>
      </c>
      <c r="CN190" s="24">
        <f t="shared" si="172"/>
        <v>2.8144525499948148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1.7053025658242404E-13</v>
      </c>
      <c r="O191" s="14">
        <f>N191*VLOOKUP('Données projet'!$B$9,Paramètres!$A$1:$I$89,3,0)*VLOOKUP('Données projet'!$B$9,Paramètres!$A$1:$I$89,5,0)</f>
        <v>7.9808160080574461E-14</v>
      </c>
      <c r="P191" s="14">
        <f t="shared" si="141"/>
        <v>1.2308384591775343E-12</v>
      </c>
      <c r="Q191" s="22">
        <f t="shared" si="162"/>
        <v>2.282709528541206E-12</v>
      </c>
      <c r="R191" s="62">
        <f t="shared" si="109"/>
        <v>289.91839713868251</v>
      </c>
      <c r="S191" s="62">
        <f ca="1">AVERAGE(OFFSET($R$3,0,0,'Données projet'!$E$9+1,1))-AVERAGE(OFFSET($H$3,0,0,'Données projet'!$E$9+1,1))</f>
        <v>234.81928430389272</v>
      </c>
      <c r="T191" s="62">
        <f t="shared" si="142"/>
        <v>294.47057757403411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6.9127240188922832</v>
      </c>
      <c r="AA191" s="23">
        <f>EXP(-LN(2)/25)*AA190+(1-EXP(-LN(2)/25))/(LN(2)/25)*Calculateur!V191*Calculateur!X191*VLOOKUP('Données projet'!$B$9,Paramètres!$A$1:$I$89,3,0)*0.475*44/12</f>
        <v>1.0824842278086857</v>
      </c>
      <c r="AB191" s="23">
        <f>EXP(-LN(2)/2)*AB190+(1-EXP(-LN(2)/2))/(LN(2)/2)*V191*Y191*VLOOKUP('Données projet'!$B$9,Paramètres!$A$1:$I$89,3,0)*0.475*44/12</f>
        <v>3.5376997775254838E-18</v>
      </c>
      <c r="AC191" s="24">
        <f t="shared" si="163"/>
        <v>7.9952082467009689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273.00000000000023</v>
      </c>
      <c r="AJ191" s="14">
        <f>AI191*VLOOKUP('Données projet'!$B$10,Paramètres!$A$1:$I$89,3,0)*VLOOKUP('Données projet'!$B$10,Paramètres!$A$1:$I$89,5,0)</f>
        <v>212.9400000000002</v>
      </c>
      <c r="AK191" s="14">
        <f t="shared" si="164"/>
        <v>52.577528895212915</v>
      </c>
      <c r="AL191" s="22">
        <f t="shared" si="165"/>
        <v>462.44302949249618</v>
      </c>
      <c r="AM191" s="62">
        <f t="shared" si="113"/>
        <v>752.36142663117641</v>
      </c>
      <c r="AN191" s="62">
        <f ca="1">AVERAGE(OFFSET($AM$3,0,0,'Données projet'!$E$10+1,1))-AVERAGE(OFFSET($H$3,0,0,'Données projet'!$E$10+1,1))</f>
        <v>304.39782420428173</v>
      </c>
      <c r="AO191" s="62">
        <f t="shared" si="144"/>
        <v>360.34132229290537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2.5873112047343771</v>
      </c>
      <c r="AV191" s="23">
        <f>EXP(-LN(2)/25)*AV190+(1-EXP(-LN(2)/25))/(LN(2)/25)*Calculateur!AQ191*Calculateur!AS191*VLOOKUP('Données projet'!$B$10,Paramètres!$A$1:$I$89,3,0)*0.475*44/12</f>
        <v>0.17059488214715127</v>
      </c>
      <c r="AW191" s="23">
        <f>EXP(-LN(2)/2)*AW190+(1-EXP(-LN(2)/2))/(LN(2)/2)*AQ191*AT191*VLOOKUP('Données projet'!$B$10,Paramètres!$A$1:$I$89,3,0)*0.475*44/12</f>
        <v>2.6640602524811356E-19</v>
      </c>
      <c r="AX191" s="23">
        <f t="shared" si="166"/>
        <v>2.7579060868815284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273.00000000000023</v>
      </c>
      <c r="BE191" s="14">
        <f>BD191*VLOOKUP('Données projet'!$B$11,Paramètres!$A$1:$I$89,3,0)*VLOOKUP('Données projet'!$B$11,Paramètres!$A$1:$I$89,5,0)</f>
        <v>212.9400000000002</v>
      </c>
      <c r="BF191" s="14">
        <f t="shared" si="167"/>
        <v>52.577528895212915</v>
      </c>
      <c r="BG191" s="22">
        <f t="shared" si="168"/>
        <v>462.44302949249618</v>
      </c>
      <c r="BH191" s="62">
        <f t="shared" si="116"/>
        <v>752.36142663117641</v>
      </c>
      <c r="BI191" s="62">
        <f ca="1">AVERAGE(OFFSET($BH$3,0,0,'Données projet'!$E$11+1,1))-AVERAGE(OFFSET($H$3,0,0,'Données projet'!$E$11+1,1))</f>
        <v>304.39782420428173</v>
      </c>
      <c r="BJ191" s="62">
        <f t="shared" si="146"/>
        <v>360.34132229290537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2.5873112047343771</v>
      </c>
      <c r="BQ191" s="23">
        <f>EXP(-LN(2)/25)*BQ190+(1-EXP(-LN(2)/25))/(LN(2)/25)*Calculateur!BL191*Calculateur!BN191*VLOOKUP('Données projet'!$B$11,Paramètres!$A$1:$I$89,3,0)*0.475*44/12</f>
        <v>0.17059488214715127</v>
      </c>
      <c r="BR191" s="23">
        <f>EXP(-LN(2)/2)*BR190+(1-EXP(-LN(2)/2))/(LN(2)/2)*BL191*BO191*VLOOKUP('Données projet'!$B$11,Paramètres!$A$1:$I$89,3,0)*0.475*44/12</f>
        <v>2.6640602524811356E-19</v>
      </c>
      <c r="BS191" s="24">
        <f t="shared" si="169"/>
        <v>2.7579060868815284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273.00000000000023</v>
      </c>
      <c r="BZ191" s="14">
        <f>BY191*VLOOKUP('Données projet'!$B$12,Paramètres!$A$1:$I$89,3,0)*VLOOKUP('Données projet'!$B$12,Paramètres!$A$1:$I$89,5,0)</f>
        <v>212.9400000000002</v>
      </c>
      <c r="CA191" s="14">
        <f t="shared" si="170"/>
        <v>52.577528895212915</v>
      </c>
      <c r="CB191" s="22">
        <f t="shared" si="171"/>
        <v>462.44302949249618</v>
      </c>
      <c r="CC191" s="62">
        <f t="shared" si="119"/>
        <v>752.36142663117641</v>
      </c>
      <c r="CD191" s="62">
        <f ca="1">AVERAGE(OFFSET($CC$3,0,0,'Données projet'!$E$12+1,1))-AVERAGE(OFFSET($H$3,0,0,'Données projet'!$E$12+1,1))</f>
        <v>304.39782420428173</v>
      </c>
      <c r="CE191" s="62">
        <f t="shared" si="148"/>
        <v>360.34132229290537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2.5873112047343771</v>
      </c>
      <c r="CL191" s="23">
        <f>EXP(-LN(2)/25)*CL190+(1-EXP(-LN(2)/25))/(LN(2)/25)*Calculateur!CG191*Calculateur!CI191*VLOOKUP('Données projet'!$B$12,Paramètres!$A$1:$I$89,3,0)*0.475*44/12</f>
        <v>0.17059488214715127</v>
      </c>
      <c r="CM191" s="23">
        <f>EXP(-LN(2)/2)*CM190+(1-EXP(-LN(2)/2))/(LN(2)/2)*CG191*CJ191*VLOOKUP('Données projet'!$B$12,Paramètres!$A$1:$I$89,3,0)*0.475*44/12</f>
        <v>2.6640602524811356E-19</v>
      </c>
      <c r="CN191" s="24">
        <f t="shared" si="172"/>
        <v>2.7579060868815284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1.7053025658242404E-13</v>
      </c>
      <c r="O192" s="14">
        <f>N192*VLOOKUP('Données projet'!$B$9,Paramètres!$A$1:$I$89,3,0)*VLOOKUP('Données projet'!$B$9,Paramètres!$A$1:$I$89,5,0)</f>
        <v>7.9808160080574461E-14</v>
      </c>
      <c r="P192" s="14">
        <f t="shared" si="141"/>
        <v>1.2308384591775343E-12</v>
      </c>
      <c r="Q192" s="22">
        <f t="shared" si="162"/>
        <v>2.282709528541206E-12</v>
      </c>
      <c r="R192" s="62">
        <f t="shared" si="109"/>
        <v>289.97763864700613</v>
      </c>
      <c r="S192" s="62">
        <f ca="1">AVERAGE(OFFSET($R$3,0,0,'Données projet'!$E$9+1,1))-AVERAGE(OFFSET($H$3,0,0,'Données projet'!$E$9+1,1))</f>
        <v>234.81928430389272</v>
      </c>
      <c r="T192" s="62">
        <f t="shared" si="142"/>
        <v>294.47057757403411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6.7771697172271272</v>
      </c>
      <c r="AA192" s="23">
        <f>EXP(-LN(2)/25)*AA191+(1-EXP(-LN(2)/25))/(LN(2)/25)*Calculateur!V192*Calculateur!X192*VLOOKUP('Données projet'!$B$9,Paramètres!$A$1:$I$89,3,0)*0.475*44/12</f>
        <v>1.0528836396738857</v>
      </c>
      <c r="AB192" s="23">
        <f>EXP(-LN(2)/2)*AB191+(1-EXP(-LN(2)/2))/(LN(2)/2)*V192*Y192*VLOOKUP('Données projet'!$B$9,Paramètres!$A$1:$I$89,3,0)*0.475*44/12</f>
        <v>2.5015315024904102E-18</v>
      </c>
      <c r="AC192" s="24">
        <f t="shared" si="163"/>
        <v>7.8300533569010131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273.00000000000023</v>
      </c>
      <c r="AJ192" s="14">
        <f>AI192*VLOOKUP('Données projet'!$B$10,Paramètres!$A$1:$I$89,3,0)*VLOOKUP('Données projet'!$B$10,Paramètres!$A$1:$I$89,5,0)</f>
        <v>212.9400000000002</v>
      </c>
      <c r="AK192" s="14">
        <f t="shared" si="164"/>
        <v>52.577528895212915</v>
      </c>
      <c r="AL192" s="22">
        <f t="shared" si="165"/>
        <v>462.44302949249618</v>
      </c>
      <c r="AM192" s="62">
        <f t="shared" si="113"/>
        <v>752.42066813950009</v>
      </c>
      <c r="AN192" s="62">
        <f ca="1">AVERAGE(OFFSET($AM$3,0,0,'Données projet'!$E$10+1,1))-AVERAGE(OFFSET($H$3,0,0,'Données projet'!$E$10+1,1))</f>
        <v>304.39782420428173</v>
      </c>
      <c r="AO192" s="62">
        <f t="shared" si="144"/>
        <v>360.34132229290537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2.5365756101135459</v>
      </c>
      <c r="AV192" s="23">
        <f>EXP(-LN(2)/25)*AV191+(1-EXP(-LN(2)/25))/(LN(2)/25)*Calculateur!AQ192*Calculateur!AS192*VLOOKUP('Données projet'!$B$10,Paramètres!$A$1:$I$89,3,0)*0.475*44/12</f>
        <v>0.16592995612364247</v>
      </c>
      <c r="AW192" s="23">
        <f>EXP(-LN(2)/2)*AW191+(1-EXP(-LN(2)/2))/(LN(2)/2)*AQ192*AT192*VLOOKUP('Données projet'!$B$10,Paramètres!$A$1:$I$89,3,0)*0.475*44/12</f>
        <v>1.8837750700189569E-19</v>
      </c>
      <c r="AX192" s="23">
        <f t="shared" si="166"/>
        <v>2.7025055662371882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273.00000000000023</v>
      </c>
      <c r="BE192" s="14">
        <f>BD192*VLOOKUP('Données projet'!$B$11,Paramètres!$A$1:$I$89,3,0)*VLOOKUP('Données projet'!$B$11,Paramètres!$A$1:$I$89,5,0)</f>
        <v>212.9400000000002</v>
      </c>
      <c r="BF192" s="14">
        <f t="shared" si="167"/>
        <v>52.577528895212915</v>
      </c>
      <c r="BG192" s="22">
        <f t="shared" si="168"/>
        <v>462.44302949249618</v>
      </c>
      <c r="BH192" s="62">
        <f t="shared" si="116"/>
        <v>752.42066813950009</v>
      </c>
      <c r="BI192" s="62">
        <f ca="1">AVERAGE(OFFSET($BH$3,0,0,'Données projet'!$E$11+1,1))-AVERAGE(OFFSET($H$3,0,0,'Données projet'!$E$11+1,1))</f>
        <v>304.39782420428173</v>
      </c>
      <c r="BJ192" s="62">
        <f t="shared" si="146"/>
        <v>360.34132229290537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2.5365756101135459</v>
      </c>
      <c r="BQ192" s="23">
        <f>EXP(-LN(2)/25)*BQ191+(1-EXP(-LN(2)/25))/(LN(2)/25)*Calculateur!BL192*Calculateur!BN192*VLOOKUP('Données projet'!$B$11,Paramètres!$A$1:$I$89,3,0)*0.475*44/12</f>
        <v>0.16592995612364247</v>
      </c>
      <c r="BR192" s="23">
        <f>EXP(-LN(2)/2)*BR191+(1-EXP(-LN(2)/2))/(LN(2)/2)*BL192*BO192*VLOOKUP('Données projet'!$B$11,Paramètres!$A$1:$I$89,3,0)*0.475*44/12</f>
        <v>1.8837750700189569E-19</v>
      </c>
      <c r="BS192" s="24">
        <f t="shared" si="169"/>
        <v>2.7025055662371882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273.00000000000023</v>
      </c>
      <c r="BZ192" s="14">
        <f>BY192*VLOOKUP('Données projet'!$B$12,Paramètres!$A$1:$I$89,3,0)*VLOOKUP('Données projet'!$B$12,Paramètres!$A$1:$I$89,5,0)</f>
        <v>212.9400000000002</v>
      </c>
      <c r="CA192" s="14">
        <f t="shared" si="170"/>
        <v>52.577528895212915</v>
      </c>
      <c r="CB192" s="22">
        <f t="shared" si="171"/>
        <v>462.44302949249618</v>
      </c>
      <c r="CC192" s="62">
        <f t="shared" si="119"/>
        <v>752.42066813950009</v>
      </c>
      <c r="CD192" s="62">
        <f ca="1">AVERAGE(OFFSET($CC$3,0,0,'Données projet'!$E$12+1,1))-AVERAGE(OFFSET($H$3,0,0,'Données projet'!$E$12+1,1))</f>
        <v>304.39782420428173</v>
      </c>
      <c r="CE192" s="62">
        <f t="shared" si="148"/>
        <v>360.34132229290537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2.5365756101135459</v>
      </c>
      <c r="CL192" s="23">
        <f>EXP(-LN(2)/25)*CL191+(1-EXP(-LN(2)/25))/(LN(2)/25)*Calculateur!CG192*Calculateur!CI192*VLOOKUP('Données projet'!$B$12,Paramètres!$A$1:$I$89,3,0)*0.475*44/12</f>
        <v>0.16592995612364247</v>
      </c>
      <c r="CM192" s="23">
        <f>EXP(-LN(2)/2)*CM191+(1-EXP(-LN(2)/2))/(LN(2)/2)*CG192*CJ192*VLOOKUP('Données projet'!$B$12,Paramètres!$A$1:$I$89,3,0)*0.475*44/12</f>
        <v>1.8837750700189569E-19</v>
      </c>
      <c r="CN192" s="24">
        <f t="shared" si="172"/>
        <v>2.7025055662371882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1.7053025658242404E-13</v>
      </c>
      <c r="O193" s="14">
        <f>N193*VLOOKUP('Données projet'!$B$9,Paramètres!$A$1:$I$89,3,0)*VLOOKUP('Données projet'!$B$9,Paramètres!$A$1:$I$89,5,0)</f>
        <v>7.9808160080574461E-14</v>
      </c>
      <c r="P193" s="14">
        <f t="shared" si="141"/>
        <v>1.2308384591775343E-12</v>
      </c>
      <c r="Q193" s="22">
        <f t="shared" si="162"/>
        <v>2.282709528541206E-12</v>
      </c>
      <c r="R193" s="62">
        <f t="shared" si="109"/>
        <v>290.03585244760455</v>
      </c>
      <c r="S193" s="62">
        <f ca="1">AVERAGE(OFFSET($R$3,0,0,'Données projet'!$E$9+1,1))-AVERAGE(OFFSET($H$3,0,0,'Données projet'!$E$9+1,1))</f>
        <v>234.81928430389272</v>
      </c>
      <c r="T193" s="62">
        <f t="shared" si="142"/>
        <v>294.47057757403411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6.6442735527376655</v>
      </c>
      <c r="AA193" s="23">
        <f>EXP(-LN(2)/25)*AA192+(1-EXP(-LN(2)/25))/(LN(2)/25)*Calculateur!V193*Calculateur!X193*VLOOKUP('Données projet'!$B$9,Paramètres!$A$1:$I$89,3,0)*0.475*44/12</f>
        <v>1.024092481178259</v>
      </c>
      <c r="AB193" s="23">
        <f>EXP(-LN(2)/2)*AB192+(1-EXP(-LN(2)/2))/(LN(2)/2)*V193*Y193*VLOOKUP('Données projet'!$B$9,Paramètres!$A$1:$I$89,3,0)*0.475*44/12</f>
        <v>1.7688498887627419E-18</v>
      </c>
      <c r="AC193" s="24">
        <f t="shared" si="163"/>
        <v>7.668366033915925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273.00000000000023</v>
      </c>
      <c r="AJ193" s="14">
        <f>AI193*VLOOKUP('Données projet'!$B$10,Paramètres!$A$1:$I$89,3,0)*VLOOKUP('Données projet'!$B$10,Paramètres!$A$1:$I$89,5,0)</f>
        <v>212.9400000000002</v>
      </c>
      <c r="AK193" s="14">
        <f t="shared" si="164"/>
        <v>52.577528895212915</v>
      </c>
      <c r="AL193" s="22">
        <f t="shared" si="165"/>
        <v>462.44302949249618</v>
      </c>
      <c r="AM193" s="62">
        <f t="shared" si="113"/>
        <v>752.47888194009852</v>
      </c>
      <c r="AN193" s="62">
        <f ca="1">AVERAGE(OFFSET($AM$3,0,0,'Données projet'!$E$10+1,1))-AVERAGE(OFFSET($H$3,0,0,'Données projet'!$E$10+1,1))</f>
        <v>304.39782420428173</v>
      </c>
      <c r="AO193" s="62">
        <f t="shared" si="144"/>
        <v>360.34132229290537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2.4868349095575724</v>
      </c>
      <c r="AV193" s="23">
        <f>EXP(-LN(2)/25)*AV192+(1-EXP(-LN(2)/25))/(LN(2)/25)*Calculateur!AQ193*Calculateur!AS193*VLOOKUP('Données projet'!$B$10,Paramètres!$A$1:$I$89,3,0)*0.475*44/12</f>
        <v>0.16139259274756432</v>
      </c>
      <c r="AW193" s="23">
        <f>EXP(-LN(2)/2)*AW192+(1-EXP(-LN(2)/2))/(LN(2)/2)*AQ193*AT193*VLOOKUP('Données projet'!$B$10,Paramètres!$A$1:$I$89,3,0)*0.475*44/12</f>
        <v>1.3320301262405678E-19</v>
      </c>
      <c r="AX193" s="23">
        <f t="shared" si="166"/>
        <v>2.6482275023051365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273.00000000000023</v>
      </c>
      <c r="BE193" s="14">
        <f>BD193*VLOOKUP('Données projet'!$B$11,Paramètres!$A$1:$I$89,3,0)*VLOOKUP('Données projet'!$B$11,Paramètres!$A$1:$I$89,5,0)</f>
        <v>212.9400000000002</v>
      </c>
      <c r="BF193" s="14">
        <f t="shared" si="167"/>
        <v>52.577528895212915</v>
      </c>
      <c r="BG193" s="22">
        <f t="shared" si="168"/>
        <v>462.44302949249618</v>
      </c>
      <c r="BH193" s="62">
        <f t="shared" si="116"/>
        <v>752.47888194009852</v>
      </c>
      <c r="BI193" s="62">
        <f ca="1">AVERAGE(OFFSET($BH$3,0,0,'Données projet'!$E$11+1,1))-AVERAGE(OFFSET($H$3,0,0,'Données projet'!$E$11+1,1))</f>
        <v>304.39782420428173</v>
      </c>
      <c r="BJ193" s="62">
        <f t="shared" si="146"/>
        <v>360.34132229290537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2.4868349095575724</v>
      </c>
      <c r="BQ193" s="23">
        <f>EXP(-LN(2)/25)*BQ192+(1-EXP(-LN(2)/25))/(LN(2)/25)*Calculateur!BL193*Calculateur!BN193*VLOOKUP('Données projet'!$B$11,Paramètres!$A$1:$I$89,3,0)*0.475*44/12</f>
        <v>0.16139259274756432</v>
      </c>
      <c r="BR193" s="23">
        <f>EXP(-LN(2)/2)*BR192+(1-EXP(-LN(2)/2))/(LN(2)/2)*BL193*BO193*VLOOKUP('Données projet'!$B$11,Paramètres!$A$1:$I$89,3,0)*0.475*44/12</f>
        <v>1.3320301262405678E-19</v>
      </c>
      <c r="BS193" s="24">
        <f t="shared" si="169"/>
        <v>2.6482275023051365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273.00000000000023</v>
      </c>
      <c r="BZ193" s="14">
        <f>BY193*VLOOKUP('Données projet'!$B$12,Paramètres!$A$1:$I$89,3,0)*VLOOKUP('Données projet'!$B$12,Paramètres!$A$1:$I$89,5,0)</f>
        <v>212.9400000000002</v>
      </c>
      <c r="CA193" s="14">
        <f t="shared" si="170"/>
        <v>52.577528895212915</v>
      </c>
      <c r="CB193" s="22">
        <f t="shared" si="171"/>
        <v>462.44302949249618</v>
      </c>
      <c r="CC193" s="62">
        <f t="shared" si="119"/>
        <v>752.47888194009852</v>
      </c>
      <c r="CD193" s="62">
        <f ca="1">AVERAGE(OFFSET($CC$3,0,0,'Données projet'!$E$12+1,1))-AVERAGE(OFFSET($H$3,0,0,'Données projet'!$E$12+1,1))</f>
        <v>304.39782420428173</v>
      </c>
      <c r="CE193" s="62">
        <f t="shared" si="148"/>
        <v>360.34132229290537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2.4868349095575724</v>
      </c>
      <c r="CL193" s="23">
        <f>EXP(-LN(2)/25)*CL192+(1-EXP(-LN(2)/25))/(LN(2)/25)*Calculateur!CG193*Calculateur!CI193*VLOOKUP('Données projet'!$B$12,Paramètres!$A$1:$I$89,3,0)*0.475*44/12</f>
        <v>0.16139259274756432</v>
      </c>
      <c r="CM193" s="23">
        <f>EXP(-LN(2)/2)*CM192+(1-EXP(-LN(2)/2))/(LN(2)/2)*CG193*CJ193*VLOOKUP('Données projet'!$B$12,Paramètres!$A$1:$I$89,3,0)*0.475*44/12</f>
        <v>1.3320301262405678E-19</v>
      </c>
      <c r="CN193" s="24">
        <f t="shared" si="172"/>
        <v>2.6482275023051365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1.7053025658242404E-13</v>
      </c>
      <c r="O194" s="14">
        <f>N194*VLOOKUP('Données projet'!$B$9,Paramètres!$A$1:$I$89,3,0)*VLOOKUP('Données projet'!$B$9,Paramètres!$A$1:$I$89,5,0)</f>
        <v>7.9808160080574461E-14</v>
      </c>
      <c r="P194" s="14">
        <f t="shared" si="141"/>
        <v>1.2308384591775343E-12</v>
      </c>
      <c r="Q194" s="22">
        <f t="shared" si="162"/>
        <v>2.282709528541206E-12</v>
      </c>
      <c r="R194" s="62">
        <f t="shared" si="109"/>
        <v>290.09305636890912</v>
      </c>
      <c r="S194" s="62">
        <f ca="1">AVERAGE(OFFSET($R$3,0,0,'Données projet'!$E$9+1,1))-AVERAGE(OFFSET($H$3,0,0,'Données projet'!$E$9+1,1))</f>
        <v>234.81928430389272</v>
      </c>
      <c r="T194" s="62">
        <f t="shared" si="142"/>
        <v>294.47057757403411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6.5139834009751851</v>
      </c>
      <c r="AA194" s="23">
        <f>EXP(-LN(2)/25)*AA193+(1-EXP(-LN(2)/25))/(LN(2)/25)*Calculateur!V194*Calculateur!X194*VLOOKUP('Données projet'!$B$9,Paramètres!$A$1:$I$89,3,0)*0.475*44/12</f>
        <v>0.99608861842575658</v>
      </c>
      <c r="AB194" s="23">
        <f>EXP(-LN(2)/2)*AB193+(1-EXP(-LN(2)/2))/(LN(2)/2)*V194*Y194*VLOOKUP('Données projet'!$B$9,Paramètres!$A$1:$I$89,3,0)*0.475*44/12</f>
        <v>1.2507657512452051E-18</v>
      </c>
      <c r="AC194" s="24">
        <f t="shared" si="163"/>
        <v>7.5100720194009414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273.00000000000023</v>
      </c>
      <c r="AJ194" s="14">
        <f>AI194*VLOOKUP('Données projet'!$B$10,Paramètres!$A$1:$I$89,3,0)*VLOOKUP('Données projet'!$B$10,Paramètres!$A$1:$I$89,5,0)</f>
        <v>212.9400000000002</v>
      </c>
      <c r="AK194" s="14">
        <f t="shared" si="164"/>
        <v>52.577528895212915</v>
      </c>
      <c r="AL194" s="22">
        <f t="shared" si="165"/>
        <v>462.44302949249618</v>
      </c>
      <c r="AM194" s="62">
        <f t="shared" si="113"/>
        <v>752.53608586140308</v>
      </c>
      <c r="AN194" s="62">
        <f ca="1">AVERAGE(OFFSET($AM$3,0,0,'Données projet'!$E$10+1,1))-AVERAGE(OFFSET($H$3,0,0,'Données projet'!$E$10+1,1))</f>
        <v>304.39782420428173</v>
      </c>
      <c r="AO194" s="62">
        <f t="shared" si="144"/>
        <v>360.34132229290537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2.4380695938006696</v>
      </c>
      <c r="AV194" s="23">
        <f>EXP(-LN(2)/25)*AV193+(1-EXP(-LN(2)/25))/(LN(2)/25)*Calculateur!AQ194*Calculateur!AS194*VLOOKUP('Données projet'!$B$10,Paramètres!$A$1:$I$89,3,0)*0.475*44/12</f>
        <v>0.1569793038116146</v>
      </c>
      <c r="AW194" s="23">
        <f>EXP(-LN(2)/2)*AW193+(1-EXP(-LN(2)/2))/(LN(2)/2)*AQ194*AT194*VLOOKUP('Données projet'!$B$10,Paramètres!$A$1:$I$89,3,0)*0.475*44/12</f>
        <v>9.4188753500947846E-20</v>
      </c>
      <c r="AX194" s="23">
        <f t="shared" si="166"/>
        <v>2.5950488976122843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273.00000000000023</v>
      </c>
      <c r="BE194" s="14">
        <f>BD194*VLOOKUP('Données projet'!$B$11,Paramètres!$A$1:$I$89,3,0)*VLOOKUP('Données projet'!$B$11,Paramètres!$A$1:$I$89,5,0)</f>
        <v>212.9400000000002</v>
      </c>
      <c r="BF194" s="14">
        <f t="shared" si="167"/>
        <v>52.577528895212915</v>
      </c>
      <c r="BG194" s="22">
        <f t="shared" si="168"/>
        <v>462.44302949249618</v>
      </c>
      <c r="BH194" s="62">
        <f t="shared" si="116"/>
        <v>752.53608586140308</v>
      </c>
      <c r="BI194" s="62">
        <f ca="1">AVERAGE(OFFSET($BH$3,0,0,'Données projet'!$E$11+1,1))-AVERAGE(OFFSET($H$3,0,0,'Données projet'!$E$11+1,1))</f>
        <v>304.39782420428173</v>
      </c>
      <c r="BJ194" s="62">
        <f t="shared" si="146"/>
        <v>360.34132229290537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2.4380695938006696</v>
      </c>
      <c r="BQ194" s="23">
        <f>EXP(-LN(2)/25)*BQ193+(1-EXP(-LN(2)/25))/(LN(2)/25)*Calculateur!BL194*Calculateur!BN194*VLOOKUP('Données projet'!$B$11,Paramètres!$A$1:$I$89,3,0)*0.475*44/12</f>
        <v>0.1569793038116146</v>
      </c>
      <c r="BR194" s="23">
        <f>EXP(-LN(2)/2)*BR193+(1-EXP(-LN(2)/2))/(LN(2)/2)*BL194*BO194*VLOOKUP('Données projet'!$B$11,Paramètres!$A$1:$I$89,3,0)*0.475*44/12</f>
        <v>9.4188753500947846E-20</v>
      </c>
      <c r="BS194" s="24">
        <f t="shared" si="169"/>
        <v>2.5950488976122843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273.00000000000023</v>
      </c>
      <c r="BZ194" s="14">
        <f>BY194*VLOOKUP('Données projet'!$B$12,Paramètres!$A$1:$I$89,3,0)*VLOOKUP('Données projet'!$B$12,Paramètres!$A$1:$I$89,5,0)</f>
        <v>212.9400000000002</v>
      </c>
      <c r="CA194" s="14">
        <f t="shared" si="170"/>
        <v>52.577528895212915</v>
      </c>
      <c r="CB194" s="22">
        <f t="shared" si="171"/>
        <v>462.44302949249618</v>
      </c>
      <c r="CC194" s="62">
        <f t="shared" si="119"/>
        <v>752.53608586140308</v>
      </c>
      <c r="CD194" s="62">
        <f ca="1">AVERAGE(OFFSET($CC$3,0,0,'Données projet'!$E$12+1,1))-AVERAGE(OFFSET($H$3,0,0,'Données projet'!$E$12+1,1))</f>
        <v>304.39782420428173</v>
      </c>
      <c r="CE194" s="62">
        <f t="shared" si="148"/>
        <v>360.34132229290537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2.4380695938006696</v>
      </c>
      <c r="CL194" s="23">
        <f>EXP(-LN(2)/25)*CL193+(1-EXP(-LN(2)/25))/(LN(2)/25)*Calculateur!CG194*Calculateur!CI194*VLOOKUP('Données projet'!$B$12,Paramètres!$A$1:$I$89,3,0)*0.475*44/12</f>
        <v>0.1569793038116146</v>
      </c>
      <c r="CM194" s="23">
        <f>EXP(-LN(2)/2)*CM193+(1-EXP(-LN(2)/2))/(LN(2)/2)*CG194*CJ194*VLOOKUP('Données projet'!$B$12,Paramètres!$A$1:$I$89,3,0)*0.475*44/12</f>
        <v>9.4188753500947846E-20</v>
      </c>
      <c r="CN194" s="24">
        <f t="shared" si="172"/>
        <v>2.5950488976122843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1.7053025658242404E-13</v>
      </c>
      <c r="O195" s="14">
        <f>N195*VLOOKUP('Données projet'!$B$9,Paramètres!$A$1:$I$89,3,0)*VLOOKUP('Données projet'!$B$9,Paramètres!$A$1:$I$89,5,0)</f>
        <v>7.9808160080574461E-14</v>
      </c>
      <c r="P195" s="14">
        <f t="shared" si="141"/>
        <v>1.2308384591775343E-12</v>
      </c>
      <c r="Q195" s="22">
        <f t="shared" si="162"/>
        <v>2.282709528541206E-12</v>
      </c>
      <c r="R195" s="62">
        <f t="shared" ref="R195:R203" si="191">Q195+(I195+J195)*44/12</f>
        <v>290.14926793006794</v>
      </c>
      <c r="S195" s="62">
        <f ca="1">AVERAGE(OFFSET($R$3,0,0,'Données projet'!$E$9+1,1))-AVERAGE(OFFSET($H$3,0,0,'Données projet'!$E$9+1,1))</f>
        <v>234.81928430389272</v>
      </c>
      <c r="T195" s="62">
        <f t="shared" si="142"/>
        <v>294.47057757403411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6.3862481596196217</v>
      </c>
      <c r="AA195" s="23">
        <f>EXP(-LN(2)/25)*AA194+(1-EXP(-LN(2)/25))/(LN(2)/25)*Calculateur!V195*Calculateur!X195*VLOOKUP('Données projet'!$B$9,Paramètres!$A$1:$I$89,3,0)*0.475*44/12</f>
        <v>0.96885052277288042</v>
      </c>
      <c r="AB195" s="23">
        <f>EXP(-LN(2)/2)*AB194+(1-EXP(-LN(2)/2))/(LN(2)/2)*V195*Y195*VLOOKUP('Données projet'!$B$9,Paramètres!$A$1:$I$89,3,0)*0.475*44/12</f>
        <v>8.8442494438137094E-19</v>
      </c>
      <c r="AC195" s="24">
        <f t="shared" si="163"/>
        <v>7.3550986823925024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273.00000000000023</v>
      </c>
      <c r="AJ195" s="14">
        <f>AI195*VLOOKUP('Données projet'!$B$10,Paramètres!$A$1:$I$89,3,0)*VLOOKUP('Données projet'!$B$10,Paramètres!$A$1:$I$89,5,0)</f>
        <v>212.9400000000002</v>
      </c>
      <c r="AK195" s="14">
        <f t="shared" si="164"/>
        <v>52.577528895212915</v>
      </c>
      <c r="AL195" s="22">
        <f t="shared" si="165"/>
        <v>462.44302949249618</v>
      </c>
      <c r="AM195" s="62">
        <f t="shared" si="113"/>
        <v>752.59229742256184</v>
      </c>
      <c r="AN195" s="62">
        <f ca="1">AVERAGE(OFFSET($AM$3,0,0,'Données projet'!$E$10+1,1))-AVERAGE(OFFSET($H$3,0,0,'Données projet'!$E$10+1,1))</f>
        <v>304.39782420428173</v>
      </c>
      <c r="AO195" s="62">
        <f t="shared" si="144"/>
        <v>360.34132229290537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2.3902605361418541</v>
      </c>
      <c r="AV195" s="23">
        <f>EXP(-LN(2)/25)*AV194+(1-EXP(-LN(2)/25))/(LN(2)/25)*Calculateur!AQ195*Calculateur!AS195*VLOOKUP('Données projet'!$B$10,Paramètres!$A$1:$I$89,3,0)*0.475*44/12</f>
        <v>0.1526866964937032</v>
      </c>
      <c r="AW195" s="23">
        <f>EXP(-LN(2)/2)*AW194+(1-EXP(-LN(2)/2))/(LN(2)/2)*AQ195*AT195*VLOOKUP('Données projet'!$B$10,Paramètres!$A$1:$I$89,3,0)*0.475*44/12</f>
        <v>6.6601506312028389E-20</v>
      </c>
      <c r="AX195" s="23">
        <f t="shared" si="166"/>
        <v>2.5429472326355573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273.00000000000023</v>
      </c>
      <c r="BE195" s="14">
        <f>BD195*VLOOKUP('Données projet'!$B$11,Paramètres!$A$1:$I$89,3,0)*VLOOKUP('Données projet'!$B$11,Paramètres!$A$1:$I$89,5,0)</f>
        <v>212.9400000000002</v>
      </c>
      <c r="BF195" s="14">
        <f t="shared" si="167"/>
        <v>52.577528895212915</v>
      </c>
      <c r="BG195" s="22">
        <f t="shared" si="168"/>
        <v>462.44302949249618</v>
      </c>
      <c r="BH195" s="62">
        <f t="shared" si="116"/>
        <v>752.59229742256184</v>
      </c>
      <c r="BI195" s="62">
        <f ca="1">AVERAGE(OFFSET($BH$3,0,0,'Données projet'!$E$11+1,1))-AVERAGE(OFFSET($H$3,0,0,'Données projet'!$E$11+1,1))</f>
        <v>304.39782420428173</v>
      </c>
      <c r="BJ195" s="62">
        <f t="shared" si="146"/>
        <v>360.34132229290537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2.3902605361418541</v>
      </c>
      <c r="BQ195" s="23">
        <f>EXP(-LN(2)/25)*BQ194+(1-EXP(-LN(2)/25))/(LN(2)/25)*Calculateur!BL195*Calculateur!BN195*VLOOKUP('Données projet'!$B$11,Paramètres!$A$1:$I$89,3,0)*0.475*44/12</f>
        <v>0.1526866964937032</v>
      </c>
      <c r="BR195" s="23">
        <f>EXP(-LN(2)/2)*BR194+(1-EXP(-LN(2)/2))/(LN(2)/2)*BL195*BO195*VLOOKUP('Données projet'!$B$11,Paramètres!$A$1:$I$89,3,0)*0.475*44/12</f>
        <v>6.6601506312028389E-20</v>
      </c>
      <c r="BS195" s="24">
        <f t="shared" si="169"/>
        <v>2.5429472326355573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273.00000000000023</v>
      </c>
      <c r="BZ195" s="14">
        <f>BY195*VLOOKUP('Données projet'!$B$12,Paramètres!$A$1:$I$89,3,0)*VLOOKUP('Données projet'!$B$12,Paramètres!$A$1:$I$89,5,0)</f>
        <v>212.9400000000002</v>
      </c>
      <c r="CA195" s="14">
        <f t="shared" si="170"/>
        <v>52.577528895212915</v>
      </c>
      <c r="CB195" s="22">
        <f t="shared" si="171"/>
        <v>462.44302949249618</v>
      </c>
      <c r="CC195" s="62">
        <f t="shared" si="119"/>
        <v>752.59229742256184</v>
      </c>
      <c r="CD195" s="62">
        <f ca="1">AVERAGE(OFFSET($CC$3,0,0,'Données projet'!$E$12+1,1))-AVERAGE(OFFSET($H$3,0,0,'Données projet'!$E$12+1,1))</f>
        <v>304.39782420428173</v>
      </c>
      <c r="CE195" s="62">
        <f t="shared" si="148"/>
        <v>360.34132229290537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2.3902605361418541</v>
      </c>
      <c r="CL195" s="23">
        <f>EXP(-LN(2)/25)*CL194+(1-EXP(-LN(2)/25))/(LN(2)/25)*Calculateur!CG195*Calculateur!CI195*VLOOKUP('Données projet'!$B$12,Paramètres!$A$1:$I$89,3,0)*0.475*44/12</f>
        <v>0.1526866964937032</v>
      </c>
      <c r="CM195" s="23">
        <f>EXP(-LN(2)/2)*CM194+(1-EXP(-LN(2)/2))/(LN(2)/2)*CG195*CJ195*VLOOKUP('Données projet'!$B$12,Paramètres!$A$1:$I$89,3,0)*0.475*44/12</f>
        <v>6.6601506312028389E-20</v>
      </c>
      <c r="CN195" s="24">
        <f t="shared" si="172"/>
        <v>2.5429472326355573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1.7053025658242404E-13</v>
      </c>
      <c r="O196" s="14">
        <f>N196*VLOOKUP('Données projet'!$B$9,Paramètres!$A$1:$I$89,3,0)*VLOOKUP('Données projet'!$B$9,Paramètres!$A$1:$I$89,5,0)</f>
        <v>7.9808160080574461E-14</v>
      </c>
      <c r="P196" s="14">
        <f t="shared" si="141"/>
        <v>1.2308384591775343E-12</v>
      </c>
      <c r="Q196" s="22">
        <f t="shared" si="162"/>
        <v>2.282709528541206E-12</v>
      </c>
      <c r="R196" s="62">
        <f t="shared" si="191"/>
        <v>290.20450434631078</v>
      </c>
      <c r="S196" s="62">
        <f ca="1">AVERAGE(OFFSET($R$3,0,0,'Données projet'!$E$9+1,1))-AVERAGE(OFFSET($H$3,0,0,'Données projet'!$E$9+1,1))</f>
        <v>234.81928430389272</v>
      </c>
      <c r="T196" s="62">
        <f t="shared" si="142"/>
        <v>294.47057757403411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6.2610177284362365</v>
      </c>
      <c r="AA196" s="23">
        <f>EXP(-LN(2)/25)*AA195+(1-EXP(-LN(2)/25))/(LN(2)/25)*Calculateur!V196*Calculateur!X196*VLOOKUP('Données projet'!$B$9,Paramètres!$A$1:$I$89,3,0)*0.475*44/12</f>
        <v>0.94235725427802131</v>
      </c>
      <c r="AB196" s="23">
        <f>EXP(-LN(2)/2)*AB195+(1-EXP(-LN(2)/2))/(LN(2)/2)*V196*Y196*VLOOKUP('Données projet'!$B$9,Paramètres!$A$1:$I$89,3,0)*0.475*44/12</f>
        <v>6.2538287562260254E-19</v>
      </c>
      <c r="AC196" s="24">
        <f t="shared" si="163"/>
        <v>7.2033749827142577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273.00000000000023</v>
      </c>
      <c r="AJ196" s="14">
        <f>AI196*VLOOKUP('Données projet'!$B$10,Paramètres!$A$1:$I$89,3,0)*VLOOKUP('Données projet'!$B$10,Paramètres!$A$1:$I$89,5,0)</f>
        <v>212.9400000000002</v>
      </c>
      <c r="AK196" s="14">
        <f t="shared" si="164"/>
        <v>52.577528895212915</v>
      </c>
      <c r="AL196" s="22">
        <f t="shared" si="165"/>
        <v>462.44302949249618</v>
      </c>
      <c r="AM196" s="62">
        <f t="shared" ref="AM196:AM203" si="193">AL196+(AD196+AE196)*44/12</f>
        <v>752.64753383880475</v>
      </c>
      <c r="AN196" s="62">
        <f ca="1">AVERAGE(OFFSET($AM$3,0,0,'Données projet'!$E$10+1,1))-AVERAGE(OFFSET($H$3,0,0,'Données projet'!$E$10+1,1))</f>
        <v>304.39782420428173</v>
      </c>
      <c r="AO196" s="62">
        <f t="shared" si="144"/>
        <v>360.34132229290537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2.3433889849430822</v>
      </c>
      <c r="AV196" s="23">
        <f>EXP(-LN(2)/25)*AV195+(1-EXP(-LN(2)/25))/(LN(2)/25)*Calculateur!AQ196*Calculateur!AS196*VLOOKUP('Données projet'!$B$10,Paramètres!$A$1:$I$89,3,0)*0.475*44/12</f>
        <v>0.14851147074863849</v>
      </c>
      <c r="AW196" s="23">
        <f>EXP(-LN(2)/2)*AW195+(1-EXP(-LN(2)/2))/(LN(2)/2)*AQ196*AT196*VLOOKUP('Données projet'!$B$10,Paramètres!$A$1:$I$89,3,0)*0.475*44/12</f>
        <v>4.7094376750473923E-20</v>
      </c>
      <c r="AX196" s="23">
        <f t="shared" si="166"/>
        <v>2.4919004556917206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273.00000000000023</v>
      </c>
      <c r="BE196" s="14">
        <f>BD196*VLOOKUP('Données projet'!$B$11,Paramètres!$A$1:$I$89,3,0)*VLOOKUP('Données projet'!$B$11,Paramètres!$A$1:$I$89,5,0)</f>
        <v>212.9400000000002</v>
      </c>
      <c r="BF196" s="14">
        <f t="shared" si="167"/>
        <v>52.577528895212915</v>
      </c>
      <c r="BG196" s="22">
        <f t="shared" si="168"/>
        <v>462.44302949249618</v>
      </c>
      <c r="BH196" s="62">
        <f t="shared" ref="BH196:BH203" si="194">BG196+(AY196+AZ196)*44/12</f>
        <v>752.64753383880475</v>
      </c>
      <c r="BI196" s="62">
        <f ca="1">AVERAGE(OFFSET($BH$3,0,0,'Données projet'!$E$11+1,1))-AVERAGE(OFFSET($H$3,0,0,'Données projet'!$E$11+1,1))</f>
        <v>304.39782420428173</v>
      </c>
      <c r="BJ196" s="62">
        <f t="shared" si="146"/>
        <v>360.34132229290537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2.3433889849430822</v>
      </c>
      <c r="BQ196" s="23">
        <f>EXP(-LN(2)/25)*BQ195+(1-EXP(-LN(2)/25))/(LN(2)/25)*Calculateur!BL196*Calculateur!BN196*VLOOKUP('Données projet'!$B$11,Paramètres!$A$1:$I$89,3,0)*0.475*44/12</f>
        <v>0.14851147074863849</v>
      </c>
      <c r="BR196" s="23">
        <f>EXP(-LN(2)/2)*BR195+(1-EXP(-LN(2)/2))/(LN(2)/2)*BL196*BO196*VLOOKUP('Données projet'!$B$11,Paramètres!$A$1:$I$89,3,0)*0.475*44/12</f>
        <v>4.7094376750473923E-20</v>
      </c>
      <c r="BS196" s="24">
        <f t="shared" si="169"/>
        <v>2.4919004556917206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273.00000000000023</v>
      </c>
      <c r="BZ196" s="14">
        <f>BY196*VLOOKUP('Données projet'!$B$12,Paramètres!$A$1:$I$89,3,0)*VLOOKUP('Données projet'!$B$12,Paramètres!$A$1:$I$89,5,0)</f>
        <v>212.9400000000002</v>
      </c>
      <c r="CA196" s="14">
        <f t="shared" si="170"/>
        <v>52.577528895212915</v>
      </c>
      <c r="CB196" s="22">
        <f t="shared" si="171"/>
        <v>462.44302949249618</v>
      </c>
      <c r="CC196" s="62">
        <f t="shared" ref="CC196:CC203" si="195">CB196+(BT196+BU196)*44/12</f>
        <v>752.64753383880475</v>
      </c>
      <c r="CD196" s="62">
        <f ca="1">AVERAGE(OFFSET($CC$3,0,0,'Données projet'!$E$12+1,1))-AVERAGE(OFFSET($H$3,0,0,'Données projet'!$E$12+1,1))</f>
        <v>304.39782420428173</v>
      </c>
      <c r="CE196" s="62">
        <f t="shared" si="148"/>
        <v>360.34132229290537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2.3433889849430822</v>
      </c>
      <c r="CL196" s="23">
        <f>EXP(-LN(2)/25)*CL195+(1-EXP(-LN(2)/25))/(LN(2)/25)*Calculateur!CG196*Calculateur!CI196*VLOOKUP('Données projet'!$B$12,Paramètres!$A$1:$I$89,3,0)*0.475*44/12</f>
        <v>0.14851147074863849</v>
      </c>
      <c r="CM196" s="23">
        <f>EXP(-LN(2)/2)*CM195+(1-EXP(-LN(2)/2))/(LN(2)/2)*CG196*CJ196*VLOOKUP('Données projet'!$B$12,Paramètres!$A$1:$I$89,3,0)*0.475*44/12</f>
        <v>4.7094376750473923E-20</v>
      </c>
      <c r="CN196" s="24">
        <f t="shared" si="172"/>
        <v>2.4919004556917206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1.7053025658242404E-13</v>
      </c>
      <c r="O197" s="14">
        <f>N197*VLOOKUP('Données projet'!$B$9,Paramètres!$A$1:$I$89,3,0)*VLOOKUP('Données projet'!$B$9,Paramètres!$A$1:$I$89,5,0)</f>
        <v>7.9808160080574461E-14</v>
      </c>
      <c r="P197" s="14">
        <f t="shared" ref="P197:P203" si="203">EXP(-1.0587+0.8836*LN(O197)+0.284)</f>
        <v>1.2308384591775343E-12</v>
      </c>
      <c r="Q197" s="22">
        <f t="shared" si="162"/>
        <v>2.282709528541206E-12</v>
      </c>
      <c r="R197" s="62">
        <f t="shared" si="191"/>
        <v>290.25878253422201</v>
      </c>
      <c r="S197" s="62">
        <f ca="1">AVERAGE(OFFSET($R$3,0,0,'Données projet'!$E$9+1,1))-AVERAGE(OFFSET($H$3,0,0,'Données projet'!$E$9+1,1))</f>
        <v>234.81928430389272</v>
      </c>
      <c r="T197" s="62">
        <f t="shared" ref="T197:T203" si="204">$T$3</f>
        <v>294.47057757403411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6.1382429896253363</v>
      </c>
      <c r="AA197" s="23">
        <f>EXP(-LN(2)/25)*AA196+(1-EXP(-LN(2)/25))/(LN(2)/25)*Calculateur!V197*Calculateur!X197*VLOOKUP('Données projet'!$B$9,Paramètres!$A$1:$I$89,3,0)*0.475*44/12</f>
        <v>0.9165884456033746</v>
      </c>
      <c r="AB197" s="23">
        <f>EXP(-LN(2)/2)*AB196+(1-EXP(-LN(2)/2))/(LN(2)/2)*V197*Y197*VLOOKUP('Données projet'!$B$9,Paramètres!$A$1:$I$89,3,0)*0.475*44/12</f>
        <v>4.4221247219068547E-19</v>
      </c>
      <c r="AC197" s="24">
        <f t="shared" si="163"/>
        <v>7.0548314352287109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273.00000000000023</v>
      </c>
      <c r="AJ197" s="14">
        <f>AI197*VLOOKUP('Données projet'!$B$10,Paramètres!$A$1:$I$89,3,0)*VLOOKUP('Données projet'!$B$10,Paramètres!$A$1:$I$89,5,0)</f>
        <v>212.9400000000002</v>
      </c>
      <c r="AK197" s="14">
        <f t="shared" si="164"/>
        <v>52.577528895212915</v>
      </c>
      <c r="AL197" s="22">
        <f t="shared" si="165"/>
        <v>462.44302949249618</v>
      </c>
      <c r="AM197" s="62">
        <f t="shared" si="193"/>
        <v>752.70181202671597</v>
      </c>
      <c r="AN197" s="62">
        <f ca="1">AVERAGE(OFFSET($AM$3,0,0,'Données projet'!$E$10+1,1))-AVERAGE(OFFSET($H$3,0,0,'Données projet'!$E$10+1,1))</f>
        <v>304.39782420428173</v>
      </c>
      <c r="AO197" s="62">
        <f t="shared" ref="AO197:AO203" si="205">$AO$3</f>
        <v>360.34132229290537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2.2974365562744952</v>
      </c>
      <c r="AV197" s="23">
        <f>EXP(-LN(2)/25)*AV196+(1-EXP(-LN(2)/25))/(LN(2)/25)*Calculateur!AQ197*Calculateur!AS197*VLOOKUP('Données projet'!$B$10,Paramètres!$A$1:$I$89,3,0)*0.475*44/12</f>
        <v>0.14445041677113815</v>
      </c>
      <c r="AW197" s="23">
        <f>EXP(-LN(2)/2)*AW196+(1-EXP(-LN(2)/2))/(LN(2)/2)*AQ197*AT197*VLOOKUP('Données projet'!$B$10,Paramètres!$A$1:$I$89,3,0)*0.475*44/12</f>
        <v>3.3300753156014195E-20</v>
      </c>
      <c r="AX197" s="23">
        <f t="shared" si="166"/>
        <v>2.4418869730456332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273.00000000000023</v>
      </c>
      <c r="BE197" s="14">
        <f>BD197*VLOOKUP('Données projet'!$B$11,Paramètres!$A$1:$I$89,3,0)*VLOOKUP('Données projet'!$B$11,Paramètres!$A$1:$I$89,5,0)</f>
        <v>212.9400000000002</v>
      </c>
      <c r="BF197" s="14">
        <f t="shared" si="167"/>
        <v>52.577528895212915</v>
      </c>
      <c r="BG197" s="22">
        <f t="shared" si="168"/>
        <v>462.44302949249618</v>
      </c>
      <c r="BH197" s="62">
        <f t="shared" si="194"/>
        <v>752.70181202671597</v>
      </c>
      <c r="BI197" s="62">
        <f ca="1">AVERAGE(OFFSET($BH$3,0,0,'Données projet'!$E$11+1,1))-AVERAGE(OFFSET($H$3,0,0,'Données projet'!$E$11+1,1))</f>
        <v>304.39782420428173</v>
      </c>
      <c r="BJ197" s="62">
        <f t="shared" ref="BJ197:BJ203" si="206">$BJ$3</f>
        <v>360.34132229290537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2.2974365562744952</v>
      </c>
      <c r="BQ197" s="23">
        <f>EXP(-LN(2)/25)*BQ196+(1-EXP(-LN(2)/25))/(LN(2)/25)*Calculateur!BL197*Calculateur!BN197*VLOOKUP('Données projet'!$B$11,Paramètres!$A$1:$I$89,3,0)*0.475*44/12</f>
        <v>0.14445041677113815</v>
      </c>
      <c r="BR197" s="23">
        <f>EXP(-LN(2)/2)*BR196+(1-EXP(-LN(2)/2))/(LN(2)/2)*BL197*BO197*VLOOKUP('Données projet'!$B$11,Paramètres!$A$1:$I$89,3,0)*0.475*44/12</f>
        <v>3.3300753156014195E-20</v>
      </c>
      <c r="BS197" s="24">
        <f t="shared" si="169"/>
        <v>2.4418869730456332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273.00000000000023</v>
      </c>
      <c r="BZ197" s="14">
        <f>BY197*VLOOKUP('Données projet'!$B$12,Paramètres!$A$1:$I$89,3,0)*VLOOKUP('Données projet'!$B$12,Paramètres!$A$1:$I$89,5,0)</f>
        <v>212.9400000000002</v>
      </c>
      <c r="CA197" s="14">
        <f t="shared" si="170"/>
        <v>52.577528895212915</v>
      </c>
      <c r="CB197" s="22">
        <f t="shared" si="171"/>
        <v>462.44302949249618</v>
      </c>
      <c r="CC197" s="62">
        <f t="shared" si="195"/>
        <v>752.70181202671597</v>
      </c>
      <c r="CD197" s="62">
        <f ca="1">AVERAGE(OFFSET($CC$3,0,0,'Données projet'!$E$12+1,1))-AVERAGE(OFFSET($H$3,0,0,'Données projet'!$E$12+1,1))</f>
        <v>304.39782420428173</v>
      </c>
      <c r="CE197" s="62">
        <f t="shared" ref="CE197:CE203" si="207">$CE$3</f>
        <v>360.34132229290537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2.2974365562744952</v>
      </c>
      <c r="CL197" s="23">
        <f>EXP(-LN(2)/25)*CL196+(1-EXP(-LN(2)/25))/(LN(2)/25)*Calculateur!CG197*Calculateur!CI197*VLOOKUP('Données projet'!$B$12,Paramètres!$A$1:$I$89,3,0)*0.475*44/12</f>
        <v>0.14445041677113815</v>
      </c>
      <c r="CM197" s="23">
        <f>EXP(-LN(2)/2)*CM196+(1-EXP(-LN(2)/2))/(LN(2)/2)*CG197*CJ197*VLOOKUP('Données projet'!$B$12,Paramètres!$A$1:$I$89,3,0)*0.475*44/12</f>
        <v>3.3300753156014195E-20</v>
      </c>
      <c r="CN197" s="24">
        <f t="shared" si="172"/>
        <v>2.4418869730456332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1.7053025658242404E-13</v>
      </c>
      <c r="O198" s="14">
        <f>N198*VLOOKUP('Données projet'!$B$9,Paramètres!$A$1:$I$89,3,0)*VLOOKUP('Données projet'!$B$9,Paramètres!$A$1:$I$89,5,0)</f>
        <v>7.9808160080574461E-14</v>
      </c>
      <c r="P198" s="14">
        <f t="shared" si="203"/>
        <v>1.2308384591775343E-12</v>
      </c>
      <c r="Q198" s="22">
        <f t="shared" si="162"/>
        <v>2.282709528541206E-12</v>
      </c>
      <c r="R198" s="62">
        <f t="shared" si="191"/>
        <v>290.31211911692077</v>
      </c>
      <c r="S198" s="62">
        <f ca="1">AVERAGE(OFFSET($R$3,0,0,'Données projet'!$E$9+1,1))-AVERAGE(OFFSET($H$3,0,0,'Données projet'!$E$9+1,1))</f>
        <v>234.81928430389272</v>
      </c>
      <c r="T198" s="62">
        <f t="shared" si="204"/>
        <v>294.47057757403411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6.0178757885573217</v>
      </c>
      <c r="AA198" s="23">
        <f>EXP(-LN(2)/25)*AA197+(1-EXP(-LN(2)/25))/(LN(2)/25)*Calculateur!V198*Calculateur!X198*VLOOKUP('Données projet'!$B$9,Paramètres!$A$1:$I$89,3,0)*0.475*44/12</f>
        <v>0.89152428635705883</v>
      </c>
      <c r="AB198" s="23">
        <f>EXP(-LN(2)/2)*AB197+(1-EXP(-LN(2)/2))/(LN(2)/2)*V198*Y198*VLOOKUP('Données projet'!$B$9,Paramètres!$A$1:$I$89,3,0)*0.475*44/12</f>
        <v>3.1269143781130127E-19</v>
      </c>
      <c r="AC198" s="24">
        <f t="shared" si="163"/>
        <v>6.9094000749143802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273.00000000000023</v>
      </c>
      <c r="AJ198" s="14">
        <f>AI198*VLOOKUP('Données projet'!$B$10,Paramètres!$A$1:$I$89,3,0)*VLOOKUP('Données projet'!$B$10,Paramètres!$A$1:$I$89,5,0)</f>
        <v>212.9400000000002</v>
      </c>
      <c r="AK198" s="14">
        <f t="shared" si="164"/>
        <v>52.577528895212915</v>
      </c>
      <c r="AL198" s="22">
        <f t="shared" si="165"/>
        <v>462.44302949249618</v>
      </c>
      <c r="AM198" s="62">
        <f t="shared" si="193"/>
        <v>752.75514860941462</v>
      </c>
      <c r="AN198" s="62">
        <f ca="1">AVERAGE(OFFSET($AM$3,0,0,'Données projet'!$E$10+1,1))-AVERAGE(OFFSET($H$3,0,0,'Données projet'!$E$10+1,1))</f>
        <v>304.39782420428173</v>
      </c>
      <c r="AO198" s="62">
        <f t="shared" si="205"/>
        <v>360.34132229290537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2.2523852267038849</v>
      </c>
      <c r="AV198" s="23">
        <f>EXP(-LN(2)/25)*AV197+(1-EXP(-LN(2)/25))/(LN(2)/25)*Calculateur!AQ198*Calculateur!AS198*VLOOKUP('Données projet'!$B$10,Paramètres!$A$1:$I$89,3,0)*0.475*44/12</f>
        <v>0.1405004125282141</v>
      </c>
      <c r="AW198" s="23">
        <f>EXP(-LN(2)/2)*AW197+(1-EXP(-LN(2)/2))/(LN(2)/2)*AQ198*AT198*VLOOKUP('Données projet'!$B$10,Paramètres!$A$1:$I$89,3,0)*0.475*44/12</f>
        <v>2.3547188375236962E-20</v>
      </c>
      <c r="AX198" s="23">
        <f t="shared" si="166"/>
        <v>2.392885639232099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273.00000000000023</v>
      </c>
      <c r="BE198" s="14">
        <f>BD198*VLOOKUP('Données projet'!$B$11,Paramètres!$A$1:$I$89,3,0)*VLOOKUP('Données projet'!$B$11,Paramètres!$A$1:$I$89,5,0)</f>
        <v>212.9400000000002</v>
      </c>
      <c r="BF198" s="14">
        <f t="shared" si="167"/>
        <v>52.577528895212915</v>
      </c>
      <c r="BG198" s="22">
        <f t="shared" si="168"/>
        <v>462.44302949249618</v>
      </c>
      <c r="BH198" s="62">
        <f t="shared" si="194"/>
        <v>752.75514860941462</v>
      </c>
      <c r="BI198" s="62">
        <f ca="1">AVERAGE(OFFSET($BH$3,0,0,'Données projet'!$E$11+1,1))-AVERAGE(OFFSET($H$3,0,0,'Données projet'!$E$11+1,1))</f>
        <v>304.39782420428173</v>
      </c>
      <c r="BJ198" s="62">
        <f t="shared" si="206"/>
        <v>360.34132229290537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2.2523852267038849</v>
      </c>
      <c r="BQ198" s="23">
        <f>EXP(-LN(2)/25)*BQ197+(1-EXP(-LN(2)/25))/(LN(2)/25)*Calculateur!BL198*Calculateur!BN198*VLOOKUP('Données projet'!$B$11,Paramètres!$A$1:$I$89,3,0)*0.475*44/12</f>
        <v>0.1405004125282141</v>
      </c>
      <c r="BR198" s="23">
        <f>EXP(-LN(2)/2)*BR197+(1-EXP(-LN(2)/2))/(LN(2)/2)*BL198*BO198*VLOOKUP('Données projet'!$B$11,Paramètres!$A$1:$I$89,3,0)*0.475*44/12</f>
        <v>2.3547188375236962E-20</v>
      </c>
      <c r="BS198" s="24">
        <f t="shared" si="169"/>
        <v>2.392885639232099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273.00000000000023</v>
      </c>
      <c r="BZ198" s="14">
        <f>BY198*VLOOKUP('Données projet'!$B$12,Paramètres!$A$1:$I$89,3,0)*VLOOKUP('Données projet'!$B$12,Paramètres!$A$1:$I$89,5,0)</f>
        <v>212.9400000000002</v>
      </c>
      <c r="CA198" s="14">
        <f t="shared" si="170"/>
        <v>52.577528895212915</v>
      </c>
      <c r="CB198" s="22">
        <f t="shared" si="171"/>
        <v>462.44302949249618</v>
      </c>
      <c r="CC198" s="62">
        <f t="shared" si="195"/>
        <v>752.75514860941462</v>
      </c>
      <c r="CD198" s="62">
        <f ca="1">AVERAGE(OFFSET($CC$3,0,0,'Données projet'!$E$12+1,1))-AVERAGE(OFFSET($H$3,0,0,'Données projet'!$E$12+1,1))</f>
        <v>304.39782420428173</v>
      </c>
      <c r="CE198" s="62">
        <f t="shared" si="207"/>
        <v>360.34132229290537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2.2523852267038849</v>
      </c>
      <c r="CL198" s="23">
        <f>EXP(-LN(2)/25)*CL197+(1-EXP(-LN(2)/25))/(LN(2)/25)*Calculateur!CG198*Calculateur!CI198*VLOOKUP('Données projet'!$B$12,Paramètres!$A$1:$I$89,3,0)*0.475*44/12</f>
        <v>0.1405004125282141</v>
      </c>
      <c r="CM198" s="23">
        <f>EXP(-LN(2)/2)*CM197+(1-EXP(-LN(2)/2))/(LN(2)/2)*CG198*CJ198*VLOOKUP('Données projet'!$B$12,Paramètres!$A$1:$I$89,3,0)*0.475*44/12</f>
        <v>2.3547188375236962E-20</v>
      </c>
      <c r="CN198" s="24">
        <f t="shared" si="172"/>
        <v>2.392885639232099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1.7053025658242404E-13</v>
      </c>
      <c r="O199" s="14">
        <f>N199*VLOOKUP('Données projet'!$B$9,Paramètres!$A$1:$I$89,3,0)*VLOOKUP('Données projet'!$B$9,Paramètres!$A$1:$I$89,5,0)</f>
        <v>7.9808160080574461E-14</v>
      </c>
      <c r="P199" s="14">
        <f t="shared" si="203"/>
        <v>1.2308384591775343E-12</v>
      </c>
      <c r="Q199" s="22">
        <f t="shared" si="162"/>
        <v>2.282709528541206E-12</v>
      </c>
      <c r="R199" s="62">
        <f t="shared" si="191"/>
        <v>290.36453042915247</v>
      </c>
      <c r="S199" s="62">
        <f ca="1">AVERAGE(OFFSET($R$3,0,0,'Données projet'!$E$9+1,1))-AVERAGE(OFFSET($H$3,0,0,'Données projet'!$E$9+1,1))</f>
        <v>234.81928430389272</v>
      </c>
      <c r="T199" s="62">
        <f t="shared" si="204"/>
        <v>294.47057757403411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5.8998689148855075</v>
      </c>
      <c r="AA199" s="23">
        <f>EXP(-LN(2)/25)*AA198+(1-EXP(-LN(2)/25))/(LN(2)/25)*Calculateur!V199*Calculateur!X199*VLOOKUP('Données projet'!$B$9,Paramètres!$A$1:$I$89,3,0)*0.475*44/12</f>
        <v>0.86714550786340039</v>
      </c>
      <c r="AB199" s="23">
        <f>EXP(-LN(2)/2)*AB198+(1-EXP(-LN(2)/2))/(LN(2)/2)*V199*Y199*VLOOKUP('Données projet'!$B$9,Paramètres!$A$1:$I$89,3,0)*0.475*44/12</f>
        <v>2.2110623609534274E-19</v>
      </c>
      <c r="AC199" s="24">
        <f t="shared" si="163"/>
        <v>6.7670144227489075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273.00000000000023</v>
      </c>
      <c r="AJ199" s="14">
        <f>AI199*VLOOKUP('Données projet'!$B$10,Paramètres!$A$1:$I$89,3,0)*VLOOKUP('Données projet'!$B$10,Paramètres!$A$1:$I$89,5,0)</f>
        <v>212.9400000000002</v>
      </c>
      <c r="AK199" s="14">
        <f t="shared" si="164"/>
        <v>52.577528895212915</v>
      </c>
      <c r="AL199" s="22">
        <f t="shared" si="165"/>
        <v>462.44302949249618</v>
      </c>
      <c r="AM199" s="62">
        <f t="shared" si="193"/>
        <v>752.80755992164632</v>
      </c>
      <c r="AN199" s="62">
        <f ca="1">AVERAGE(OFFSET($AM$3,0,0,'Données projet'!$E$10+1,1))-AVERAGE(OFFSET($H$3,0,0,'Données projet'!$E$10+1,1))</f>
        <v>304.39782420428173</v>
      </c>
      <c r="AO199" s="62">
        <f t="shared" si="205"/>
        <v>360.34132229290537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2.2082173262275564</v>
      </c>
      <c r="AV199" s="23">
        <f>EXP(-LN(2)/25)*AV198+(1-EXP(-LN(2)/25))/(LN(2)/25)*Calculateur!AQ199*Calculateur!AS199*VLOOKUP('Données projet'!$B$10,Paramètres!$A$1:$I$89,3,0)*0.475*44/12</f>
        <v>0.1366584213590345</v>
      </c>
      <c r="AW199" s="23">
        <f>EXP(-LN(2)/2)*AW198+(1-EXP(-LN(2)/2))/(LN(2)/2)*AQ199*AT199*VLOOKUP('Données projet'!$B$10,Paramètres!$A$1:$I$89,3,0)*0.475*44/12</f>
        <v>1.6650376578007097E-20</v>
      </c>
      <c r="AX199" s="23">
        <f t="shared" si="166"/>
        <v>2.3448757475865909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273.00000000000023</v>
      </c>
      <c r="BE199" s="14">
        <f>BD199*VLOOKUP('Données projet'!$B$11,Paramètres!$A$1:$I$89,3,0)*VLOOKUP('Données projet'!$B$11,Paramètres!$A$1:$I$89,5,0)</f>
        <v>212.9400000000002</v>
      </c>
      <c r="BF199" s="14">
        <f t="shared" si="167"/>
        <v>52.577528895212915</v>
      </c>
      <c r="BG199" s="22">
        <f t="shared" si="168"/>
        <v>462.44302949249618</v>
      </c>
      <c r="BH199" s="62">
        <f t="shared" si="194"/>
        <v>752.80755992164632</v>
      </c>
      <c r="BI199" s="62">
        <f ca="1">AVERAGE(OFFSET($BH$3,0,0,'Données projet'!$E$11+1,1))-AVERAGE(OFFSET($H$3,0,0,'Données projet'!$E$11+1,1))</f>
        <v>304.39782420428173</v>
      </c>
      <c r="BJ199" s="62">
        <f t="shared" si="206"/>
        <v>360.34132229290537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2.2082173262275564</v>
      </c>
      <c r="BQ199" s="23">
        <f>EXP(-LN(2)/25)*BQ198+(1-EXP(-LN(2)/25))/(LN(2)/25)*Calculateur!BL199*Calculateur!BN199*VLOOKUP('Données projet'!$B$11,Paramètres!$A$1:$I$89,3,0)*0.475*44/12</f>
        <v>0.1366584213590345</v>
      </c>
      <c r="BR199" s="23">
        <f>EXP(-LN(2)/2)*BR198+(1-EXP(-LN(2)/2))/(LN(2)/2)*BL199*BO199*VLOOKUP('Données projet'!$B$11,Paramètres!$A$1:$I$89,3,0)*0.475*44/12</f>
        <v>1.6650376578007097E-20</v>
      </c>
      <c r="BS199" s="24">
        <f t="shared" si="169"/>
        <v>2.3448757475865909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273.00000000000023</v>
      </c>
      <c r="BZ199" s="14">
        <f>BY199*VLOOKUP('Données projet'!$B$12,Paramètres!$A$1:$I$89,3,0)*VLOOKUP('Données projet'!$B$12,Paramètres!$A$1:$I$89,5,0)</f>
        <v>212.9400000000002</v>
      </c>
      <c r="CA199" s="14">
        <f t="shared" si="170"/>
        <v>52.577528895212915</v>
      </c>
      <c r="CB199" s="22">
        <f t="shared" si="171"/>
        <v>462.44302949249618</v>
      </c>
      <c r="CC199" s="62">
        <f t="shared" si="195"/>
        <v>752.80755992164632</v>
      </c>
      <c r="CD199" s="62">
        <f ca="1">AVERAGE(OFFSET($CC$3,0,0,'Données projet'!$E$12+1,1))-AVERAGE(OFFSET($H$3,0,0,'Données projet'!$E$12+1,1))</f>
        <v>304.39782420428173</v>
      </c>
      <c r="CE199" s="62">
        <f t="shared" si="207"/>
        <v>360.34132229290537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2.2082173262275564</v>
      </c>
      <c r="CL199" s="23">
        <f>EXP(-LN(2)/25)*CL198+(1-EXP(-LN(2)/25))/(LN(2)/25)*Calculateur!CG199*Calculateur!CI199*VLOOKUP('Données projet'!$B$12,Paramètres!$A$1:$I$89,3,0)*0.475*44/12</f>
        <v>0.1366584213590345</v>
      </c>
      <c r="CM199" s="23">
        <f>EXP(-LN(2)/2)*CM198+(1-EXP(-LN(2)/2))/(LN(2)/2)*CG199*CJ199*VLOOKUP('Données projet'!$B$12,Paramètres!$A$1:$I$89,3,0)*0.475*44/12</f>
        <v>1.6650376578007097E-20</v>
      </c>
      <c r="CN199" s="24">
        <f t="shared" si="172"/>
        <v>2.3448757475865909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1.7053025658242404E-13</v>
      </c>
      <c r="O200" s="14">
        <f>N200*VLOOKUP('Données projet'!$B$9,Paramètres!$A$1:$I$89,3,0)*VLOOKUP('Données projet'!$B$9,Paramètres!$A$1:$I$89,5,0)</f>
        <v>7.9808160080574461E-14</v>
      </c>
      <c r="P200" s="14">
        <f t="shared" si="203"/>
        <v>1.2308384591775343E-12</v>
      </c>
      <c r="Q200" s="22">
        <f t="shared" si="162"/>
        <v>2.282709528541206E-12</v>
      </c>
      <c r="R200" s="62">
        <f t="shared" si="191"/>
        <v>290.41603252229106</v>
      </c>
      <c r="S200" s="62">
        <f ca="1">AVERAGE(OFFSET($R$3,0,0,'Données projet'!$E$9+1,1))-AVERAGE(OFFSET($H$3,0,0,'Données projet'!$E$9+1,1))</f>
        <v>234.81928430389272</v>
      </c>
      <c r="T200" s="62">
        <f t="shared" si="204"/>
        <v>294.47057757403411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5.7841760840293119</v>
      </c>
      <c r="AA200" s="23">
        <f>EXP(-LN(2)/25)*AA199+(1-EXP(-LN(2)/25))/(LN(2)/25)*Calculateur!V200*Calculateur!X200*VLOOKUP('Données projet'!$B$9,Paramètres!$A$1:$I$89,3,0)*0.475*44/12</f>
        <v>0.84343336834967531</v>
      </c>
      <c r="AB200" s="23">
        <f>EXP(-LN(2)/2)*AB199+(1-EXP(-LN(2)/2))/(LN(2)/2)*V200*Y200*VLOOKUP('Données projet'!$B$9,Paramètres!$A$1:$I$89,3,0)*0.475*44/12</f>
        <v>1.5634571890565063E-19</v>
      </c>
      <c r="AC200" s="24">
        <f t="shared" si="163"/>
        <v>6.6276094523789872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273.00000000000023</v>
      </c>
      <c r="AJ200" s="14">
        <f>AI200*VLOOKUP('Données projet'!$B$10,Paramètres!$A$1:$I$89,3,0)*VLOOKUP('Données projet'!$B$10,Paramètres!$A$1:$I$89,5,0)</f>
        <v>212.9400000000002</v>
      </c>
      <c r="AK200" s="14">
        <f t="shared" si="164"/>
        <v>52.577528895212915</v>
      </c>
      <c r="AL200" s="22">
        <f t="shared" si="165"/>
        <v>462.44302949249618</v>
      </c>
      <c r="AM200" s="62">
        <f t="shared" si="193"/>
        <v>752.85906201478497</v>
      </c>
      <c r="AN200" s="62">
        <f ca="1">AVERAGE(OFFSET($AM$3,0,0,'Données projet'!$E$10+1,1))-AVERAGE(OFFSET($H$3,0,0,'Données projet'!$E$10+1,1))</f>
        <v>304.39782420428173</v>
      </c>
      <c r="AO200" s="62">
        <f t="shared" si="205"/>
        <v>360.34132229290537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2.1649155313398096</v>
      </c>
      <c r="AV200" s="23">
        <f>EXP(-LN(2)/25)*AV199+(1-EXP(-LN(2)/25))/(LN(2)/25)*Calculateur!AQ200*Calculateur!AS200*VLOOKUP('Données projet'!$B$10,Paramètres!$A$1:$I$89,3,0)*0.475*44/12</f>
        <v>0.13292148964041767</v>
      </c>
      <c r="AW200" s="23">
        <f>EXP(-LN(2)/2)*AW199+(1-EXP(-LN(2)/2))/(LN(2)/2)*AQ200*AT200*VLOOKUP('Données projet'!$B$10,Paramètres!$A$1:$I$89,3,0)*0.475*44/12</f>
        <v>1.1773594187618481E-20</v>
      </c>
      <c r="AX200" s="23">
        <f t="shared" si="166"/>
        <v>2.2978370209802272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273.00000000000023</v>
      </c>
      <c r="BE200" s="14">
        <f>BD200*VLOOKUP('Données projet'!$B$11,Paramètres!$A$1:$I$89,3,0)*VLOOKUP('Données projet'!$B$11,Paramètres!$A$1:$I$89,5,0)</f>
        <v>212.9400000000002</v>
      </c>
      <c r="BF200" s="14">
        <f t="shared" si="167"/>
        <v>52.577528895212915</v>
      </c>
      <c r="BG200" s="22">
        <f t="shared" si="168"/>
        <v>462.44302949249618</v>
      </c>
      <c r="BH200" s="62">
        <f t="shared" si="194"/>
        <v>752.85906201478497</v>
      </c>
      <c r="BI200" s="62">
        <f ca="1">AVERAGE(OFFSET($BH$3,0,0,'Données projet'!$E$11+1,1))-AVERAGE(OFFSET($H$3,0,0,'Données projet'!$E$11+1,1))</f>
        <v>304.39782420428173</v>
      </c>
      <c r="BJ200" s="62">
        <f t="shared" si="206"/>
        <v>360.34132229290537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2.1649155313398096</v>
      </c>
      <c r="BQ200" s="23">
        <f>EXP(-LN(2)/25)*BQ199+(1-EXP(-LN(2)/25))/(LN(2)/25)*Calculateur!BL200*Calculateur!BN200*VLOOKUP('Données projet'!$B$11,Paramètres!$A$1:$I$89,3,0)*0.475*44/12</f>
        <v>0.13292148964041767</v>
      </c>
      <c r="BR200" s="23">
        <f>EXP(-LN(2)/2)*BR199+(1-EXP(-LN(2)/2))/(LN(2)/2)*BL200*BO200*VLOOKUP('Données projet'!$B$11,Paramètres!$A$1:$I$89,3,0)*0.475*44/12</f>
        <v>1.1773594187618481E-20</v>
      </c>
      <c r="BS200" s="24">
        <f t="shared" si="169"/>
        <v>2.2978370209802272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273.00000000000023</v>
      </c>
      <c r="BZ200" s="14">
        <f>BY200*VLOOKUP('Données projet'!$B$12,Paramètres!$A$1:$I$89,3,0)*VLOOKUP('Données projet'!$B$12,Paramètres!$A$1:$I$89,5,0)</f>
        <v>212.9400000000002</v>
      </c>
      <c r="CA200" s="14">
        <f t="shared" si="170"/>
        <v>52.577528895212915</v>
      </c>
      <c r="CB200" s="22">
        <f t="shared" si="171"/>
        <v>462.44302949249618</v>
      </c>
      <c r="CC200" s="62">
        <f t="shared" si="195"/>
        <v>752.85906201478497</v>
      </c>
      <c r="CD200" s="62">
        <f ca="1">AVERAGE(OFFSET($CC$3,0,0,'Données projet'!$E$12+1,1))-AVERAGE(OFFSET($H$3,0,0,'Données projet'!$E$12+1,1))</f>
        <v>304.39782420428173</v>
      </c>
      <c r="CE200" s="62">
        <f t="shared" si="207"/>
        <v>360.34132229290537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2.1649155313398096</v>
      </c>
      <c r="CL200" s="23">
        <f>EXP(-LN(2)/25)*CL199+(1-EXP(-LN(2)/25))/(LN(2)/25)*Calculateur!CG200*Calculateur!CI200*VLOOKUP('Données projet'!$B$12,Paramètres!$A$1:$I$89,3,0)*0.475*44/12</f>
        <v>0.13292148964041767</v>
      </c>
      <c r="CM200" s="23">
        <f>EXP(-LN(2)/2)*CM199+(1-EXP(-LN(2)/2))/(LN(2)/2)*CG200*CJ200*VLOOKUP('Données projet'!$B$12,Paramètres!$A$1:$I$89,3,0)*0.475*44/12</f>
        <v>1.1773594187618481E-20</v>
      </c>
      <c r="CN200" s="24">
        <f t="shared" si="172"/>
        <v>2.2978370209802272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1.7053025658242404E-13</v>
      </c>
      <c r="O201" s="14">
        <f>N201*VLOOKUP('Données projet'!$B$9,Paramètres!$A$1:$I$89,3,0)*VLOOKUP('Données projet'!$B$9,Paramètres!$A$1:$I$89,5,0)</f>
        <v>7.9808160080574461E-14</v>
      </c>
      <c r="P201" s="14">
        <f t="shared" si="203"/>
        <v>1.2308384591775343E-12</v>
      </c>
      <c r="Q201" s="22">
        <f t="shared" si="162"/>
        <v>2.282709528541206E-12</v>
      </c>
      <c r="R201" s="62">
        <f t="shared" si="191"/>
        <v>290.46664116925518</v>
      </c>
      <c r="S201" s="62">
        <f ca="1">AVERAGE(OFFSET($R$3,0,0,'Données projet'!$E$9+1,1))-AVERAGE(OFFSET($H$3,0,0,'Données projet'!$E$9+1,1))</f>
        <v>234.81928430389272</v>
      </c>
      <c r="T201" s="62">
        <f t="shared" si="204"/>
        <v>294.47057757403411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5.6707519190205478</v>
      </c>
      <c r="AA201" s="23">
        <f>EXP(-LN(2)/25)*AA200+(1-EXP(-LN(2)/25))/(LN(2)/25)*Calculateur!V201*Calculateur!X201*VLOOKUP('Données projet'!$B$9,Paramètres!$A$1:$I$89,3,0)*0.475*44/12</f>
        <v>0.82036963853792033</v>
      </c>
      <c r="AB201" s="23">
        <f>EXP(-LN(2)/2)*AB200+(1-EXP(-LN(2)/2))/(LN(2)/2)*V201*Y201*VLOOKUP('Données projet'!$B$9,Paramètres!$A$1:$I$89,3,0)*0.475*44/12</f>
        <v>1.1055311804767137E-19</v>
      </c>
      <c r="AC201" s="24">
        <f t="shared" si="163"/>
        <v>6.4911215575584684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273.00000000000023</v>
      </c>
      <c r="AJ201" s="14">
        <f>AI201*VLOOKUP('Données projet'!$B$10,Paramètres!$A$1:$I$89,3,0)*VLOOKUP('Données projet'!$B$10,Paramètres!$A$1:$I$89,5,0)</f>
        <v>212.9400000000002</v>
      </c>
      <c r="AK201" s="14">
        <f t="shared" si="164"/>
        <v>52.577528895212915</v>
      </c>
      <c r="AL201" s="22">
        <f t="shared" si="165"/>
        <v>462.44302949249618</v>
      </c>
      <c r="AM201" s="62">
        <f t="shared" si="193"/>
        <v>752.90967066174903</v>
      </c>
      <c r="AN201" s="62">
        <f ca="1">AVERAGE(OFFSET($AM$3,0,0,'Données projet'!$E$10+1,1))-AVERAGE(OFFSET($H$3,0,0,'Données projet'!$E$10+1,1))</f>
        <v>304.39782420428173</v>
      </c>
      <c r="AO201" s="62">
        <f t="shared" si="205"/>
        <v>360.34132229290537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2.1224628582383245</v>
      </c>
      <c r="AV201" s="23">
        <f>EXP(-LN(2)/25)*AV200+(1-EXP(-LN(2)/25))/(LN(2)/25)*Calculateur!AQ201*Calculateur!AS201*VLOOKUP('Données projet'!$B$10,Paramètres!$A$1:$I$89,3,0)*0.475*44/12</f>
        <v>0.12928674451616309</v>
      </c>
      <c r="AW201" s="23">
        <f>EXP(-LN(2)/2)*AW200+(1-EXP(-LN(2)/2))/(LN(2)/2)*AQ201*AT201*VLOOKUP('Données projet'!$B$10,Paramètres!$A$1:$I$89,3,0)*0.475*44/12</f>
        <v>8.3251882890035487E-21</v>
      </c>
      <c r="AX201" s="23">
        <f t="shared" si="166"/>
        <v>2.2517496027544874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273.00000000000023</v>
      </c>
      <c r="BE201" s="14">
        <f>BD201*VLOOKUP('Données projet'!$B$11,Paramètres!$A$1:$I$89,3,0)*VLOOKUP('Données projet'!$B$11,Paramètres!$A$1:$I$89,5,0)</f>
        <v>212.9400000000002</v>
      </c>
      <c r="BF201" s="14">
        <f t="shared" si="167"/>
        <v>52.577528895212915</v>
      </c>
      <c r="BG201" s="22">
        <f t="shared" si="168"/>
        <v>462.44302949249618</v>
      </c>
      <c r="BH201" s="62">
        <f t="shared" si="194"/>
        <v>752.90967066174903</v>
      </c>
      <c r="BI201" s="62">
        <f ca="1">AVERAGE(OFFSET($BH$3,0,0,'Données projet'!$E$11+1,1))-AVERAGE(OFFSET($H$3,0,0,'Données projet'!$E$11+1,1))</f>
        <v>304.39782420428173</v>
      </c>
      <c r="BJ201" s="62">
        <f t="shared" si="206"/>
        <v>360.34132229290537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2.1224628582383245</v>
      </c>
      <c r="BQ201" s="23">
        <f>EXP(-LN(2)/25)*BQ200+(1-EXP(-LN(2)/25))/(LN(2)/25)*Calculateur!BL201*Calculateur!BN201*VLOOKUP('Données projet'!$B$11,Paramètres!$A$1:$I$89,3,0)*0.475*44/12</f>
        <v>0.12928674451616309</v>
      </c>
      <c r="BR201" s="23">
        <f>EXP(-LN(2)/2)*BR200+(1-EXP(-LN(2)/2))/(LN(2)/2)*BL201*BO201*VLOOKUP('Données projet'!$B$11,Paramètres!$A$1:$I$89,3,0)*0.475*44/12</f>
        <v>8.3251882890035487E-21</v>
      </c>
      <c r="BS201" s="24">
        <f t="shared" si="169"/>
        <v>2.2517496027544874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273.00000000000023</v>
      </c>
      <c r="BZ201" s="14">
        <f>BY201*VLOOKUP('Données projet'!$B$12,Paramètres!$A$1:$I$89,3,0)*VLOOKUP('Données projet'!$B$12,Paramètres!$A$1:$I$89,5,0)</f>
        <v>212.9400000000002</v>
      </c>
      <c r="CA201" s="14">
        <f t="shared" si="170"/>
        <v>52.577528895212915</v>
      </c>
      <c r="CB201" s="22">
        <f t="shared" si="171"/>
        <v>462.44302949249618</v>
      </c>
      <c r="CC201" s="62">
        <f t="shared" si="195"/>
        <v>752.90967066174903</v>
      </c>
      <c r="CD201" s="62">
        <f ca="1">AVERAGE(OFFSET($CC$3,0,0,'Données projet'!$E$12+1,1))-AVERAGE(OFFSET($H$3,0,0,'Données projet'!$E$12+1,1))</f>
        <v>304.39782420428173</v>
      </c>
      <c r="CE201" s="62">
        <f t="shared" si="207"/>
        <v>360.34132229290537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2.1224628582383245</v>
      </c>
      <c r="CL201" s="23">
        <f>EXP(-LN(2)/25)*CL200+(1-EXP(-LN(2)/25))/(LN(2)/25)*Calculateur!CG201*Calculateur!CI201*VLOOKUP('Données projet'!$B$12,Paramètres!$A$1:$I$89,3,0)*0.475*44/12</f>
        <v>0.12928674451616309</v>
      </c>
      <c r="CM201" s="23">
        <f>EXP(-LN(2)/2)*CM200+(1-EXP(-LN(2)/2))/(LN(2)/2)*CG201*CJ201*VLOOKUP('Données projet'!$B$12,Paramètres!$A$1:$I$89,3,0)*0.475*44/12</f>
        <v>8.3251882890035487E-21</v>
      </c>
      <c r="CN201" s="24">
        <f t="shared" si="172"/>
        <v>2.2517496027544874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1.7053025658242404E-13</v>
      </c>
      <c r="O202" s="14">
        <f>N202*VLOOKUP('Données projet'!$B$9,Paramètres!$A$1:$I$89,3,0)*VLOOKUP('Données projet'!$B$9,Paramètres!$A$1:$I$89,5,0)</f>
        <v>7.9808160080574461E-14</v>
      </c>
      <c r="P202" s="14">
        <f t="shared" si="203"/>
        <v>1.2308384591775343E-12</v>
      </c>
      <c r="Q202" s="22">
        <f t="shared" si="162"/>
        <v>2.282709528541206E-12</v>
      </c>
      <c r="R202" s="62">
        <f t="shared" si="191"/>
        <v>290.5163718693384</v>
      </c>
      <c r="S202" s="62">
        <f ca="1">AVERAGE(OFFSET($R$3,0,0,'Données projet'!$E$9+1,1))-AVERAGE(OFFSET($H$3,0,0,'Données projet'!$E$9+1,1))</f>
        <v>234.81928430389272</v>
      </c>
      <c r="T202" s="62">
        <f t="shared" si="204"/>
        <v>294.47057757403411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5.5595519327056957</v>
      </c>
      <c r="AA202" s="23">
        <f>EXP(-LN(2)/25)*AA201+(1-EXP(-LN(2)/25))/(LN(2)/25)*Calculateur!V202*Calculateur!X202*VLOOKUP('Données projet'!$B$9,Paramètres!$A$1:$I$89,3,0)*0.475*44/12</f>
        <v>0.7979365876307366</v>
      </c>
      <c r="AB202" s="23">
        <f>EXP(-LN(2)/2)*AB201+(1-EXP(-LN(2)/2))/(LN(2)/2)*V202*Y202*VLOOKUP('Données projet'!$B$9,Paramètres!$A$1:$I$89,3,0)*0.475*44/12</f>
        <v>7.8172859452825317E-20</v>
      </c>
      <c r="AC202" s="24">
        <f t="shared" si="163"/>
        <v>6.3574885203364326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273.00000000000023</v>
      </c>
      <c r="AJ202" s="14">
        <f>AI202*VLOOKUP('Données projet'!$B$10,Paramètres!$A$1:$I$89,3,0)*VLOOKUP('Données projet'!$B$10,Paramètres!$A$1:$I$89,5,0)</f>
        <v>212.9400000000002</v>
      </c>
      <c r="AK202" s="14">
        <f t="shared" si="164"/>
        <v>52.577528895212915</v>
      </c>
      <c r="AL202" s="22">
        <f t="shared" si="165"/>
        <v>462.44302949249618</v>
      </c>
      <c r="AM202" s="62">
        <f t="shared" si="193"/>
        <v>752.95940136183231</v>
      </c>
      <c r="AN202" s="62">
        <f ca="1">AVERAGE(OFFSET($AM$3,0,0,'Données projet'!$E$10+1,1))-AVERAGE(OFFSET($H$3,0,0,'Données projet'!$E$10+1,1))</f>
        <v>304.39782420428173</v>
      </c>
      <c r="AO202" s="62">
        <f t="shared" si="205"/>
        <v>360.34132229290537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2.080842656162786</v>
      </c>
      <c r="AV202" s="23">
        <f>EXP(-LN(2)/25)*AV201+(1-EXP(-LN(2)/25))/(LN(2)/25)*Calculateur!AQ202*Calculateur!AS202*VLOOKUP('Données projet'!$B$10,Paramètres!$A$1:$I$89,3,0)*0.475*44/12</f>
        <v>0.12575139168847421</v>
      </c>
      <c r="AW202" s="23">
        <f>EXP(-LN(2)/2)*AW201+(1-EXP(-LN(2)/2))/(LN(2)/2)*AQ202*AT202*VLOOKUP('Données projet'!$B$10,Paramètres!$A$1:$I$89,3,0)*0.475*44/12</f>
        <v>5.8867970938092404E-21</v>
      </c>
      <c r="AX202" s="23">
        <f t="shared" si="166"/>
        <v>2.2065940478512602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273.00000000000023</v>
      </c>
      <c r="BE202" s="14">
        <f>BD202*VLOOKUP('Données projet'!$B$11,Paramètres!$A$1:$I$89,3,0)*VLOOKUP('Données projet'!$B$11,Paramètres!$A$1:$I$89,5,0)</f>
        <v>212.9400000000002</v>
      </c>
      <c r="BF202" s="14">
        <f t="shared" si="167"/>
        <v>52.577528895212915</v>
      </c>
      <c r="BG202" s="22">
        <f t="shared" si="168"/>
        <v>462.44302949249618</v>
      </c>
      <c r="BH202" s="62">
        <f t="shared" si="194"/>
        <v>752.95940136183231</v>
      </c>
      <c r="BI202" s="62">
        <f ca="1">AVERAGE(OFFSET($BH$3,0,0,'Données projet'!$E$11+1,1))-AVERAGE(OFFSET($H$3,0,0,'Données projet'!$E$11+1,1))</f>
        <v>304.39782420428173</v>
      </c>
      <c r="BJ202" s="62">
        <f t="shared" si="206"/>
        <v>360.34132229290537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2.080842656162786</v>
      </c>
      <c r="BQ202" s="23">
        <f>EXP(-LN(2)/25)*BQ201+(1-EXP(-LN(2)/25))/(LN(2)/25)*Calculateur!BL202*Calculateur!BN202*VLOOKUP('Données projet'!$B$11,Paramètres!$A$1:$I$89,3,0)*0.475*44/12</f>
        <v>0.12575139168847421</v>
      </c>
      <c r="BR202" s="23">
        <f>EXP(-LN(2)/2)*BR201+(1-EXP(-LN(2)/2))/(LN(2)/2)*BL202*BO202*VLOOKUP('Données projet'!$B$11,Paramètres!$A$1:$I$89,3,0)*0.475*44/12</f>
        <v>5.8867970938092404E-21</v>
      </c>
      <c r="BS202" s="24">
        <f t="shared" si="169"/>
        <v>2.2065940478512602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273.00000000000023</v>
      </c>
      <c r="BZ202" s="14">
        <f>BY202*VLOOKUP('Données projet'!$B$12,Paramètres!$A$1:$I$89,3,0)*VLOOKUP('Données projet'!$B$12,Paramètres!$A$1:$I$89,5,0)</f>
        <v>212.9400000000002</v>
      </c>
      <c r="CA202" s="14">
        <f t="shared" si="170"/>
        <v>52.577528895212915</v>
      </c>
      <c r="CB202" s="22">
        <f t="shared" si="171"/>
        <v>462.44302949249618</v>
      </c>
      <c r="CC202" s="62">
        <f t="shared" si="195"/>
        <v>752.95940136183231</v>
      </c>
      <c r="CD202" s="62">
        <f ca="1">AVERAGE(OFFSET($CC$3,0,0,'Données projet'!$E$12+1,1))-AVERAGE(OFFSET($H$3,0,0,'Données projet'!$E$12+1,1))</f>
        <v>304.39782420428173</v>
      </c>
      <c r="CE202" s="62">
        <f t="shared" si="207"/>
        <v>360.34132229290537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2.080842656162786</v>
      </c>
      <c r="CL202" s="23">
        <f>EXP(-LN(2)/25)*CL201+(1-EXP(-LN(2)/25))/(LN(2)/25)*Calculateur!CG202*Calculateur!CI202*VLOOKUP('Données projet'!$B$12,Paramètres!$A$1:$I$89,3,0)*0.475*44/12</f>
        <v>0.12575139168847421</v>
      </c>
      <c r="CM202" s="23">
        <f>EXP(-LN(2)/2)*CM201+(1-EXP(-LN(2)/2))/(LN(2)/2)*CG202*CJ202*VLOOKUP('Données projet'!$B$12,Paramètres!$A$1:$I$89,3,0)*0.475*44/12</f>
        <v>5.8867970938092404E-21</v>
      </c>
      <c r="CN202" s="24">
        <f t="shared" si="172"/>
        <v>2.2065940478512602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1.7053025658242404E-13</v>
      </c>
      <c r="O203" s="14">
        <f>N203*VLOOKUP('Données projet'!$B$9,Paramètres!$A$1:$I$89,3,0)*VLOOKUP('Données projet'!$B$9,Paramètres!$A$1:$I$89,5,0)</f>
        <v>7.9808160080574461E-14</v>
      </c>
      <c r="P203" s="14">
        <f t="shared" si="203"/>
        <v>1.2308384591775343E-12</v>
      </c>
      <c r="Q203" s="22">
        <f t="shared" si="162"/>
        <v>2.282709528541206E-12</v>
      </c>
      <c r="R203" s="62">
        <f t="shared" si="191"/>
        <v>290.56523985295638</v>
      </c>
      <c r="S203" s="62">
        <f ca="1">AVERAGE(OFFSET($R$3,0,0,'Données projet'!$E$9+1,1))-AVERAGE(OFFSET($H$3,0,0,'Données projet'!$E$9+1,1))</f>
        <v>234.81928430389272</v>
      </c>
      <c r="T203" s="62">
        <f t="shared" si="204"/>
        <v>294.47057757403411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5.4505325102971831</v>
      </c>
      <c r="AA203" s="23">
        <f>EXP(-LN(2)/25)*AA202+(1-EXP(-LN(2)/25))/(LN(2)/25)*Calculateur!V203*Calculateur!X203*VLOOKUP('Données projet'!$B$9,Paramètres!$A$1:$I$89,3,0)*0.475*44/12</f>
        <v>0.77611696968031263</v>
      </c>
      <c r="AB203" s="23">
        <f>EXP(-LN(2)/2)*AB202+(1-EXP(-LN(2)/2))/(LN(2)/2)*V203*Y203*VLOOKUP('Données projet'!$B$9,Paramètres!$A$1:$I$89,3,0)*0.475*44/12</f>
        <v>5.5276559023835684E-20</v>
      </c>
      <c r="AC203" s="24">
        <f t="shared" si="163"/>
        <v>6.2266494799774961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273.00000000000023</v>
      </c>
      <c r="AJ203" s="14">
        <f>AI203*VLOOKUP('Données projet'!$B$10,Paramètres!$A$1:$I$89,3,0)*VLOOKUP('Données projet'!$B$10,Paramètres!$A$1:$I$89,5,0)</f>
        <v>212.9400000000002</v>
      </c>
      <c r="AK203" s="14">
        <f t="shared" si="164"/>
        <v>52.577528895212915</v>
      </c>
      <c r="AL203" s="22">
        <f t="shared" si="165"/>
        <v>462.44302949249618</v>
      </c>
      <c r="AM203" s="62">
        <f t="shared" si="193"/>
        <v>753.00826934545034</v>
      </c>
      <c r="AN203" s="62">
        <f ca="1">AVERAGE(OFFSET($AM$3,0,0,'Données projet'!$E$10+1,1))-AVERAGE(OFFSET($H$3,0,0,'Données projet'!$E$10+1,1))</f>
        <v>304.39782420428173</v>
      </c>
      <c r="AO203" s="62">
        <f t="shared" si="205"/>
        <v>360.34132229290537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2.0400386008641318</v>
      </c>
      <c r="AV203" s="23">
        <f>EXP(-LN(2)/25)*AV202+(1-EXP(-LN(2)/25))/(LN(2)/25)*Calculateur!AQ203*Calculateur!AS203*VLOOKUP('Données projet'!$B$10,Paramètres!$A$1:$I$89,3,0)*0.475*44/12</f>
        <v>0.12231271326977461</v>
      </c>
      <c r="AW203" s="23">
        <f>EXP(-LN(2)/2)*AW202+(1-EXP(-LN(2)/2))/(LN(2)/2)*AQ203*AT203*VLOOKUP('Données projet'!$B$10,Paramètres!$A$1:$I$89,3,0)*0.475*44/12</f>
        <v>4.1625941445017743E-21</v>
      </c>
      <c r="AX203" s="23">
        <f t="shared" si="166"/>
        <v>2.1623513141339066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273.00000000000023</v>
      </c>
      <c r="BE203" s="14">
        <f>BD203*VLOOKUP('Données projet'!$B$11,Paramètres!$A$1:$I$89,3,0)*VLOOKUP('Données projet'!$B$11,Paramètres!$A$1:$I$89,5,0)</f>
        <v>212.9400000000002</v>
      </c>
      <c r="BF203" s="14">
        <f t="shared" si="167"/>
        <v>52.577528895212915</v>
      </c>
      <c r="BG203" s="22">
        <f t="shared" si="168"/>
        <v>462.44302949249618</v>
      </c>
      <c r="BH203" s="62">
        <f t="shared" si="194"/>
        <v>753.00826934545034</v>
      </c>
      <c r="BI203" s="62">
        <f ca="1">AVERAGE(OFFSET($BH$3,0,0,'Données projet'!$E$11+1,1))-AVERAGE(OFFSET($H$3,0,0,'Données projet'!$E$11+1,1))</f>
        <v>304.39782420428173</v>
      </c>
      <c r="BJ203" s="62">
        <f t="shared" si="206"/>
        <v>360.34132229290537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2.0400386008641318</v>
      </c>
      <c r="BQ203" s="23">
        <f>EXP(-LN(2)/25)*BQ202+(1-EXP(-LN(2)/25))/(LN(2)/25)*Calculateur!BL203*Calculateur!BN203*VLOOKUP('Données projet'!$B$11,Paramètres!$A$1:$I$89,3,0)*0.475*44/12</f>
        <v>0.12231271326977461</v>
      </c>
      <c r="BR203" s="23">
        <f>EXP(-LN(2)/2)*BR202+(1-EXP(-LN(2)/2))/(LN(2)/2)*BL203*BO203*VLOOKUP('Données projet'!$B$11,Paramètres!$A$1:$I$89,3,0)*0.475*44/12</f>
        <v>4.1625941445017743E-21</v>
      </c>
      <c r="BS203" s="24">
        <f t="shared" si="169"/>
        <v>2.1623513141339066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273.00000000000023</v>
      </c>
      <c r="BZ203" s="14">
        <f>BY203*VLOOKUP('Données projet'!$B$12,Paramètres!$A$1:$I$89,3,0)*VLOOKUP('Données projet'!$B$12,Paramètres!$A$1:$I$89,5,0)</f>
        <v>212.9400000000002</v>
      </c>
      <c r="CA203" s="14">
        <f t="shared" si="170"/>
        <v>52.577528895212915</v>
      </c>
      <c r="CB203" s="22">
        <f t="shared" si="171"/>
        <v>462.44302949249618</v>
      </c>
      <c r="CC203" s="62">
        <f t="shared" si="195"/>
        <v>753.00826934545034</v>
      </c>
      <c r="CD203" s="62">
        <f ca="1">AVERAGE(OFFSET($CC$3,0,0,'Données projet'!$E$12+1,1))-AVERAGE(OFFSET($H$3,0,0,'Données projet'!$E$12+1,1))</f>
        <v>304.39782420428173</v>
      </c>
      <c r="CE203" s="62">
        <f t="shared" si="207"/>
        <v>360.34132229290537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2.0400386008641318</v>
      </c>
      <c r="CL203" s="23">
        <f>EXP(-LN(2)/25)*CL202+(1-EXP(-LN(2)/25))/(LN(2)/25)*Calculateur!CG203*Calculateur!CI203*VLOOKUP('Données projet'!$B$12,Paramètres!$A$1:$I$89,3,0)*0.475*44/12</f>
        <v>0.12231271326977461</v>
      </c>
      <c r="CM203" s="23">
        <f>EXP(-LN(2)/2)*CM202+(1-EXP(-LN(2)/2))/(LN(2)/2)*CG203*CJ203*VLOOKUP('Données projet'!$B$12,Paramètres!$A$1:$I$89,3,0)*0.475*44/12</f>
        <v>4.1625941445017743E-21</v>
      </c>
      <c r="CN203" s="24">
        <f t="shared" si="172"/>
        <v>2.1623513141339066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1.2370441695353693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1.2688471048731957</v>
      </c>
      <c r="BA205" s="88">
        <f>EXP(LN('Données projet'!B88)/'Données projet'!A88)</f>
        <v>1.2688471048731957</v>
      </c>
      <c r="BV205" s="88">
        <f>EXP(LN('Données projet'!B114)/'Données projet'!A114)</f>
        <v>1.2688471048731957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4" zoomScale="80" zoomScaleNormal="80" workbookViewId="0">
      <selection activeCell="C16" sqref="C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Cèdre de l'Atlas</v>
      </c>
      <c r="B6" s="155">
        <f>'Données projet'!D9</f>
        <v>0.48299999999999993</v>
      </c>
      <c r="C6" s="156">
        <f ca="1">IF(OR('Données projet'!B9="",'Données projet'!C9="",'Données projet'!C9=0%),0,Calculateur!S3)</f>
        <v>234.81928430389272</v>
      </c>
      <c r="D6" s="156">
        <f>IF(OR('Données projet'!B9="",'Données projet'!C9="",'Données projet'!C9=0%),0,Calculateur!T3)</f>
        <v>294.47057757403411</v>
      </c>
      <c r="E6" s="156">
        <f ca="1">MIN(C6,D6)</f>
        <v>234.81928430389272</v>
      </c>
      <c r="F6" s="156">
        <f ca="1">E6*B6</f>
        <v>113.41771431878017</v>
      </c>
      <c r="G6" s="156">
        <f ca="1">F6*(100%-'Données projet'!$C$24)*(100%-'Données projet'!$C$25)*(100%-'Données projet'!$C$26)*(100%-'Données projet'!$C$27)</f>
        <v>102.07594288690215</v>
      </c>
      <c r="H6" s="157">
        <f>IF(OR('Données projet'!B9="",'Données projet'!C9="",'Données projet'!C9=0%),0,AVERAGE(Calculateur!$AC$3:$AC$33)*B6)</f>
        <v>0.54423383051353103</v>
      </c>
      <c r="I6" s="158">
        <f>H6*(100%-'Données projet'!$C$24)*(100%-'Données projet'!$C$25)*(100%-'Données projet'!$C$26)*(100%-'Données projet'!$C$27)</f>
        <v>0.48981044746217794</v>
      </c>
      <c r="J6" s="159">
        <f>IF(OR('Données projet'!B9="",'Données projet'!C9="",'Données projet'!C9=0%),0,SUM(Calculateur!$V$3:$V$33)*VLOOKUP('Données projet'!$B$9,Paramètres!$A$1:$I$89,9,0)*B6)</f>
        <v>4.2368759999999988</v>
      </c>
      <c r="K6" s="160">
        <f>J6*(100%-'Données projet'!$C$24)*(100%-'Données projet'!$C$25)*(100%-'Données projet'!$C$26)*(100%-'Données projet'!$C$27)</f>
        <v>3.8131883999999991</v>
      </c>
      <c r="L6" s="161">
        <f ca="1">G6+I6+K6</f>
        <v>106.37894173436433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Merisier</v>
      </c>
      <c r="B7" s="163">
        <f>'Données projet'!D10</f>
        <v>6.9999999999999993E-2</v>
      </c>
      <c r="C7" s="156">
        <f ca="1">IF(OR('Données projet'!B10="",'Données projet'!C10="",'Données projet'!C10=0%),0,Calculateur!AN3)</f>
        <v>304.39782420428173</v>
      </c>
      <c r="D7" s="156">
        <f>IF(OR('Données projet'!B10="",'Données projet'!C10="",'Données projet'!C10=0%),0,Calculateur!AO3)</f>
        <v>360.34132229290537</v>
      </c>
      <c r="E7" s="156">
        <f t="shared" ref="E7:E15" ca="1" si="0">MIN(C7,D7)</f>
        <v>304.39782420428173</v>
      </c>
      <c r="F7" s="156">
        <f t="shared" ref="F7:F15" ca="1" si="1">E7*B7</f>
        <v>21.307847694299721</v>
      </c>
      <c r="G7" s="156">
        <f ca="1">F7*(100%-'Données projet'!$C$24)*(100%-'Données projet'!$C$25)*(100%-'Données projet'!$C$26)*(100%-'Données projet'!$C$27)</f>
        <v>19.177062924869748</v>
      </c>
      <c r="H7" s="164">
        <f>IF(OR('Données projet'!B10="",'Données projet'!C10="",'Données projet'!C10=0%),0,AVERAGE(Calculateur!$AX$3:$AX$33)*B7)</f>
        <v>1.727953378237557E-2</v>
      </c>
      <c r="I7" s="158">
        <f>H7*(100%-'Données projet'!$C$24)*(100%-'Données projet'!$C$25)*(100%-'Données projet'!$C$26)*(100%-'Données projet'!$C$27)</f>
        <v>1.5551580404138014E-2</v>
      </c>
      <c r="J7" s="159">
        <f>IF(OR('Données projet'!B10="",'Données projet'!C10="",'Données projet'!C10=0%),0,SUM(Calculateur!$AQ$3:$AQ$33)*VLOOKUP('Données projet'!$B$10,Paramètres!$A$1:$I$89,9,0)*B7)</f>
        <v>1.1549999999999998</v>
      </c>
      <c r="K7" s="160">
        <f>J7*(100%-'Données projet'!$C$24)*(100%-'Données projet'!$C$25)*(100%-'Données projet'!$C$26)*(100%-'Données projet'!$C$27)</f>
        <v>1.0394999999999999</v>
      </c>
      <c r="L7" s="161">
        <f t="shared" ref="L7:L15" ca="1" si="2">G7+I7+K7</f>
        <v>20.232114505273888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Merisier</v>
      </c>
      <c r="B8" s="163">
        <f>'Données projet'!D11</f>
        <v>6.9999999999999993E-2</v>
      </c>
      <c r="C8" s="156">
        <f ca="1">IF(OR('Données projet'!B11="",'Données projet'!C11="",'Données projet'!C11=0%),0,Calculateur!BI3)</f>
        <v>304.39782420428173</v>
      </c>
      <c r="D8" s="156">
        <f>IF(OR('Données projet'!B11="",'Données projet'!C11="",'Données projet'!C11=0%),0,Calculateur!BJ3)</f>
        <v>360.34132229290537</v>
      </c>
      <c r="E8" s="156">
        <f t="shared" ca="1" si="0"/>
        <v>304.39782420428173</v>
      </c>
      <c r="F8" s="156">
        <f t="shared" ca="1" si="1"/>
        <v>21.307847694299721</v>
      </c>
      <c r="G8" s="156">
        <f ca="1">F8*(100%-'Données projet'!$C$24)*(100%-'Données projet'!$C$25)*(100%-'Données projet'!$C$26)*(100%-'Données projet'!$C$27)</f>
        <v>19.177062924869748</v>
      </c>
      <c r="H8" s="164">
        <f>IF(OR('Données projet'!B11="",'Données projet'!C11="",'Données projet'!C11=0%),0,AVERAGE(Calculateur!$BS$3:$BS$33)*B8)</f>
        <v>1.727953378237557E-2</v>
      </c>
      <c r="I8" s="158">
        <f>H8*(100%-'Données projet'!$C$24)*(100%-'Données projet'!$C$25)*(100%-'Données projet'!$C$26)*(100%-'Données projet'!$C$27)</f>
        <v>1.5551580404138014E-2</v>
      </c>
      <c r="J8" s="159">
        <f>IF(OR('Données projet'!B11="",'Données projet'!C11="",'Données projet'!C11=0%),0,SUM(Calculateur!$BL$3:$BL$33)*VLOOKUP('Données projet'!$B$11,Paramètres!$A$1:$I$89,9,0)*B8)</f>
        <v>1.1549999999999998</v>
      </c>
      <c r="K8" s="160">
        <f>J8*(100%-'Données projet'!$C$24)*(100%-'Données projet'!$C$25)*(100%-'Données projet'!$C$26)*(100%-'Données projet'!$C$27)</f>
        <v>1.0394999999999999</v>
      </c>
      <c r="L8" s="161">
        <f t="shared" ca="1" si="2"/>
        <v>20.232114505273888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Merisier</v>
      </c>
      <c r="B9" s="163">
        <f>'Données projet'!D12</f>
        <v>7.6999999999999999E-2</v>
      </c>
      <c r="C9" s="156">
        <f ca="1">IF(OR('Données projet'!B12="",'Données projet'!C12="",'Données projet'!C12=0%),0,Calculateur!CD3)</f>
        <v>304.39782420428173</v>
      </c>
      <c r="D9" s="156">
        <f>IF(OR('Données projet'!B12="",'Données projet'!C12="",'Données projet'!C12=0%),0,Calculateur!CE3)</f>
        <v>360.34132229290537</v>
      </c>
      <c r="E9" s="156">
        <f t="shared" ca="1" si="0"/>
        <v>304.39782420428173</v>
      </c>
      <c r="F9" s="156">
        <f t="shared" ca="1" si="1"/>
        <v>23.438632463729693</v>
      </c>
      <c r="G9" s="156">
        <f ca="1">F9*(100%-'Données projet'!$C$24)*(100%-'Données projet'!$C$25)*(100%-'Données projet'!$C$26)*(100%-'Données projet'!$C$27)</f>
        <v>21.094769217356724</v>
      </c>
      <c r="H9" s="164">
        <f>IF(OR('Données projet'!B12="",'Données projet'!C12="",'Données projet'!C12=0%),0,AVERAGE(Calculateur!$CN$3:$CN$33)*B9)</f>
        <v>1.9007487160613127E-2</v>
      </c>
      <c r="I9" s="158">
        <f>H9*(100%-'Données projet'!$C$24)*(100%-'Données projet'!$C$25)*(100%-'Données projet'!$C$26)*(100%-'Données projet'!$C$27)</f>
        <v>1.7106738444551815E-2</v>
      </c>
      <c r="J9" s="159">
        <f>IF(OR('Données projet'!B12="",'Données projet'!C12="",'Données projet'!C12=0%),0,SUM(Calculateur!$CG$3:$CG$33)*VLOOKUP('Données projet'!$B$12,Paramètres!$A$1:$I$89,9,0)*B9)</f>
        <v>1.2705</v>
      </c>
      <c r="K9" s="160">
        <f>J9*(100%-'Données projet'!$C$24)*(100%-'Données projet'!$C$25)*(100%-'Données projet'!$C$26)*(100%-'Données projet'!$C$27)</f>
        <v>1.1434500000000001</v>
      </c>
      <c r="L9" s="161">
        <f t="shared" ca="1" si="2"/>
        <v>22.255325955801279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179.47204217110931</v>
      </c>
      <c r="G16" s="175">
        <f t="shared" ca="1" si="3"/>
        <v>161.52483795399837</v>
      </c>
      <c r="H16" s="176">
        <f t="shared" si="3"/>
        <v>0.59780038523889534</v>
      </c>
      <c r="I16" s="176">
        <f t="shared" si="3"/>
        <v>0.53802034671500587</v>
      </c>
      <c r="J16" s="177">
        <f t="shared" si="3"/>
        <v>7.8173759999999977</v>
      </c>
      <c r="K16" s="177">
        <f t="shared" si="3"/>
        <v>7.0356383999999981</v>
      </c>
      <c r="L16" s="178">
        <f t="shared" ca="1" si="3"/>
        <v>169.09849670071338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Merisier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Merisier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Merisier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R10" zoomScale="90" zoomScaleNormal="90" workbookViewId="0">
      <selection activeCell="X25" sqref="X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1160.1870293660581</v>
      </c>
      <c r="U10" s="190">
        <f>'Données projet'!D9</f>
        <v>0.48299999999999993</v>
      </c>
      <c r="V10" s="189">
        <f>U10*T10</f>
        <v>560.37033518380599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Merisier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921.20374644507797</v>
      </c>
      <c r="U11" s="190">
        <f>'Données projet'!D10</f>
        <v>6.9999999999999993E-2</v>
      </c>
      <c r="V11" s="189">
        <f t="shared" ref="V11" si="0">U11*T11</f>
        <v>64.484262251155457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Merisier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963.24226095175447</v>
      </c>
      <c r="U12" s="190">
        <f>'Données projet'!D11</f>
        <v>6.9999999999999993E-2</v>
      </c>
      <c r="V12" s="189">
        <f t="shared" ref="V12:V19" si="1">U12*T12</f>
        <v>67.426958266622805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Merisier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963.24226095175447</v>
      </c>
      <c r="U13" s="190">
        <f>'Données projet'!D12</f>
        <v>7.6999999999999999E-2</v>
      </c>
      <c r="V13" s="189">
        <f t="shared" si="1"/>
        <v>74.169654093285089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f>8952*1.1</f>
        <v>9847.2000000000007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500*1.1</f>
        <v>550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f t="shared" ref="I22:I23" si="2">500*1.1</f>
        <v>550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25</v>
      </c>
      <c r="B23" s="193">
        <f>'Données projet'!D36</f>
        <v>20.399999999999999</v>
      </c>
      <c r="C23" s="206">
        <f>8*1.1</f>
        <v>8.8000000000000007</v>
      </c>
      <c r="D23" s="194">
        <f>B23*C23</f>
        <v>179.52</v>
      </c>
      <c r="E23" s="206">
        <f>75+(D23*12%)</f>
        <v>96.542400000000001</v>
      </c>
      <c r="F23" s="261"/>
      <c r="H23" s="203">
        <v>5</v>
      </c>
      <c r="I23" s="204">
        <f t="shared" si="2"/>
        <v>550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-6828.6331932112134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33</v>
      </c>
      <c r="B24" s="193">
        <f>'Données projet'!D37</f>
        <v>38.94</v>
      </c>
      <c r="C24" s="206">
        <f>8*1.1</f>
        <v>8.8000000000000007</v>
      </c>
      <c r="D24" s="194">
        <f t="shared" ref="D24:D42" si="3">B24*C24</f>
        <v>342.67200000000003</v>
      </c>
      <c r="E24" s="206">
        <f t="shared" ref="E24:E27" si="4">75+(D24*12%)</f>
        <v>116.12064000000001</v>
      </c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15266.122222461099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41</v>
      </c>
      <c r="B25" s="193">
        <f>'Données projet'!D38</f>
        <v>60.43</v>
      </c>
      <c r="C25" s="206">
        <f>16*1.1</f>
        <v>17.600000000000001</v>
      </c>
      <c r="D25" s="194">
        <f t="shared" si="3"/>
        <v>1063.568</v>
      </c>
      <c r="E25" s="206">
        <f t="shared" si="4"/>
        <v>202.62815999999998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1007.89</v>
      </c>
      <c r="Q25" s="265"/>
      <c r="R25" s="25"/>
      <c r="S25" s="198" t="s">
        <v>266</v>
      </c>
      <c r="T25" s="341">
        <f ca="1">T23-T24</f>
        <v>-22094.755415672313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52</v>
      </c>
      <c r="B26" s="193">
        <f>'Données projet'!D39</f>
        <v>74.45</v>
      </c>
      <c r="C26" s="206">
        <f>19*1.1</f>
        <v>20.900000000000002</v>
      </c>
      <c r="D26" s="194">
        <f t="shared" si="3"/>
        <v>1556.0050000000001</v>
      </c>
      <c r="E26" s="206">
        <f t="shared" si="4"/>
        <v>261.72059999999999</v>
      </c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60</v>
      </c>
      <c r="B27" s="193">
        <f>'Données projet'!D40</f>
        <v>405.78</v>
      </c>
      <c r="C27" s="206">
        <f>29*1.1</f>
        <v>31.900000000000002</v>
      </c>
      <c r="D27" s="194">
        <f t="shared" si="3"/>
        <v>12944.382</v>
      </c>
      <c r="E27" s="206">
        <f t="shared" si="4"/>
        <v>1628.32584</v>
      </c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3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3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3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21808.746032087285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3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3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3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5">$P$25/(1+$M$4)^O33</f>
        <v>1007.89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3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5"/>
        <v>964.48803827751203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3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5"/>
        <v>922.9550605526432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3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5"/>
        <v>883.21058426090258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3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5"/>
        <v>845.17759259416539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3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5"/>
        <v>808.78238525757445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3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5"/>
        <v>773.95443565318158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3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5"/>
        <v>740.62625421357075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3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5"/>
        <v>708.73325762064212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3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5"/>
        <v>678.21364365611691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5"/>
        <v>649.00827144126026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5"/>
        <v>621.06054683374191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Merisier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5"/>
        <v>594.31631275956181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5"/>
        <v>568.72374426752322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5"/>
        <v>544.23324810289319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5"/>
        <v>520.79736660563935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5"/>
        <v>498.37068574702351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5"/>
        <v>476.90974712633823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5"/>
        <v>456.37296375726157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5"/>
        <v>436.72053948063314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5"/>
        <v>417.91439184749589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27</v>
      </c>
      <c r="C54" s="204">
        <f>13*1.1</f>
        <v>14.3</v>
      </c>
      <c r="D54" s="191">
        <f>B54*C54</f>
        <v>386.1</v>
      </c>
      <c r="E54" s="206">
        <f>75+(D54*12%)</f>
        <v>121.33199999999999</v>
      </c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5"/>
        <v>399.91807832296257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16</v>
      </c>
      <c r="C55" s="204">
        <f>13*1.1</f>
        <v>14.3</v>
      </c>
      <c r="D55" s="191">
        <f t="shared" ref="D55:D73" si="6">B55*C55</f>
        <v>228.8</v>
      </c>
      <c r="E55" s="206">
        <f t="shared" ref="E55:E62" si="7">75+(D55*12%)</f>
        <v>102.456</v>
      </c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5"/>
        <v>382.69672566790689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23</v>
      </c>
      <c r="C56" s="204">
        <f>25*1.1</f>
        <v>27.500000000000004</v>
      </c>
      <c r="D56" s="191">
        <f t="shared" si="6"/>
        <v>632.50000000000011</v>
      </c>
      <c r="E56" s="206">
        <f t="shared" si="7"/>
        <v>150.9</v>
      </c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5"/>
        <v>366.21696236163336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29</v>
      </c>
      <c r="C57" s="204">
        <f>25*1.1</f>
        <v>27.500000000000004</v>
      </c>
      <c r="D57" s="191">
        <f t="shared" si="6"/>
        <v>797.50000000000011</v>
      </c>
      <c r="E57" s="206">
        <f t="shared" si="7"/>
        <v>170.70000000000002</v>
      </c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5"/>
        <v>350.44685393457746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32</v>
      </c>
      <c r="C58" s="204">
        <f t="shared" ref="C58:C59" si="8">25*1.1</f>
        <v>27.500000000000004</v>
      </c>
      <c r="D58" s="191">
        <f t="shared" si="6"/>
        <v>880.00000000000011</v>
      </c>
      <c r="E58" s="206">
        <f t="shared" si="7"/>
        <v>180.60000000000002</v>
      </c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5"/>
        <v>335.35584108572004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36</v>
      </c>
      <c r="C59" s="204">
        <f t="shared" si="8"/>
        <v>27.500000000000004</v>
      </c>
      <c r="D59" s="191">
        <f t="shared" si="6"/>
        <v>990.00000000000011</v>
      </c>
      <c r="E59" s="206">
        <f t="shared" si="7"/>
        <v>193.8</v>
      </c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5"/>
        <v>320.91468046480401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35</v>
      </c>
      <c r="C60" s="204">
        <f>35*1.1</f>
        <v>38.5</v>
      </c>
      <c r="D60" s="191">
        <f t="shared" si="6"/>
        <v>1347.5</v>
      </c>
      <c r="E60" s="206">
        <f t="shared" si="7"/>
        <v>236.7</v>
      </c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5"/>
        <v>307.09538800459711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35</v>
      </c>
      <c r="C61" s="204">
        <f>35*1.1</f>
        <v>38.5</v>
      </c>
      <c r="D61" s="191">
        <f t="shared" si="6"/>
        <v>1347.5</v>
      </c>
      <c r="E61" s="206">
        <f t="shared" si="7"/>
        <v>236.7</v>
      </c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5"/>
        <v>293.87118469339441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37</v>
      </c>
      <c r="C62" s="204">
        <f>40*1.1</f>
        <v>44</v>
      </c>
      <c r="D62" s="191">
        <f t="shared" si="6"/>
        <v>1628</v>
      </c>
      <c r="E62" s="206">
        <f t="shared" si="7"/>
        <v>270.36</v>
      </c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5"/>
        <v>281.21644468267402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6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5"/>
        <v>269.10664562935324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6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5"/>
        <v>257.51832117641453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6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9">$P$25/(1+$M$4)^O65</f>
        <v>246.42901547982265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6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9"/>
        <v>235.81723969361025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6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9"/>
        <v>225.66243032881366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6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9"/>
        <v>215.94490940556329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6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9"/>
        <v>206.64584632111325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6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9"/>
        <v>197.74722135991701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6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9"/>
        <v>189.23179077504022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6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9"/>
        <v>181.08305337324424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6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9"/>
        <v>173.28521853898974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9"/>
        <v>165.82317563539689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9"/>
        <v>158.68246472286788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Merisier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9"/>
        <v>151.84924853862955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9"/>
        <v>145.31028568289909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9"/>
        <v>139.05290495971207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9"/>
        <v>133.06498082269098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9"/>
        <v>127.33490987817319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9"/>
        <v>121.85158840016578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9"/>
        <v>116.60439081355577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9"/>
        <v>111.58314910388114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9"/>
        <v>106.77813311376187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27</v>
      </c>
      <c r="C85" s="204">
        <f>13*1.1</f>
        <v>14.3</v>
      </c>
      <c r="D85" s="191">
        <f>B85*C85</f>
        <v>386.1</v>
      </c>
      <c r="E85" s="206">
        <f>75+(D85*12%)</f>
        <v>121.33199999999999</v>
      </c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9"/>
        <v>102.18003168781041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16</v>
      </c>
      <c r="C86" s="204">
        <f>13*1.1</f>
        <v>14.3</v>
      </c>
      <c r="D86" s="191">
        <f t="shared" ref="D86:D104" si="10">B86*C86</f>
        <v>228.8</v>
      </c>
      <c r="E86" s="206">
        <f t="shared" ref="E86:E93" si="11">75+(D86*12%)</f>
        <v>102.456</v>
      </c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9"/>
        <v>97.779934629483648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23</v>
      </c>
      <c r="C87" s="204">
        <f>25*1.1</f>
        <v>27.500000000000004</v>
      </c>
      <c r="D87" s="191">
        <f t="shared" si="10"/>
        <v>632.50000000000011</v>
      </c>
      <c r="E87" s="206">
        <f t="shared" si="11"/>
        <v>150.9</v>
      </c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9"/>
        <v>93.569315434912625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29</v>
      </c>
      <c r="C88" s="204">
        <f>25*1.1</f>
        <v>27.500000000000004</v>
      </c>
      <c r="D88" s="191">
        <f t="shared" si="10"/>
        <v>797.50000000000011</v>
      </c>
      <c r="E88" s="206">
        <f t="shared" si="11"/>
        <v>170.70000000000002</v>
      </c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9"/>
        <v>89.54001477025129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32</v>
      </c>
      <c r="C89" s="204">
        <f t="shared" ref="C89:C90" si="12">25*1.1</f>
        <v>27.500000000000004</v>
      </c>
      <c r="D89" s="191">
        <f t="shared" si="10"/>
        <v>880.00000000000011</v>
      </c>
      <c r="E89" s="206">
        <f t="shared" si="11"/>
        <v>180.60000000000002</v>
      </c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9"/>
        <v>85.684224660527576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36</v>
      </c>
      <c r="C90" s="204">
        <f t="shared" si="12"/>
        <v>27.500000000000004</v>
      </c>
      <c r="D90" s="191">
        <f t="shared" si="10"/>
        <v>990.00000000000011</v>
      </c>
      <c r="E90" s="206">
        <f t="shared" si="11"/>
        <v>193.8</v>
      </c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9"/>
        <v>81.994473359356547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35</v>
      </c>
      <c r="C91" s="204">
        <f>35*1.1</f>
        <v>38.5</v>
      </c>
      <c r="D91" s="191">
        <f t="shared" si="10"/>
        <v>1347.5</v>
      </c>
      <c r="E91" s="206">
        <f t="shared" si="11"/>
        <v>236.7</v>
      </c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9"/>
        <v>78.46361087019767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55</v>
      </c>
      <c r="B92" s="193">
        <f>'Données projet'!D95</f>
        <v>35</v>
      </c>
      <c r="C92" s="204">
        <f>35*1.1</f>
        <v>38.5</v>
      </c>
      <c r="D92" s="191">
        <f t="shared" si="10"/>
        <v>1347.5</v>
      </c>
      <c r="E92" s="206">
        <f t="shared" si="11"/>
        <v>236.7</v>
      </c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9"/>
        <v>75.084795091098243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37</v>
      </c>
      <c r="C93" s="204">
        <f>40*1.1</f>
        <v>44</v>
      </c>
      <c r="D93" s="191">
        <f t="shared" si="10"/>
        <v>1628</v>
      </c>
      <c r="E93" s="206">
        <f t="shared" si="11"/>
        <v>270.36</v>
      </c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9"/>
        <v>71.851478556074895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10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9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10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9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10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9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10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13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10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13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10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13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10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13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10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13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10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13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10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13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10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13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13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13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Merisier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13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13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13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13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13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13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13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13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13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27</v>
      </c>
      <c r="C116" s="204">
        <f>13*1.1</f>
        <v>14.3</v>
      </c>
      <c r="D116" s="191">
        <f>B116*C116</f>
        <v>386.1</v>
      </c>
      <c r="E116" s="206">
        <f>75+(D116*12%)</f>
        <v>121.33199999999999</v>
      </c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13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25</v>
      </c>
      <c r="B117" s="193">
        <f>'Données projet'!D115</f>
        <v>16</v>
      </c>
      <c r="C117" s="204">
        <f>13*1.1</f>
        <v>14.3</v>
      </c>
      <c r="D117" s="191">
        <f t="shared" ref="D117:D135" si="14">B117*C117</f>
        <v>228.8</v>
      </c>
      <c r="E117" s="206">
        <f t="shared" ref="E117:E124" si="15">75+(D117*12%)</f>
        <v>102.456</v>
      </c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13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30</v>
      </c>
      <c r="B118" s="193">
        <f>'Données projet'!D116</f>
        <v>23</v>
      </c>
      <c r="C118" s="204">
        <f>25*1.1</f>
        <v>27.500000000000004</v>
      </c>
      <c r="D118" s="191">
        <f t="shared" si="14"/>
        <v>632.50000000000011</v>
      </c>
      <c r="E118" s="206">
        <f t="shared" si="15"/>
        <v>150.9</v>
      </c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13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35</v>
      </c>
      <c r="B119" s="193">
        <f>'Données projet'!D117</f>
        <v>29</v>
      </c>
      <c r="C119" s="204">
        <f>25*1.1</f>
        <v>27.500000000000004</v>
      </c>
      <c r="D119" s="191">
        <f t="shared" si="14"/>
        <v>797.50000000000011</v>
      </c>
      <c r="E119" s="206">
        <f t="shared" si="15"/>
        <v>170.70000000000002</v>
      </c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13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40</v>
      </c>
      <c r="B120" s="193">
        <f>'Données projet'!D118</f>
        <v>32</v>
      </c>
      <c r="C120" s="204">
        <f t="shared" ref="C120:C121" si="16">25*1.1</f>
        <v>27.500000000000004</v>
      </c>
      <c r="D120" s="191">
        <f t="shared" si="14"/>
        <v>880.00000000000011</v>
      </c>
      <c r="E120" s="206">
        <f t="shared" si="15"/>
        <v>180.60000000000002</v>
      </c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13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45</v>
      </c>
      <c r="B121" s="193">
        <f>'Données projet'!D119</f>
        <v>36</v>
      </c>
      <c r="C121" s="204">
        <f t="shared" si="16"/>
        <v>27.500000000000004</v>
      </c>
      <c r="D121" s="191">
        <f t="shared" si="14"/>
        <v>990.00000000000011</v>
      </c>
      <c r="E121" s="206">
        <f t="shared" si="15"/>
        <v>193.8</v>
      </c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13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50</v>
      </c>
      <c r="B122" s="193">
        <f>'Données projet'!D120</f>
        <v>35</v>
      </c>
      <c r="C122" s="204">
        <f>35*1.1</f>
        <v>38.5</v>
      </c>
      <c r="D122" s="191">
        <f t="shared" si="14"/>
        <v>1347.5</v>
      </c>
      <c r="E122" s="206">
        <f t="shared" si="15"/>
        <v>236.7</v>
      </c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13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55</v>
      </c>
      <c r="B123" s="193">
        <f>'Données projet'!D121</f>
        <v>35</v>
      </c>
      <c r="C123" s="204">
        <f>35*1.1</f>
        <v>38.5</v>
      </c>
      <c r="D123" s="191">
        <f t="shared" si="14"/>
        <v>1347.5</v>
      </c>
      <c r="E123" s="206">
        <f t="shared" si="15"/>
        <v>236.7</v>
      </c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13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60</v>
      </c>
      <c r="B124" s="193">
        <f>'Données projet'!D122</f>
        <v>37</v>
      </c>
      <c r="C124" s="204">
        <f>40*1.1</f>
        <v>44</v>
      </c>
      <c r="D124" s="191">
        <f t="shared" si="14"/>
        <v>1628</v>
      </c>
      <c r="E124" s="206">
        <f t="shared" si="15"/>
        <v>270.36</v>
      </c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13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14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13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14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13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14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13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14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13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14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7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14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7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14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7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14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7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14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14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14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8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8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8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8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8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8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8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8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8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8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8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8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8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8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8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8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8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8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8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9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9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9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9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9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9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9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9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9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9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9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9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9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9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9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9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9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9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9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20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20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20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20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20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20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20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20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20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20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20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20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20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20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20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20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20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20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20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21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21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21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21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21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21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21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21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21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21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21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21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21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21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21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21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21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21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21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22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22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22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22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22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22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22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22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22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22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22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22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22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22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22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22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22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22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22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23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23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23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23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23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23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23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23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23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23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23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23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23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23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23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23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23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23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23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2022-05-30T14:24:15Z</dcterms:modified>
</cp:coreProperties>
</file>