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Q:\GCF\ENVIRONNEMENT\7_CARBONE\Coopératives\AFB\Projets_LBC\Projets_Tests\Agence Poitou-ValdeLoire-Bretagne\Projet Lombron_102021\"/>
    </mc:Choice>
  </mc:AlternateContent>
  <bookViews>
    <workbookView xWindow="0" yWindow="0" windowWidth="28800" windowHeight="12700" tabRatio="866" activeTab="1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32" i="1" l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94" i="1"/>
  <c r="B93" i="1"/>
  <c r="B92" i="1"/>
  <c r="B91" i="1"/>
  <c r="B90" i="1"/>
  <c r="B89" i="1"/>
  <c r="B88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I24" i="6" l="1"/>
  <c r="I23" i="6"/>
  <c r="I22" i="6"/>
  <c r="I21" i="6" l="1"/>
  <c r="I20" i="6"/>
  <c r="E110" i="6"/>
  <c r="E79" i="6"/>
  <c r="E48" i="6"/>
  <c r="E17" i="6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A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G14" i="2" l="1"/>
  <c r="HH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H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EV21" i="2" s="1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HH22" i="2"/>
  <c r="HG22" i="2"/>
  <c r="EB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HG33" i="2"/>
  <c r="EW33" i="2"/>
  <c r="HH33" i="2"/>
  <c r="EA33" i="2"/>
  <c r="EV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CM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G38" i="2"/>
  <c r="FS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HG40" i="2" s="1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EA42" i="2" s="1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V42" i="2" l="1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HI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B57" i="2"/>
  <c r="HG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A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X72" i="2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H75" i="2" l="1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A77" i="2" l="1"/>
  <c r="EW77" i="2"/>
  <c r="HI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HG95" i="2" l="1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FS98" i="2"/>
  <c r="EX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B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HG107" i="2" l="1"/>
  <c r="EB107" i="2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G110" i="2" l="1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EC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X113" i="2" l="1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FS128" i="2" l="1"/>
  <c r="HG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G130" i="2" s="1"/>
  <c r="HE130" i="2"/>
  <c r="HH130" i="2" s="1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W130" i="2" l="1"/>
  <c r="EB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EW134" i="2" s="1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EB138" i="2" s="1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C138" i="2" l="1"/>
  <c r="EV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HH139" i="2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HG145" i="2" l="1"/>
  <c r="EB145" i="2"/>
  <c r="FR145" i="2"/>
  <c r="EA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EA146" i="2"/>
  <c r="HH146" i="2"/>
  <c r="FR146" i="2"/>
  <c r="HG146" i="2"/>
  <c r="FS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H150" i="2"/>
  <c r="HG150" i="2"/>
  <c r="EV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X151" i="2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HH155" i="2" l="1"/>
  <c r="AC154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FS156" i="2" l="1"/>
  <c r="HI156" i="2"/>
  <c r="AB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CN156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HH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G160" i="2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B163" i="2" l="1"/>
  <c r="HH163" i="2"/>
  <c r="EV163" i="2"/>
  <c r="HG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I163" i="2" l="1"/>
  <c r="EA164" i="2"/>
  <c r="EV164" i="2"/>
  <c r="EX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CN165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EA167" i="2"/>
  <c r="HH167" i="2"/>
  <c r="EB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V172" i="2"/>
  <c r="EA172" i="2"/>
  <c r="HI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C173" i="2" l="1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EC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HI175" i="2" l="1"/>
  <c r="EW175" i="2"/>
  <c r="EA175" i="2"/>
  <c r="FS175" i="2"/>
  <c r="EB175" i="2"/>
  <c r="AA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C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HH178" i="2"/>
  <c r="EB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C180" i="2" l="1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D180" i="2" s="1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X183" i="2" l="1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I185" i="2"/>
  <c r="EW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A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W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EC192" i="2"/>
  <c r="EW192" i="2"/>
  <c r="HG192" i="2"/>
  <c r="EV192" i="2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FQ194" i="2"/>
  <c r="CN193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G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EW197" i="2" l="1"/>
  <c r="EC197" i="2"/>
  <c r="EA197" i="2"/>
  <c r="A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EB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HI200" i="2" l="1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G202" i="2" l="1"/>
  <c r="FR202" i="2"/>
  <c r="EX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FD82" i="2" a="1"/>
  <c r="FD82" i="2" s="1"/>
  <c r="DN187" i="2" a="1"/>
  <c r="DN187" i="2" s="1"/>
  <c r="HJ202" i="2"/>
  <c r="EY202" i="2"/>
  <c r="AX200" i="2"/>
  <c r="HG203" i="2" l="1"/>
  <c r="FR203" i="2"/>
  <c r="BX107" i="2" a="1"/>
  <c r="BX107" i="2" s="1"/>
  <c r="AH151" i="2" a="1"/>
  <c r="AH151" i="2" s="1"/>
  <c r="AH62" i="2" a="1"/>
  <c r="AH62" i="2" s="1"/>
  <c r="AH199" i="2" a="1"/>
  <c r="AH199" i="2" s="1"/>
  <c r="AH19" i="2" a="1"/>
  <c r="AH19" i="2" s="1"/>
  <c r="AH90" i="2" a="1"/>
  <c r="AH90" i="2" s="1"/>
  <c r="AH166" i="2" a="1"/>
  <c r="AH166" i="2" s="1"/>
  <c r="AH92" i="2" a="1"/>
  <c r="AH92" i="2" s="1"/>
  <c r="AH163" i="2" a="1"/>
  <c r="AH163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CD49" i="2" l="1"/>
  <c r="CD122" i="2"/>
  <c r="CD31" i="2"/>
  <c r="CD193" i="2"/>
  <c r="CD141" i="2"/>
  <c r="CD23" i="2"/>
  <c r="CD84" i="2"/>
  <c r="CD4" i="2"/>
  <c r="CD162" i="2"/>
  <c r="CD85" i="2"/>
  <c r="CD55" i="2"/>
  <c r="CD123" i="2"/>
  <c r="CD148" i="2"/>
  <c r="CD130" i="2"/>
  <c r="CD195" i="2"/>
  <c r="CD194" i="2"/>
  <c r="CD16" i="2"/>
  <c r="CD189" i="2"/>
  <c r="CD156" i="2"/>
  <c r="CD98" i="2"/>
  <c r="CD67" i="2"/>
  <c r="CD100" i="2"/>
  <c r="CD21" i="2"/>
  <c r="CD120" i="2"/>
  <c r="CD79" i="2"/>
  <c r="CD14" i="2"/>
  <c r="CD114" i="2"/>
  <c r="CD176" i="2"/>
  <c r="CD138" i="2"/>
  <c r="CD87" i="2"/>
  <c r="CD111" i="2"/>
  <c r="CD199" i="2"/>
  <c r="CD132" i="2"/>
  <c r="CD200" i="2"/>
  <c r="CD48" i="2"/>
  <c r="CD71" i="2"/>
  <c r="CD190" i="2"/>
  <c r="CD182" i="2"/>
  <c r="CD94" i="2"/>
  <c r="CD19" i="2"/>
  <c r="CD150" i="2"/>
  <c r="CD15" i="2"/>
  <c r="CD74" i="2"/>
  <c r="CD110" i="2"/>
  <c r="CD9" i="2"/>
  <c r="CD179" i="2"/>
  <c r="CD17" i="2"/>
  <c r="CD145" i="2"/>
  <c r="CD160" i="2"/>
  <c r="CD69" i="2"/>
  <c r="CD143" i="2"/>
  <c r="CD5" i="2"/>
  <c r="CD158" i="2"/>
  <c r="CD104" i="2"/>
  <c r="CD6" i="2"/>
  <c r="CD109" i="2"/>
  <c r="CD91" i="2"/>
  <c r="CD77" i="2"/>
  <c r="CD41" i="2"/>
  <c r="CD29" i="2"/>
  <c r="CD119" i="2"/>
  <c r="CD43" i="2"/>
  <c r="CD89" i="2"/>
  <c r="CD117" i="2"/>
  <c r="CD125" i="2"/>
  <c r="CD27" i="2"/>
  <c r="CD198" i="2"/>
  <c r="CD88" i="2"/>
  <c r="CD39" i="2"/>
  <c r="CD116" i="2"/>
  <c r="CD142" i="2"/>
  <c r="CD26" i="2"/>
  <c r="CD140" i="2"/>
  <c r="CD60" i="2"/>
  <c r="CD105" i="2"/>
  <c r="CD22" i="2"/>
  <c r="CD159" i="2"/>
  <c r="CD191" i="2"/>
  <c r="CD107" i="2"/>
  <c r="CD146" i="2"/>
  <c r="CD139" i="2"/>
  <c r="CD170" i="2"/>
  <c r="CD172" i="2"/>
  <c r="CD53" i="2"/>
  <c r="CD45" i="2"/>
  <c r="CD180" i="2"/>
  <c r="CD187" i="2"/>
  <c r="CD76" i="2"/>
  <c r="CD183" i="2"/>
  <c r="CD92" i="2"/>
  <c r="CD34" i="2"/>
  <c r="CD24" i="2"/>
  <c r="CD174" i="2"/>
  <c r="CD178" i="2"/>
  <c r="CD197" i="2"/>
  <c r="CD164" i="2"/>
  <c r="CD169" i="2"/>
  <c r="CD129" i="2"/>
  <c r="CD131" i="2"/>
  <c r="CD62" i="2"/>
  <c r="CD8" i="2"/>
  <c r="CD102" i="2"/>
  <c r="CD137" i="2"/>
  <c r="CD54" i="2"/>
  <c r="CD61" i="2"/>
  <c r="CD188" i="2"/>
  <c r="CD181" i="2"/>
  <c r="CD103" i="2"/>
  <c r="CD33" i="2"/>
  <c r="CD147" i="2"/>
  <c r="CD133" i="2"/>
  <c r="CD101" i="2"/>
  <c r="CD36" i="2"/>
  <c r="CD126" i="2"/>
  <c r="CD184" i="2"/>
  <c r="CD63" i="2"/>
  <c r="CD44" i="2"/>
  <c r="CD124" i="2"/>
  <c r="CD168" i="2"/>
  <c r="CD106" i="2"/>
  <c r="CD128" i="2"/>
  <c r="CD18" i="2"/>
  <c r="CD154" i="2"/>
  <c r="CD96" i="2"/>
  <c r="CD37" i="2"/>
  <c r="CD40" i="2"/>
  <c r="CD86" i="2"/>
  <c r="CD13" i="2"/>
  <c r="CD136" i="2"/>
  <c r="CD59" i="2"/>
  <c r="CD155" i="2"/>
  <c r="CD115" i="2"/>
  <c r="CD66" i="2"/>
  <c r="CD12" i="2"/>
  <c r="CD20" i="2"/>
  <c r="CD82" i="2"/>
  <c r="CD38" i="2"/>
  <c r="CD51" i="2"/>
  <c r="CD28" i="2"/>
  <c r="CD65" i="2"/>
  <c r="CD56" i="2"/>
  <c r="CD165" i="2"/>
  <c r="CD47" i="2"/>
  <c r="CD112" i="2"/>
  <c r="CD118" i="2"/>
  <c r="CD35" i="2"/>
  <c r="CD80" i="2"/>
  <c r="CD144" i="2"/>
  <c r="CD135" i="2"/>
  <c r="CD93" i="2"/>
  <c r="CD175" i="2"/>
  <c r="CD57" i="2"/>
  <c r="CD151" i="2"/>
  <c r="CD25" i="2"/>
  <c r="CD149" i="2"/>
  <c r="CD58" i="2"/>
  <c r="CD95" i="2"/>
  <c r="CD72" i="2"/>
  <c r="CD73" i="2"/>
  <c r="CD81" i="2"/>
  <c r="CD127" i="2"/>
  <c r="CD171" i="2"/>
  <c r="CD121" i="2"/>
  <c r="CD186" i="2"/>
  <c r="CD192" i="2"/>
  <c r="CD68" i="2"/>
  <c r="CD70" i="2"/>
  <c r="CD134" i="2"/>
  <c r="CD202" i="2"/>
  <c r="CD83" i="2"/>
  <c r="CD177" i="2"/>
  <c r="CD32" i="2"/>
  <c r="CD113" i="2"/>
  <c r="CD7" i="2"/>
  <c r="CD97" i="2"/>
  <c r="CD201" i="2"/>
  <c r="CD108" i="2"/>
  <c r="CD152" i="2"/>
  <c r="CD157" i="2"/>
  <c r="CD11" i="2"/>
  <c r="CD30" i="2"/>
  <c r="CD52" i="2"/>
  <c r="CD153" i="2"/>
  <c r="CD196" i="2"/>
  <c r="CD203" i="2"/>
  <c r="CD10" i="2"/>
  <c r="CD173" i="2"/>
  <c r="CD161" i="2"/>
  <c r="CD50" i="2"/>
  <c r="CD78" i="2"/>
  <c r="CD42" i="2"/>
  <c r="CD167" i="2"/>
  <c r="CD185" i="2"/>
  <c r="CD75" i="2"/>
  <c r="CD163" i="2"/>
  <c r="CD3" i="2"/>
  <c r="C9" i="4" s="1"/>
  <c r="E9" i="4" s="1"/>
  <c r="F9" i="4" s="1"/>
  <c r="G9" i="4" s="1"/>
  <c r="L9" i="4" s="1"/>
  <c r="CD64" i="2"/>
  <c r="CD90" i="2"/>
  <c r="CD166" i="2"/>
  <c r="CD99" i="2"/>
  <c r="CD46" i="2"/>
  <c r="FE120" i="2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I47" i="2" l="1"/>
  <c r="BI130" i="2"/>
  <c r="BI15" i="2"/>
  <c r="BI187" i="2"/>
  <c r="BI177" i="2"/>
  <c r="BI199" i="2"/>
  <c r="BI197" i="2"/>
  <c r="BI112" i="2"/>
  <c r="BI173" i="2"/>
  <c r="BI95" i="2"/>
  <c r="BI178" i="2"/>
  <c r="BI10" i="2"/>
  <c r="BI151" i="2"/>
  <c r="BI140" i="2"/>
  <c r="BI34" i="2"/>
  <c r="BI110" i="2"/>
  <c r="BI198" i="2"/>
  <c r="BI89" i="2"/>
  <c r="BI92" i="2"/>
  <c r="BI56" i="2"/>
  <c r="BI201" i="2"/>
  <c r="BI108" i="2"/>
  <c r="BI102" i="2"/>
  <c r="BI100" i="2"/>
  <c r="BI115" i="2"/>
  <c r="BI135" i="2"/>
  <c r="BI11" i="2"/>
  <c r="BI70" i="2"/>
  <c r="BI119" i="2"/>
  <c r="BI109" i="2"/>
  <c r="BI133" i="2"/>
  <c r="BI149" i="2"/>
  <c r="BI146" i="2"/>
  <c r="BI90" i="2"/>
  <c r="BI113" i="2"/>
  <c r="BI20" i="2"/>
  <c r="BI101" i="2"/>
  <c r="BI88" i="2"/>
  <c r="BI181" i="2"/>
  <c r="BI97" i="2"/>
  <c r="BI136" i="2"/>
  <c r="BI166" i="2"/>
  <c r="BI44" i="2"/>
  <c r="BI49" i="2"/>
  <c r="BI85" i="2"/>
  <c r="BI51" i="2"/>
  <c r="BI189" i="2"/>
  <c r="BI114" i="2"/>
  <c r="BI124" i="2"/>
  <c r="BI138" i="2"/>
  <c r="BI74" i="2"/>
  <c r="BI45" i="2"/>
  <c r="BI26" i="2"/>
  <c r="BI156" i="2"/>
  <c r="BI182" i="2"/>
  <c r="BI202" i="2"/>
  <c r="BI60" i="2"/>
  <c r="BI196" i="2"/>
  <c r="BI154" i="2"/>
  <c r="BI36" i="2"/>
  <c r="BI163" i="2"/>
  <c r="BI158" i="2"/>
  <c r="BI195" i="2"/>
  <c r="BI171" i="2"/>
  <c r="BI71" i="2"/>
  <c r="BI91" i="2"/>
  <c r="BI118" i="2"/>
  <c r="BI142" i="2"/>
  <c r="BI32" i="2"/>
  <c r="BI64" i="2"/>
  <c r="BI54" i="2"/>
  <c r="BI94" i="2"/>
  <c r="BI52" i="2"/>
  <c r="BI192" i="2"/>
  <c r="BI185" i="2"/>
  <c r="BI14" i="2"/>
  <c r="BI176" i="2"/>
  <c r="BI172" i="2"/>
  <c r="BI46" i="2"/>
  <c r="BI144" i="2"/>
  <c r="BI21" i="2"/>
  <c r="BI28" i="2"/>
  <c r="BI57" i="2"/>
  <c r="BI161" i="2"/>
  <c r="BI155" i="2"/>
  <c r="BI42" i="2"/>
  <c r="BI77" i="2"/>
  <c r="BI41" i="2"/>
  <c r="BI25" i="2"/>
  <c r="BI121" i="2"/>
  <c r="BI160" i="2"/>
  <c r="BI143" i="2"/>
  <c r="BI127" i="2"/>
  <c r="BI191" i="2"/>
  <c r="BI17" i="2"/>
  <c r="BI96" i="2"/>
  <c r="BI13" i="2"/>
  <c r="BI40" i="2"/>
  <c r="BI184" i="2"/>
  <c r="BI170" i="2"/>
  <c r="BI129" i="2"/>
  <c r="BI78" i="2"/>
  <c r="BI33" i="2"/>
  <c r="BI103" i="2"/>
  <c r="BI179" i="2"/>
  <c r="BI75" i="2"/>
  <c r="BI105" i="2"/>
  <c r="BI141" i="2"/>
  <c r="BI159" i="2"/>
  <c r="BI48" i="2"/>
  <c r="BI169" i="2"/>
  <c r="BI190" i="2"/>
  <c r="BI203" i="2"/>
  <c r="BI150" i="2"/>
  <c r="BI104" i="2"/>
  <c r="BI12" i="2"/>
  <c r="BI194" i="2"/>
  <c r="BI147" i="2"/>
  <c r="BI128" i="2"/>
  <c r="BI24" i="2"/>
  <c r="BI162" i="2"/>
  <c r="BI186" i="2"/>
  <c r="BI55" i="2"/>
  <c r="BI23" i="2"/>
  <c r="BI200" i="2"/>
  <c r="BI53" i="2"/>
  <c r="BI120" i="2"/>
  <c r="BI81" i="2"/>
  <c r="BI183" i="2"/>
  <c r="BI62" i="2"/>
  <c r="BI29" i="2"/>
  <c r="BI5" i="2"/>
  <c r="BI134" i="2"/>
  <c r="BI164" i="2"/>
  <c r="BI188" i="2"/>
  <c r="BI43" i="2"/>
  <c r="BI69" i="2"/>
  <c r="BI58" i="2"/>
  <c r="BI59" i="2"/>
  <c r="BI3" i="2"/>
  <c r="C8" i="4" s="1"/>
  <c r="E8" i="4" s="1"/>
  <c r="F8" i="4" s="1"/>
  <c r="G8" i="4" s="1"/>
  <c r="L8" i="4" s="1"/>
  <c r="BI132" i="2"/>
  <c r="BI153" i="2"/>
  <c r="BI131" i="2"/>
  <c r="BI174" i="2"/>
  <c r="BI167" i="2"/>
  <c r="BI145" i="2"/>
  <c r="BI84" i="2"/>
  <c r="BI68" i="2"/>
  <c r="BI61" i="2"/>
  <c r="BI50" i="2"/>
  <c r="BI22" i="2"/>
  <c r="BI72" i="2"/>
  <c r="BI67" i="2"/>
  <c r="BI152" i="2"/>
  <c r="BI123" i="2"/>
  <c r="BI66" i="2"/>
  <c r="BI122" i="2"/>
  <c r="BI31" i="2"/>
  <c r="BI106" i="2"/>
  <c r="BI98" i="2"/>
  <c r="BI65" i="2"/>
  <c r="BI39" i="2"/>
  <c r="BI19" i="2"/>
  <c r="BI180" i="2"/>
  <c r="BI87" i="2"/>
  <c r="BI79" i="2"/>
  <c r="BI157" i="2"/>
  <c r="BI126" i="2"/>
  <c r="BI6" i="2"/>
  <c r="BI73" i="2"/>
  <c r="BI37" i="2"/>
  <c r="BI86" i="2"/>
  <c r="BI9" i="2"/>
  <c r="BI111" i="2"/>
  <c r="BI30" i="2"/>
  <c r="BI117" i="2"/>
  <c r="BI139" i="2"/>
  <c r="BI7" i="2"/>
  <c r="BI18" i="2"/>
  <c r="BI193" i="2"/>
  <c r="BI4" i="2"/>
  <c r="BI168" i="2"/>
  <c r="BI82" i="2"/>
  <c r="BI27" i="2"/>
  <c r="BI116" i="2"/>
  <c r="BI175" i="2"/>
  <c r="BI125" i="2"/>
  <c r="BI16" i="2"/>
  <c r="BI83" i="2"/>
  <c r="BI165" i="2"/>
  <c r="BI63" i="2"/>
  <c r="BI38" i="2"/>
  <c r="BI80" i="2"/>
  <c r="BI148" i="2"/>
  <c r="BI137" i="2"/>
  <c r="BI35" i="2"/>
  <c r="BI93" i="2"/>
  <c r="BI8" i="2"/>
  <c r="BI99" i="2"/>
  <c r="BI76" i="2"/>
  <c r="BI107" i="2"/>
  <c r="BF119" i="2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<sst xmlns="http://schemas.openxmlformats.org/spreadsheetml/2006/main" count="1174" uniqueCount="325">
  <si>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</si>
  <si>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</si>
  <si>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</si>
  <si>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</si>
  <si>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</si>
  <si>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</si>
  <si>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</si>
  <si>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</si>
  <si>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</si>
  <si>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</si>
  <si>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</si>
  <si>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</si>
  <si>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</si>
  <si>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</si>
  <si>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</si>
  <si>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</si>
  <si>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</si>
  <si>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</si>
  <si>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</si>
  <si>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</si>
  <si>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</si>
  <si>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</si>
  <si>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</si>
  <si>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</si>
  <si>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</si>
  <si>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</si>
  <si>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</si>
  <si>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</si>
  <si>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</si>
  <si>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</si>
  <si>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</si>
  <si>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</si>
  <si>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</si>
  <si>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</si>
  <si>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</si>
  <si>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</si>
  <si>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</si>
  <si>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</si>
  <si>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</si>
  <si>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</si>
  <si>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</si>
  <si>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</si>
  <si>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</si>
  <si>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</si>
  <si>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</si>
  <si>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</si>
  <si>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</si>
  <si>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</si>
  <si>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</si>
  <si>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</si>
  <si>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</si>
  <si>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</si>
  <si>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</si>
  <si>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</si>
  <si>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</si>
  <si>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</si>
  <si>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</si>
  <si>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</si>
  <si>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</si>
  <si>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</si>
  <si>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</si>
  <si>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</si>
  <si>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</si>
  <si>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</si>
  <si>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</si>
  <si>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</si>
  <si>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</si>
  <si>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</si>
  <si>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</si>
  <si>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</si>
  <si>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</si>
  <si>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</si>
  <si>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</si>
  <si>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</si>
  <si>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</si>
  <si>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</si>
  <si>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</si>
  <si>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</si>
  <si>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</si>
  <si>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</si>
  <si>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</si>
  <si>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</si>
  <si>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</si>
  <si>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</si>
  <si>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</si>
  <si>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</si>
  <si>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</si>
  <si>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</si>
  <si>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</si>
  <si>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</si>
  <si>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</si>
  <si>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</si>
  <si>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</si>
  <si>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</si>
  <si>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</si>
  <si>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</si>
  <si>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</si>
  <si>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</si>
  <si>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</si>
  <si>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</si>
  <si>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</si>
  <si>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</si>
  <si>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</si>
  <si>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</si>
  <si>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</si>
  <si>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</si>
  <si>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</si>
  <si>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</si>
  <si>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</si>
  <si>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</si>
  <si>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</si>
  <si>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</si>
  <si>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</si>
  <si>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</si>
  <si>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</si>
  <si>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</si>
  <si>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</si>
  <si>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</si>
  <si>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</si>
  <si>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</si>
  <si>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</si>
  <si>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</si>
  <si>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</si>
  <si>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</si>
  <si>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</si>
  <si>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</si>
  <si>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</si>
  <si>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</si>
  <si>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</si>
  <si>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</si>
  <si>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</si>
  <si>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</si>
  <si>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</si>
  <si>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</si>
  <si>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</si>
  <si>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</si>
  <si>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</si>
  <si>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</si>
  <si>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</si>
  <si>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</si>
  <si>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</si>
  <si>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</si>
  <si>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</si>
  <si>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</si>
  <si>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</si>
  <si>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</si>
  <si>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</si>
  <si>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</si>
  <si>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</si>
  <si>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</si>
  <si>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</si>
  <si>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</si>
  <si>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</si>
  <si>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</si>
  <si>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</si>
  <si>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</si>
  <si>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</si>
  <si>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</si>
  <si>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</si>
  <si>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</si>
  <si>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</si>
  <si>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</si>
  <si>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</si>
  <si>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</si>
  <si>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</si>
  <si>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</si>
  <si>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</si>
  <si>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</si>
  <si>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</si>
  <si>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</si>
  <si>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</si>
  <si>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</si>
  <si>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</si>
  <si>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</si>
  <si>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</si>
  <si>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</si>
  <si>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</si>
  <si>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</si>
  <si>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</si>
  <si>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</si>
  <si>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</si>
  <si>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</si>
  <si>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</si>
  <si>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</si>
  <si>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</si>
  <si>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</si>
  <si>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</si>
  <si>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</si>
  <si>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</si>
  <si>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</si>
  <si>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</si>
  <si>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</si>
  <si>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</si>
  <si>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</si>
  <si>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</si>
  <si>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</si>
  <si>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</si>
  <si>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</si>
  <si>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</si>
  <si>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</si>
  <si>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</si>
  <si>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</si>
  <si>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</si>
  <si>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</si>
  <si>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</si>
  <si>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</si>
  <si>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</si>
  <si>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</si>
  <si>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</si>
  <si>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</si>
  <si>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</si>
  <si>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</si>
  <si>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</si>
  <si>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</si>
  <si>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</si>
  <si>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</si>
  <si>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</si>
  <si>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</si>
  <si>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</si>
  <si>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</si>
  <si>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</si>
  <si>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</si>
  <si>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</si>
  <si>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</si>
  <si>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</si>
  <si>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</si>
  <si>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</si>
  <si>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</si>
  <si>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</si>
  <si>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</si>
  <si>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</si>
  <si>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</si>
  <si>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</si>
  <si>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</si>
  <si>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</si>
  <si>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</si>
  <si>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</si>
  <si>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</si>
  <si>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</si>
  <si>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</si>
  <si>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</si>
  <si>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</si>
  <si>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</si>
  <si>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</si>
  <si>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</si>
  <si>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</si>
  <si>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</si>
  <si>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</si>
  <si>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</si>
  <si>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</si>
  <si>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</si>
  <si>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</si>
  <si>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</si>
  <si>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</si>
  <si>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</si>
  <si>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</si>
  <si>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</si>
  <si>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</si>
  <si>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</si>
  <si>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</si>
  <si>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</si>
  <si>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</si>
  <si>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</si>
  <si>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</si>
  <si>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</si>
  <si>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</si>
  <si>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</si>
  <si>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</si>
  <si>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</si>
  <si>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</si>
  <si>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</si>
  <si>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</si>
  <si>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</si>
  <si>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</si>
  <si>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</si>
  <si>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</si>
  <si>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</si>
  <si>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</si>
  <si>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</si>
  <si>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</si>
  <si>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</si>
  <si>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</si>
  <si>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</si>
  <si>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</si>
  <si>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</si>
  <si>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</si>
  <si>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</si>
  <si>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</si>
  <si>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</si>
  <si>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</si>
  <si>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</si>
  <si>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</si>
  <si>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</si>
  <si>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</si>
  <si>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</si>
  <si>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</si>
  <si>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</si>
  <si>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</si>
  <si>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</si>
  <si>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</si>
  <si>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</si>
  <si>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</si>
  <si>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</si>
  <si>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</si>
  <si>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</si>
  <si>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</si>
  <si>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</si>
  <si>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</si>
  <si>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</si>
  <si>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</si>
  <si>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</si>
  <si>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</si>
  <si>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</si>
  <si>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</si>
  <si>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</si>
  <si>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</si>
  <si>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</si>
  <si>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</si>
  <si>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</si>
  <si>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</si>
  <si>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</si>
  <si>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</si>
  <si>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</si>
  <si>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</si>
  <si>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Aucun revenu. Acquisition récente. Prairie fauchée une fois par an pour le foin.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</si>
</sst>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138.47942045752964</c:v>
                </c:pt>
                <c:pt idx="22">
                  <c:v>147.86008251943289</c:v>
                </c:pt>
                <c:pt idx="23">
                  <c:v>157.226536630081</c:v>
                </c:pt>
                <c:pt idx="24">
                  <c:v>166.57974956981323</c:v>
                </c:pt>
                <c:pt idx="25">
                  <c:v>175.92057051227536</c:v>
                </c:pt>
                <c:pt idx="26">
                  <c:v>149.69373543126193</c:v>
                </c:pt>
                <c:pt idx="27">
                  <c:v>159.05752681622565</c:v>
                </c:pt>
                <c:pt idx="28">
                  <c:v>168.408251731631</c:v>
                </c:pt>
                <c:pt idx="29">
                  <c:v>177.74673882318038</c:v>
                </c:pt>
                <c:pt idx="30">
                  <c:v>187.07372242622966</c:v>
                </c:pt>
                <c:pt idx="31">
                  <c:v>146.43353271796298</c:v>
                </c:pt>
                <c:pt idx="32">
                  <c:v>156.61609434461192</c:v>
                </c:pt>
                <c:pt idx="33">
                  <c:v>166.78293977832848</c:v>
                </c:pt>
                <c:pt idx="34">
                  <c:v>176.93516310576442</c:v>
                </c:pt>
                <c:pt idx="35">
                  <c:v>187.07372242622966</c:v>
                </c:pt>
                <c:pt idx="36">
                  <c:v>197.19946337106239</c:v>
                </c:pt>
                <c:pt idx="37">
                  <c:v>207.31313753029772</c:v>
                </c:pt>
                <c:pt idx="38">
                  <c:v>167.6536888624527</c:v>
                </c:pt>
                <c:pt idx="39">
                  <c:v>178.67414750598275</c:v>
                </c:pt>
                <c:pt idx="40">
                  <c:v>189.67867707512858</c:v>
                </c:pt>
                <c:pt idx="41">
                  <c:v>200.66833272928136</c:v>
                </c:pt>
                <c:pt idx="42">
                  <c:v>211.64404448548677</c:v>
                </c:pt>
                <c:pt idx="43">
                  <c:v>222.60663792261985</c:v>
                </c:pt>
                <c:pt idx="44">
                  <c:v>233.5568505873855</c:v>
                </c:pt>
                <c:pt idx="45">
                  <c:v>184.9022803714488</c:v>
                </c:pt>
                <c:pt idx="46">
                  <c:v>196.91032732181304</c:v>
                </c:pt>
                <c:pt idx="47">
                  <c:v>208.90137702028542</c:v>
                </c:pt>
                <c:pt idx="48">
                  <c:v>220.87654319528517</c:v>
                </c:pt>
                <c:pt idx="49">
                  <c:v>232.83680883849482</c:v>
                </c:pt>
                <c:pt idx="50">
                  <c:v>244.78304762467158</c:v>
                </c:pt>
                <c:pt idx="51">
                  <c:v>256.71604092575205</c:v>
                </c:pt>
                <c:pt idx="52">
                  <c:v>199.6727821613074</c:v>
                </c:pt>
                <c:pt idx="53">
                  <c:v>213.26359685720604</c:v>
                </c:pt>
                <c:pt idx="54">
                  <c:v>226.83446508061607</c:v>
                </c:pt>
                <c:pt idx="55">
                  <c:v>240.38674870398219</c:v>
                </c:pt>
                <c:pt idx="56">
                  <c:v>253.92164339965282</c:v>
                </c:pt>
                <c:pt idx="57">
                  <c:v>267.44020689106782</c:v>
                </c:pt>
                <c:pt idx="58">
                  <c:v>280.94338118634391</c:v>
                </c:pt>
                <c:pt idx="59">
                  <c:v>294.43201030959904</c:v>
                </c:pt>
                <c:pt idx="60">
                  <c:v>307.90685461043876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8273904"/>
        <c:axId val="-348272272"/>
      </c:scatterChart>
      <c:valAx>
        <c:axId val="-348273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72272"/>
        <c:crosses val="autoZero"/>
        <c:crossBetween val="midCat"/>
      </c:valAx>
      <c:valAx>
        <c:axId val="-348272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73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1749168"/>
        <c:axId val="-241756784"/>
      </c:scatterChart>
      <c:valAx>
        <c:axId val="-241749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56784"/>
        <c:crosses val="autoZero"/>
        <c:crossBetween val="midCat"/>
      </c:valAx>
      <c:valAx>
        <c:axId val="-241756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49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2.7663252338256172</c:v>
                </c:pt>
                <c:pt idx="2">
                  <c:v>3.3122877098209038</c:v>
                </c:pt>
                <c:pt idx="3">
                  <c:v>3.966401906447405</c:v>
                </c:pt>
                <c:pt idx="4">
                  <c:v>4.7501668593059909</c:v>
                </c:pt>
                <c:pt idx="5">
                  <c:v>5.6893692517736758</c:v>
                </c:pt>
                <c:pt idx="6">
                  <c:v>6.8149411073641248</c:v>
                </c:pt>
                <c:pt idx="7">
                  <c:v>8.1639895318585136</c:v>
                </c:pt>
                <c:pt idx="8">
                  <c:v>9.7810331060211926</c:v>
                </c:pt>
                <c:pt idx="9">
                  <c:v>11.719486504501022</c:v>
                </c:pt>
                <c:pt idx="10">
                  <c:v>14.043443300253207</c:v>
                </c:pt>
                <c:pt idx="11">
                  <c:v>16.829816991658799</c:v>
                </c:pt>
                <c:pt idx="12">
                  <c:v>20.170912404444739</c:v>
                </c:pt>
                <c:pt idx="13">
                  <c:v>24.177514185044988</c:v>
                </c:pt>
                <c:pt idx="14">
                  <c:v>28.982596612402116</c:v>
                </c:pt>
                <c:pt idx="15">
                  <c:v>34.745780008276633</c:v>
                </c:pt>
                <c:pt idx="16">
                  <c:v>41.658684339935689</c:v>
                </c:pt>
                <c:pt idx="17">
                  <c:v>49.951361047417038</c:v>
                </c:pt>
                <c:pt idx="18">
                  <c:v>59.900020729580547</c:v>
                </c:pt>
                <c:pt idx="19">
                  <c:v>71.836318339091292</c:v>
                </c:pt>
                <c:pt idx="20">
                  <c:v>86.158510470515978</c:v>
                </c:pt>
                <c:pt idx="21">
                  <c:v>97.318927922969635</c:v>
                </c:pt>
                <c:pt idx="22">
                  <c:v>108.4475019129206</c:v>
                </c:pt>
                <c:pt idx="23">
                  <c:v>119.54796628555846</c:v>
                </c:pt>
                <c:pt idx="24">
                  <c:v>130.62330272297189</c:v>
                </c:pt>
                <c:pt idx="25">
                  <c:v>141.67594470663133</c:v>
                </c:pt>
                <c:pt idx="26">
                  <c:v>139.70382844505221</c:v>
                </c:pt>
                <c:pt idx="27">
                  <c:v>153.49516770691636</c:v>
                </c:pt>
                <c:pt idx="28">
                  <c:v>167.25702755094335</c:v>
                </c:pt>
                <c:pt idx="29">
                  <c:v>180.99217685858619</c:v>
                </c:pt>
                <c:pt idx="30">
                  <c:v>194.7029293179402</c:v>
                </c:pt>
                <c:pt idx="31">
                  <c:v>169.22076873606747</c:v>
                </c:pt>
                <c:pt idx="32">
                  <c:v>184.91193253803269</c:v>
                </c:pt>
                <c:pt idx="33">
                  <c:v>200.57199414028256</c:v>
                </c:pt>
                <c:pt idx="34">
                  <c:v>216.20372460175972</c:v>
                </c:pt>
                <c:pt idx="35">
                  <c:v>231.8094611658297</c:v>
                </c:pt>
                <c:pt idx="36">
                  <c:v>207.21879690654114</c:v>
                </c:pt>
                <c:pt idx="37">
                  <c:v>223.61956111075639</c:v>
                </c:pt>
                <c:pt idx="38">
                  <c:v>239.99275146392395</c:v>
                </c:pt>
                <c:pt idx="39">
                  <c:v>256.34051411178774</c:v>
                </c:pt>
                <c:pt idx="40">
                  <c:v>272.6646989766358</c:v>
                </c:pt>
                <c:pt idx="41">
                  <c:v>248.16968942779496</c:v>
                </c:pt>
                <c:pt idx="42">
                  <c:v>264.50544806917623</c:v>
                </c:pt>
                <c:pt idx="43">
                  <c:v>280.81846105391611</c:v>
                </c:pt>
                <c:pt idx="44">
                  <c:v>297.11023564036327</c:v>
                </c:pt>
                <c:pt idx="45">
                  <c:v>313.38210026249641</c:v>
                </c:pt>
                <c:pt idx="46">
                  <c:v>288.57901240448905</c:v>
                </c:pt>
                <c:pt idx="47">
                  <c:v>304.47370954373423</c:v>
                </c:pt>
                <c:pt idx="48">
                  <c:v>320.34995854628937</c:v>
                </c:pt>
                <c:pt idx="49">
                  <c:v>336.20880231759617</c:v>
                </c:pt>
                <c:pt idx="50">
                  <c:v>352.05117734371055</c:v>
                </c:pt>
                <c:pt idx="51">
                  <c:v>326.9276331083118</c:v>
                </c:pt>
                <c:pt idx="52">
                  <c:v>342.393103483792</c:v>
                </c:pt>
                <c:pt idx="53">
                  <c:v>357.84322260194625</c:v>
                </c:pt>
                <c:pt idx="54">
                  <c:v>373.27874650728046</c:v>
                </c:pt>
                <c:pt idx="55">
                  <c:v>388.70036362009404</c:v>
                </c:pt>
                <c:pt idx="56">
                  <c:v>362.8613341480654</c:v>
                </c:pt>
                <c:pt idx="57">
                  <c:v>377.52104986809326</c:v>
                </c:pt>
                <c:pt idx="58">
                  <c:v>392.16837634017293</c:v>
                </c:pt>
                <c:pt idx="59">
                  <c:v>406.80384141548689</c:v>
                </c:pt>
                <c:pt idx="60">
                  <c:v>421.42793186976087</c:v>
                </c:pt>
                <c:pt idx="61">
                  <c:v>394.86525935006392</c:v>
                </c:pt>
                <c:pt idx="62">
                  <c:v>408.72870365690932</c:v>
                </c:pt>
                <c:pt idx="63">
                  <c:v>422.5819944009279</c:v>
                </c:pt>
                <c:pt idx="64">
                  <c:v>436.42551129808606</c:v>
                </c:pt>
                <c:pt idx="65">
                  <c:v>450.25960801246725</c:v>
                </c:pt>
                <c:pt idx="66">
                  <c:v>422.96666682108594</c:v>
                </c:pt>
                <c:pt idx="67">
                  <c:v>436.04109794385857</c:v>
                </c:pt>
                <c:pt idx="68">
                  <c:v>449.10711821530072</c:v>
                </c:pt>
                <c:pt idx="69">
                  <c:v>462.16500679362099</c:v>
                </c:pt>
                <c:pt idx="70">
                  <c:v>475.21502577729035</c:v>
                </c:pt>
                <c:pt idx="71">
                  <c:v>446.80194854061978</c:v>
                </c:pt>
                <c:pt idx="72">
                  <c:v>458.70928319621316</c:v>
                </c:pt>
                <c:pt idx="73">
                  <c:v>470.61001955868886</c:v>
                </c:pt>
                <c:pt idx="74">
                  <c:v>482.50434799892832</c:v>
                </c:pt>
                <c:pt idx="75">
                  <c:v>494.3924487367961</c:v>
                </c:pt>
                <c:pt idx="76">
                  <c:v>465.62017905920658</c:v>
                </c:pt>
                <c:pt idx="77">
                  <c:v>477.13349754486745</c:v>
                </c:pt>
                <c:pt idx="78">
                  <c:v>488.64090858857691</c:v>
                </c:pt>
                <c:pt idx="79">
                  <c:v>500.14257091604264</c:v>
                </c:pt>
                <c:pt idx="80">
                  <c:v>511.63863535742689</c:v>
                </c:pt>
                <c:pt idx="81">
                  <c:v>482.50434799892832</c:v>
                </c:pt>
                <c:pt idx="82">
                  <c:v>493.62565905582659</c:v>
                </c:pt>
                <c:pt idx="83">
                  <c:v>504.74166024448397</c:v>
                </c:pt>
                <c:pt idx="84">
                  <c:v>515.85248498703129</c:v>
                </c:pt>
                <c:pt idx="85">
                  <c:v>526.95826048952051</c:v>
                </c:pt>
                <c:pt idx="86">
                  <c:v>497.07601440225949</c:v>
                </c:pt>
                <c:pt idx="87">
                  <c:v>507.42405248193222</c:v>
                </c:pt>
                <c:pt idx="88">
                  <c:v>517.76763064124964</c:v>
                </c:pt>
                <c:pt idx="89">
                  <c:v>528.10685054075043</c:v>
                </c:pt>
                <c:pt idx="90">
                  <c:v>538.44180953565808</c:v>
                </c:pt>
                <c:pt idx="91">
                  <c:v>507.80722686130588</c:v>
                </c:pt>
                <c:pt idx="92">
                  <c:v>517.38461348648946</c:v>
                </c:pt>
                <c:pt idx="93">
                  <c:v>526.95826048952051</c:v>
                </c:pt>
                <c:pt idx="94">
                  <c:v>536.52824539615096</c:v>
                </c:pt>
                <c:pt idx="95">
                  <c:v>546.09464274073537</c:v>
                </c:pt>
                <c:pt idx="96">
                  <c:v>515.08638473795281</c:v>
                </c:pt>
                <c:pt idx="97">
                  <c:v>524.27801174542856</c:v>
                </c:pt>
                <c:pt idx="98">
                  <c:v>533.46624406259423</c:v>
                </c:pt>
                <c:pt idx="99">
                  <c:v>542.65114840915578</c:v>
                </c:pt>
                <c:pt idx="100">
                  <c:v>551.83278906179692</c:v>
                </c:pt>
                <c:pt idx="101">
                  <c:v>520.44858362500713</c:v>
                </c:pt>
                <c:pt idx="102">
                  <c:v>529.25538799232447</c:v>
                </c:pt>
                <c:pt idx="103">
                  <c:v>538.05910815921254</c:v>
                </c:pt>
                <c:pt idx="104">
                  <c:v>546.8598017122614</c:v>
                </c:pt>
                <c:pt idx="105">
                  <c:v>555.65752423315951</c:v>
                </c:pt>
                <c:pt idx="106">
                  <c:v>525.42672503969118</c:v>
                </c:pt>
                <c:pt idx="107">
                  <c:v>533.46624406259446</c:v>
                </c:pt>
                <c:pt idx="108">
                  <c:v>541.50321514452014</c:v>
                </c:pt>
                <c:pt idx="109">
                  <c:v>549.53768144295748</c:v>
                </c:pt>
                <c:pt idx="110">
                  <c:v>557.56968475025781</c:v>
                </c:pt>
                <c:pt idx="111">
                  <c:v>528.48970219589683</c:v>
                </c:pt>
                <c:pt idx="112">
                  <c:v>535.76277959494894</c:v>
                </c:pt>
                <c:pt idx="113">
                  <c:v>543.03378149300659</c:v>
                </c:pt>
                <c:pt idx="114">
                  <c:v>550.30273960772308</c:v>
                </c:pt>
                <c:pt idx="115">
                  <c:v>557.56968475025803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8269008"/>
        <c:axId val="-348273360"/>
      </c:scatterChart>
      <c:valAx>
        <c:axId val="-34826900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73360"/>
        <c:crosses val="autoZero"/>
        <c:crossBetween val="midCat"/>
      </c:valAx>
      <c:valAx>
        <c:axId val="-3482733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690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3.0873954293069432</c:v>
                </c:pt>
                <c:pt idx="2">
                  <c:v>3.6969523327533285</c:v>
                </c:pt>
                <c:pt idx="3">
                  <c:v>4.4273012249221102</c:v>
                </c:pt>
                <c:pt idx="4">
                  <c:v>5.3024617849498643</c:v>
                </c:pt>
                <c:pt idx="5">
                  <c:v>6.3512455158746723</c:v>
                </c:pt>
                <c:pt idx="6">
                  <c:v>7.6082145638704972</c:v>
                </c:pt>
                <c:pt idx="7">
                  <c:v>9.1148329231718037</c:v>
                </c:pt>
                <c:pt idx="8">
                  <c:v>10.92084872649014</c:v>
                </c:pt>
                <c:pt idx="9">
                  <c:v>13.085954123475267</c:v>
                </c:pt>
                <c:pt idx="10">
                  <c:v>15.681778629035497</c:v>
                </c:pt>
                <c:pt idx="11">
                  <c:v>18.794283098237205</c:v>
                </c:pt>
                <c:pt idx="12">
                  <c:v>22.526635038894295</c:v>
                </c:pt>
                <c:pt idx="13">
                  <c:v>27.002662268531896</c:v>
                </c:pt>
                <c:pt idx="14">
                  <c:v>32.371001514529802</c:v>
                </c:pt>
                <c:pt idx="15">
                  <c:v>38.810082112983899</c:v>
                </c:pt>
                <c:pt idx="16">
                  <c:v>46.534113286836906</c:v>
                </c:pt>
                <c:pt idx="17">
                  <c:v>55.800277543955367</c:v>
                </c:pt>
                <c:pt idx="18">
                  <c:v>66.917373694244205</c:v>
                </c:pt>
                <c:pt idx="19">
                  <c:v>80.256202241032796</c:v>
                </c:pt>
                <c:pt idx="20">
                  <c:v>96.262045139603686</c:v>
                </c:pt>
                <c:pt idx="21">
                  <c:v>108.73492274451898</c:v>
                </c:pt>
                <c:pt idx="22">
                  <c:v>121.17258390131538</c:v>
                </c:pt>
                <c:pt idx="23">
                  <c:v>133.57915795884725</c:v>
                </c:pt>
                <c:pt idx="24">
                  <c:v>145.95794243077449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581.75671680137077</c:v>
                </c:pt>
                <c:pt idx="102">
                  <c:v>591.6034086352571</c:v>
                </c:pt>
                <c:pt idx="103">
                  <c:v>601.44668957799445</c:v>
                </c:pt>
                <c:pt idx="104">
                  <c:v>611.28662331597241</c:v>
                </c:pt>
                <c:pt idx="105">
                  <c:v>621.12327131831159</c:v>
                </c:pt>
                <c:pt idx="106">
                  <c:v>587.322661205072</c:v>
                </c:pt>
                <c:pt idx="107">
                  <c:v>596.31148632519489</c:v>
                </c:pt>
                <c:pt idx="108">
                  <c:v>605.29749361634447</c:v>
                </c:pt>
                <c:pt idx="109">
                  <c:v>614.28073080742217</c:v>
                </c:pt>
                <c:pt idx="110">
                  <c:v>623.26124411759065</c:v>
                </c:pt>
                <c:pt idx="111">
                  <c:v>590.74731089993531</c:v>
                </c:pt>
                <c:pt idx="112">
                  <c:v>598.87920239707967</c:v>
                </c:pt>
                <c:pt idx="113">
                  <c:v>607.00879854794766</c:v>
                </c:pt>
                <c:pt idx="114">
                  <c:v>615.1361344298515</c:v>
                </c:pt>
                <c:pt idx="115">
                  <c:v>623.26124411759076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8272816"/>
        <c:axId val="-348266832"/>
      </c:scatterChart>
      <c:valAx>
        <c:axId val="-3482728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66832"/>
        <c:crosses val="autoZero"/>
        <c:crossBetween val="midCat"/>
      </c:valAx>
      <c:valAx>
        <c:axId val="-348266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728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2.5306217639403932</c:v>
                </c:pt>
                <c:pt idx="2">
                  <c:v>2.9172207570325672</c:v>
                </c:pt>
                <c:pt idx="3">
                  <c:v>3.3630927689110268</c:v>
                </c:pt>
                <c:pt idx="4">
                  <c:v>3.8773563467113861</c:v>
                </c:pt>
                <c:pt idx="5">
                  <c:v>4.4705372894252715</c:v>
                </c:pt>
                <c:pt idx="6">
                  <c:v>5.1547864684478117</c:v>
                </c:pt>
                <c:pt idx="7">
                  <c:v>5.9441314553665761</c:v>
                </c:pt>
                <c:pt idx="8">
                  <c:v>6.8547672172727552</c:v>
                </c:pt>
                <c:pt idx="9">
                  <c:v>7.9053919602337386</c:v>
                </c:pt>
                <c:pt idx="10">
                  <c:v>9.117595150129306</c:v>
                </c:pt>
                <c:pt idx="11">
                  <c:v>10.516305836895535</c:v>
                </c:pt>
                <c:pt idx="12">
                  <c:v>12.130310676562779</c:v>
                </c:pt>
                <c:pt idx="13">
                  <c:v>13.992852512182466</c:v>
                </c:pt>
                <c:pt idx="14">
                  <c:v>16.142322070891733</c:v>
                </c:pt>
                <c:pt idx="15">
                  <c:v>18.623057295923864</c:v>
                </c:pt>
                <c:pt idx="16">
                  <c:v>21.486267100938448</c:v>
                </c:pt>
                <c:pt idx="17">
                  <c:v>24.7910989577524</c:v>
                </c:pt>
                <c:pt idx="18">
                  <c:v>28.605872763094592</c:v>
                </c:pt>
                <c:pt idx="19">
                  <c:v>33.009506939823325</c:v>
                </c:pt>
                <c:pt idx="20">
                  <c:v>38.093166787700049</c:v>
                </c:pt>
                <c:pt idx="21">
                  <c:v>43.962169794584405</c:v>
                </c:pt>
                <c:pt idx="22">
                  <c:v>50.738188050641945</c:v>
                </c:pt>
                <c:pt idx="23">
                  <c:v>58.561794191367277</c:v>
                </c:pt>
                <c:pt idx="24">
                  <c:v>67.595404563615133</c:v>
                </c:pt>
                <c:pt idx="25">
                  <c:v>78.026681717112226</c:v>
                </c:pt>
                <c:pt idx="26">
                  <c:v>90.526413145957463</c:v>
                </c:pt>
                <c:pt idx="27">
                  <c:v>102.98287489084596</c:v>
                </c:pt>
                <c:pt idx="28">
                  <c:v>115.40204957981786</c:v>
                </c:pt>
                <c:pt idx="29">
                  <c:v>127.78852186744196</c:v>
                </c:pt>
                <c:pt idx="30">
                  <c:v>140.14591229472146</c:v>
                </c:pt>
                <c:pt idx="31">
                  <c:v>131.16146937116449</c:v>
                </c:pt>
                <c:pt idx="32">
                  <c:v>144.63288785558254</c:v>
                </c:pt>
                <c:pt idx="33">
                  <c:v>158.07427982969338</c:v>
                </c:pt>
                <c:pt idx="34">
                  <c:v>171.48856021442305</c:v>
                </c:pt>
                <c:pt idx="35">
                  <c:v>184.87814990346817</c:v>
                </c:pt>
                <c:pt idx="36">
                  <c:v>160.31180519707939</c:v>
                </c:pt>
                <c:pt idx="37">
                  <c:v>174.83818688959886</c:v>
                </c:pt>
                <c:pt idx="38">
                  <c:v>189.33622166833575</c:v>
                </c:pt>
                <c:pt idx="39">
                  <c:v>203.8083868405364</c:v>
                </c:pt>
                <c:pt idx="40">
                  <c:v>218.25677877090342</c:v>
                </c:pt>
                <c:pt idx="41">
                  <c:v>194.16304064471558</c:v>
                </c:pt>
                <c:pt idx="42">
                  <c:v>208.99762497430493</c:v>
                </c:pt>
                <c:pt idx="43">
                  <c:v>223.807910918391</c:v>
                </c:pt>
                <c:pt idx="44">
                  <c:v>238.59573324490532</c:v>
                </c:pt>
                <c:pt idx="45">
                  <c:v>253.36268056439769</c:v>
                </c:pt>
                <c:pt idx="46">
                  <c:v>229.72564155690716</c:v>
                </c:pt>
                <c:pt idx="47">
                  <c:v>244.87415180265498</c:v>
                </c:pt>
                <c:pt idx="48">
                  <c:v>260.00137265549091</c:v>
                </c:pt>
                <c:pt idx="49">
                  <c:v>275.10871731201564</c:v>
                </c:pt>
                <c:pt idx="50">
                  <c:v>290.19743103031288</c:v>
                </c:pt>
                <c:pt idx="51">
                  <c:v>267.37321139326588</c:v>
                </c:pt>
                <c:pt idx="52">
                  <c:v>283.20734332387497</c:v>
                </c:pt>
                <c:pt idx="53">
                  <c:v>299.02165093044317</c:v>
                </c:pt>
                <c:pt idx="54">
                  <c:v>314.81733022074968</c:v>
                </c:pt>
                <c:pt idx="55">
                  <c:v>330.5954473741902</c:v>
                </c:pt>
                <c:pt idx="56">
                  <c:v>307.47274922302034</c:v>
                </c:pt>
                <c:pt idx="57">
                  <c:v>322.89198679446821</c:v>
                </c:pt>
                <c:pt idx="58">
                  <c:v>338.29494871140372</c:v>
                </c:pt>
                <c:pt idx="59">
                  <c:v>353.68248030482658</c:v>
                </c:pt>
                <c:pt idx="60">
                  <c:v>369.05534734862982</c:v>
                </c:pt>
                <c:pt idx="61">
                  <c:v>345.62422040265614</c:v>
                </c:pt>
                <c:pt idx="62">
                  <c:v>360.6386457043447</c:v>
                </c:pt>
                <c:pt idx="63">
                  <c:v>375.63940468104903</c:v>
                </c:pt>
                <c:pt idx="64">
                  <c:v>390.62711987431982</c:v>
                </c:pt>
                <c:pt idx="65">
                  <c:v>405.60236216041085</c:v>
                </c:pt>
                <c:pt idx="66">
                  <c:v>382.22094859121631</c:v>
                </c:pt>
                <c:pt idx="67">
                  <c:v>397.20312039751838</c:v>
                </c:pt>
                <c:pt idx="68">
                  <c:v>412.17305520045358</c:v>
                </c:pt>
                <c:pt idx="69">
                  <c:v>427.13125995293109</c:v>
                </c:pt>
                <c:pt idx="70">
                  <c:v>442.07820321051531</c:v>
                </c:pt>
                <c:pt idx="71">
                  <c:v>417.64690431824994</c:v>
                </c:pt>
                <c:pt idx="72">
                  <c:v>431.50712073862763</c:v>
                </c:pt>
                <c:pt idx="73">
                  <c:v>445.35777581895201</c:v>
                </c:pt>
                <c:pt idx="74">
                  <c:v>459.1992087644324</c:v>
                </c:pt>
                <c:pt idx="75">
                  <c:v>473.03173666651463</c:v>
                </c:pt>
                <c:pt idx="76">
                  <c:v>448.27251713445958</c:v>
                </c:pt>
                <c:pt idx="77">
                  <c:v>461.74796605237248</c:v>
                </c:pt>
                <c:pt idx="78">
                  <c:v>475.21502577729012</c:v>
                </c:pt>
                <c:pt idx="79">
                  <c:v>488.67396750423922</c:v>
                </c:pt>
                <c:pt idx="80">
                  <c:v>502.12504627431366</c:v>
                </c:pt>
                <c:pt idx="81">
                  <c:v>476.67043320372522</c:v>
                </c:pt>
                <c:pt idx="82">
                  <c:v>489.40125164788623</c:v>
                </c:pt>
                <c:pt idx="83">
                  <c:v>502.12504627431366</c:v>
                </c:pt>
                <c:pt idx="84">
                  <c:v>514.84202011790001</c:v>
                </c:pt>
                <c:pt idx="85">
                  <c:v>527.55236536708867</c:v>
                </c:pt>
                <c:pt idx="86">
                  <c:v>501.39815791487553</c:v>
                </c:pt>
                <c:pt idx="87">
                  <c:v>513.38899068788419</c:v>
                </c:pt>
                <c:pt idx="88">
                  <c:v>525.37391179668487</c:v>
                </c:pt>
                <c:pt idx="89">
                  <c:v>537.3530750865159</c:v>
                </c:pt>
                <c:pt idx="90">
                  <c:v>549.32662698500235</c:v>
                </c:pt>
                <c:pt idx="91">
                  <c:v>522.46901082436341</c:v>
                </c:pt>
                <c:pt idx="92">
                  <c:v>533.72362475342277</c:v>
                </c:pt>
                <c:pt idx="93">
                  <c:v>544.97324841623629</c:v>
                </c:pt>
                <c:pt idx="94">
                  <c:v>556.21799933251657</c:v>
                </c:pt>
                <c:pt idx="95">
                  <c:v>567.45798988344643</c:v>
                </c:pt>
                <c:pt idx="96">
                  <c:v>542.07059084014872</c:v>
                </c:pt>
                <c:pt idx="97">
                  <c:v>552.9538895152142</c:v>
                </c:pt>
                <c:pt idx="98">
                  <c:v>563.8326999376593</c:v>
                </c:pt>
                <c:pt idx="99">
                  <c:v>574.70712090201835</c:v>
                </c:pt>
                <c:pt idx="100">
                  <c:v>585.5772471597453</c:v>
                </c:pt>
                <c:pt idx="101">
                  <c:v>560.93211702073916</c:v>
                </c:pt>
                <c:pt idx="102">
                  <c:v>570.72033680560889</c:v>
                </c:pt>
                <c:pt idx="103">
                  <c:v>580.50505015445788</c:v>
                </c:pt>
                <c:pt idx="104">
                  <c:v>590.28632449918791</c:v>
                </c:pt>
                <c:pt idx="105">
                  <c:v>600.06422485487622</c:v>
                </c:pt>
                <c:pt idx="106">
                  <c:v>577.24386442873322</c:v>
                </c:pt>
                <c:pt idx="107">
                  <c:v>587.02627776758879</c:v>
                </c:pt>
                <c:pt idx="108">
                  <c:v>596.80529570632234</c:v>
                </c:pt>
                <c:pt idx="109">
                  <c:v>606.58098171901725</c:v>
                </c:pt>
                <c:pt idx="110">
                  <c:v>616.35339706724096</c:v>
                </c:pt>
                <c:pt idx="111">
                  <c:v>592.82165711216874</c:v>
                </c:pt>
                <c:pt idx="112">
                  <c:v>601.87458193334089</c:v>
                </c:pt>
                <c:pt idx="113">
                  <c:v>610.92467765108267</c:v>
                </c:pt>
                <c:pt idx="114">
                  <c:v>619.97199208161737</c:v>
                </c:pt>
                <c:pt idx="115">
                  <c:v>629.01657153188989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8268464"/>
        <c:axId val="-348264656"/>
      </c:scatterChart>
      <c:valAx>
        <c:axId val="-348268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64656"/>
        <c:crosses val="autoZero"/>
        <c:crossBetween val="midCat"/>
      </c:valAx>
      <c:valAx>
        <c:axId val="-3482646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68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348261392"/>
        <c:axId val="-348260304"/>
      </c:scatterChart>
      <c:valAx>
        <c:axId val="-34826139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60304"/>
        <c:crosses val="autoZero"/>
        <c:crossBetween val="midCat"/>
      </c:valAx>
      <c:valAx>
        <c:axId val="-3482603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34826139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1757328"/>
        <c:axId val="-241752432"/>
      </c:scatterChart>
      <c:valAx>
        <c:axId val="-24175732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52432"/>
        <c:crosses val="autoZero"/>
        <c:crossBetween val="midCat"/>
      </c:valAx>
      <c:valAx>
        <c:axId val="-241752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573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1758960"/>
        <c:axId val="-241745904"/>
      </c:scatterChart>
      <c:valAx>
        <c:axId val="-2417589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45904"/>
        <c:crosses val="autoZero"/>
        <c:crossBetween val="midCat"/>
      </c:valAx>
      <c:valAx>
        <c:axId val="-241745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589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1758416"/>
        <c:axId val="-241750256"/>
      </c:scatterChart>
      <c:valAx>
        <c:axId val="-24175841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50256"/>
        <c:crosses val="autoZero"/>
        <c:crossBetween val="midCat"/>
      </c:valAx>
      <c:valAx>
        <c:axId val="-2417502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5841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41756240"/>
        <c:axId val="-241749712"/>
      </c:scatterChart>
      <c:valAx>
        <c:axId val="-24175624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49712"/>
        <c:crosses val="autoZero"/>
        <c:crossBetween val="midCat"/>
      </c:valAx>
      <c:valAx>
        <c:axId val="-2417497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417562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3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3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3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3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3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3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3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3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3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3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3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3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3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3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3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3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3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3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2"/>
  <dimension ref="A1:AS427"/>
  <sheetViews>
    <sheetView tabSelected="1" topLeftCell="A5" zoomScale="90" zoomScaleNormal="90" workbookViewId="0">
      <selection activeCell="B44" sqref="B44"/>
    </sheetView>
  </sheetViews>
  <sheetFormatPr baseColWidth="10" defaultColWidth="11.453125" defaultRowHeight="14.5" x14ac:dyDescent="0.35"/>
  <cols>
    <col min="1" max="1" width="13.7265625" style="25" customWidth="1"/>
    <col min="2" max="2" width="36.1796875" style="25" customWidth="1"/>
    <col min="3" max="3" width="14.81640625" style="25" bestFit="1" customWidth="1"/>
    <col min="4" max="4" width="16.453125" style="25" customWidth="1"/>
    <col min="5" max="5" width="23.26953125" style="25" customWidth="1"/>
    <col min="6" max="6" width="28.81640625" style="25" bestFit="1" customWidth="1"/>
    <col min="7" max="8" width="14.7265625" style="25" customWidth="1"/>
    <col min="9" max="9" width="17" style="25" customWidth="1"/>
    <col min="10" max="10" width="13.81640625" style="25" customWidth="1"/>
    <col min="11" max="16384" width="11.453125" style="25"/>
  </cols>
  <sheetData>
    <row r="1" spans="1:38" x14ac:dyDescent="0.35">
      <c r="A1" s="5"/>
      <c r="B1" s="5"/>
      <c r="C1" s="297" t="s">
        <v>190</v>
      </c>
      <c r="D1" s="297"/>
      <c r="E1" s="297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" thickBot="1" x14ac:dyDescent="0.4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6.5" thickBot="1" x14ac:dyDescent="0.4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" x14ac:dyDescent="0.3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" x14ac:dyDescent="0.35">
      <c r="A5" s="304" t="s">
        <v>231</v>
      </c>
      <c r="B5" s="304"/>
      <c r="C5" s="26">
        <v>9.5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3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" x14ac:dyDescent="0.3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3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35">
      <c r="A9" s="33" t="s">
        <v>165</v>
      </c>
      <c r="B9" s="34" t="s">
        <v>164</v>
      </c>
      <c r="C9" s="35">
        <v>0.39500000000000002</v>
      </c>
      <c r="D9" s="36">
        <f t="shared" ref="D9:D18" si="0">C9*$C$5</f>
        <v>3.7525000000000004</v>
      </c>
      <c r="E9" s="37">
        <v>60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35">
      <c r="A10" s="33" t="s">
        <v>166</v>
      </c>
      <c r="B10" s="34" t="s">
        <v>14</v>
      </c>
      <c r="C10" s="35">
        <v>0.42799999999999999</v>
      </c>
      <c r="D10" s="36">
        <f t="shared" si="0"/>
        <v>4.0659999999999998</v>
      </c>
      <c r="E10" s="37">
        <v>115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35">
      <c r="A11" s="33" t="s">
        <v>167</v>
      </c>
      <c r="B11" s="34" t="s">
        <v>12</v>
      </c>
      <c r="C11" s="35">
        <v>4.4999999999999998E-2</v>
      </c>
      <c r="D11" s="36">
        <f t="shared" si="0"/>
        <v>0.42749999999999999</v>
      </c>
      <c r="E11" s="37">
        <v>115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35">
      <c r="A12" s="33" t="s">
        <v>168</v>
      </c>
      <c r="B12" s="34" t="s">
        <v>25</v>
      </c>
      <c r="C12" s="35">
        <v>0.107</v>
      </c>
      <c r="D12" s="36">
        <f t="shared" si="0"/>
        <v>1.0165</v>
      </c>
      <c r="E12" s="37">
        <v>115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3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3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3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3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3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3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35">
      <c r="A19" s="100"/>
      <c r="B19" s="39" t="s">
        <v>175</v>
      </c>
      <c r="C19" s="40">
        <f>SUM(C9:C18)</f>
        <v>0.97499999999999998</v>
      </c>
      <c r="D19" s="41">
        <f>SUM(D9:D18)</f>
        <v>9.2625000000000011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3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3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3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3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3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3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3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3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3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3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3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3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3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35">
      <c r="A34" s="5"/>
      <c r="B34" s="91" t="s">
        <v>185</v>
      </c>
      <c r="C34" s="293" t="s">
        <v>186</v>
      </c>
      <c r="D34" s="293"/>
      <c r="E34" s="294" t="s">
        <v>187</v>
      </c>
      <c r="F34" s="295"/>
      <c r="G34" s="295"/>
      <c r="H34" s="296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3.5" x14ac:dyDescent="0.3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35">
      <c r="A36" s="53">
        <v>20</v>
      </c>
      <c r="B36" s="63">
        <v>158</v>
      </c>
      <c r="C36" s="63">
        <v>1</v>
      </c>
      <c r="D36" s="63">
        <v>35</v>
      </c>
      <c r="E36" s="54">
        <v>0.2</v>
      </c>
      <c r="F36" s="54"/>
      <c r="G36" s="54">
        <v>0.8</v>
      </c>
      <c r="H36" s="54"/>
      <c r="I36" s="52">
        <f>IFERROR(B36/A36,"")</f>
        <v>7.9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35">
      <c r="A37" s="53">
        <v>25</v>
      </c>
      <c r="B37" s="63">
        <v>169</v>
      </c>
      <c r="C37" s="63">
        <v>2</v>
      </c>
      <c r="D37" s="63">
        <v>35</v>
      </c>
      <c r="E37" s="54">
        <v>0.45</v>
      </c>
      <c r="F37" s="54"/>
      <c r="G37" s="54">
        <v>0.55000000000000004</v>
      </c>
      <c r="H37" s="54"/>
      <c r="I37" s="56">
        <f t="shared" ref="I37:I55" si="1">IF(A37&lt;&gt;0,(B37-(B36-D36))/(A37-A36),"")</f>
        <v>9.1999999999999993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35">
      <c r="A38" s="53">
        <v>30</v>
      </c>
      <c r="B38" s="63">
        <v>180</v>
      </c>
      <c r="C38" s="63">
        <v>3</v>
      </c>
      <c r="D38" s="63">
        <v>50</v>
      </c>
      <c r="E38" s="54">
        <v>0.5</v>
      </c>
      <c r="F38" s="54"/>
      <c r="G38" s="54">
        <v>0.5</v>
      </c>
      <c r="H38" s="54"/>
      <c r="I38" s="56">
        <f t="shared" si="1"/>
        <v>9.1999999999999993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35">
      <c r="A39" s="53">
        <v>37</v>
      </c>
      <c r="B39" s="63">
        <v>200</v>
      </c>
      <c r="C39" s="63">
        <v>4</v>
      </c>
      <c r="D39" s="63">
        <v>50</v>
      </c>
      <c r="E39" s="54"/>
      <c r="F39" s="54"/>
      <c r="G39" s="54"/>
      <c r="H39" s="54"/>
      <c r="I39" s="52">
        <f t="shared" si="1"/>
        <v>10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35">
      <c r="A40" s="53">
        <v>44</v>
      </c>
      <c r="B40" s="63">
        <v>226</v>
      </c>
      <c r="C40" s="63">
        <v>5</v>
      </c>
      <c r="D40" s="63">
        <v>60</v>
      </c>
      <c r="E40" s="54"/>
      <c r="F40" s="54"/>
      <c r="G40" s="54"/>
      <c r="H40" s="54"/>
      <c r="I40" s="52">
        <f t="shared" si="1"/>
        <v>10.857142857142858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35">
      <c r="A41" s="53">
        <v>51</v>
      </c>
      <c r="B41" s="63">
        <v>249</v>
      </c>
      <c r="C41" s="63">
        <v>6</v>
      </c>
      <c r="D41" s="63">
        <v>70</v>
      </c>
      <c r="E41" s="54"/>
      <c r="F41" s="54"/>
      <c r="G41" s="54"/>
      <c r="H41" s="54"/>
      <c r="I41" s="56">
        <f t="shared" si="1"/>
        <v>11.857142857142858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35">
      <c r="A42" s="53">
        <v>60</v>
      </c>
      <c r="B42" s="63">
        <v>300</v>
      </c>
      <c r="C42" s="63"/>
      <c r="D42" s="63">
        <v>300</v>
      </c>
      <c r="E42" s="54"/>
      <c r="F42" s="54"/>
      <c r="G42" s="54"/>
      <c r="H42" s="54"/>
      <c r="I42" s="56">
        <f t="shared" si="1"/>
        <v>13.444444444444445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3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3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3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3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3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3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3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3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3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3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3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3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3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3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3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35">
      <c r="A58" s="49" t="s">
        <v>166</v>
      </c>
      <c r="B58" s="55" t="str">
        <f>IF(B10="","",B10)</f>
        <v>Chêne sessile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3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35">
      <c r="A60" s="5"/>
      <c r="B60" s="91" t="s">
        <v>185</v>
      </c>
      <c r="C60" s="293" t="s">
        <v>186</v>
      </c>
      <c r="D60" s="293"/>
      <c r="E60" s="294" t="s">
        <v>187</v>
      </c>
      <c r="F60" s="295"/>
      <c r="G60" s="295"/>
      <c r="H60" s="296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3.5" x14ac:dyDescent="0.3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35">
      <c r="A62" s="53">
        <v>20</v>
      </c>
      <c r="B62" s="63">
        <f>42</f>
        <v>42</v>
      </c>
      <c r="C62" s="63">
        <v>1</v>
      </c>
      <c r="D62" s="63">
        <v>0</v>
      </c>
      <c r="E62" s="54"/>
      <c r="F62" s="54"/>
      <c r="G62" s="54"/>
      <c r="H62" s="54"/>
      <c r="I62" s="56">
        <f>IFERROR(B62/A62,"")</f>
        <v>2.1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35">
      <c r="A63" s="53">
        <v>25</v>
      </c>
      <c r="B63" s="63">
        <f>62+8</f>
        <v>70</v>
      </c>
      <c r="C63" s="63">
        <v>2</v>
      </c>
      <c r="D63" s="63">
        <v>8</v>
      </c>
      <c r="E63" s="54"/>
      <c r="F63" s="54"/>
      <c r="G63" s="54"/>
      <c r="H63" s="54">
        <v>1</v>
      </c>
      <c r="I63" s="52">
        <f>IF(A63&lt;&gt;0,(B63-(B62-D62))/(A63-A62),"")</f>
        <v>5.6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35">
      <c r="A64" s="53">
        <v>30</v>
      </c>
      <c r="B64" s="63">
        <f>76+21</f>
        <v>97</v>
      </c>
      <c r="C64" s="63">
        <v>3</v>
      </c>
      <c r="D64" s="63">
        <v>21</v>
      </c>
      <c r="E64" s="54"/>
      <c r="F64" s="54"/>
      <c r="G64" s="54"/>
      <c r="H64" s="54">
        <v>1</v>
      </c>
      <c r="I64" s="52">
        <f>IF(A64&lt;&gt;0,(B64-(B63-D63))/(A64-A63),"")</f>
        <v>7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35">
      <c r="A65" s="53">
        <v>35</v>
      </c>
      <c r="B65" s="63">
        <f>95+21</f>
        <v>116</v>
      </c>
      <c r="C65" s="63">
        <v>4</v>
      </c>
      <c r="D65" s="63">
        <v>21</v>
      </c>
      <c r="E65" s="54"/>
      <c r="F65" s="54"/>
      <c r="G65" s="54"/>
      <c r="H65" s="54"/>
      <c r="I65" s="52">
        <f>IF(A65&lt;&gt;0,(B65-(B64-D64))/(A65-A64),"")</f>
        <v>8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35">
      <c r="A66" s="53">
        <v>40</v>
      </c>
      <c r="B66" s="63">
        <f>116+21</f>
        <v>137</v>
      </c>
      <c r="C66" s="63">
        <v>5</v>
      </c>
      <c r="D66" s="63">
        <v>21</v>
      </c>
      <c r="E66" s="54"/>
      <c r="F66" s="54"/>
      <c r="G66" s="54"/>
      <c r="H66" s="54"/>
      <c r="I66" s="52">
        <f t="shared" ref="I66:I81" si="2">IF(A66&lt;&gt;0,(B66-(B65-D65))/(A66-A65),"")</f>
        <v>8.4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35">
      <c r="A67" s="53">
        <v>45</v>
      </c>
      <c r="B67" s="63">
        <f>137+21</f>
        <v>158</v>
      </c>
      <c r="C67" s="63">
        <v>6</v>
      </c>
      <c r="D67" s="63">
        <v>21</v>
      </c>
      <c r="E67" s="54"/>
      <c r="F67" s="54"/>
      <c r="G67" s="54"/>
      <c r="H67" s="54"/>
      <c r="I67" s="52">
        <f t="shared" si="2"/>
        <v>8.4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35">
      <c r="A68" s="53">
        <v>50</v>
      </c>
      <c r="B68" s="63">
        <f>157+21</f>
        <v>178</v>
      </c>
      <c r="C68" s="63">
        <v>7</v>
      </c>
      <c r="D68" s="63">
        <v>21</v>
      </c>
      <c r="E68" s="54"/>
      <c r="F68" s="54"/>
      <c r="G68" s="54"/>
      <c r="H68" s="54"/>
      <c r="I68" s="52">
        <f t="shared" si="2"/>
        <v>8.1999999999999993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35">
      <c r="A69" s="53">
        <v>55</v>
      </c>
      <c r="B69" s="53">
        <f>176+21</f>
        <v>197</v>
      </c>
      <c r="C69" s="53">
        <v>8</v>
      </c>
      <c r="D69" s="53">
        <v>21</v>
      </c>
      <c r="E69" s="54"/>
      <c r="F69" s="54"/>
      <c r="G69" s="54"/>
      <c r="H69" s="54"/>
      <c r="I69" s="52">
        <f t="shared" si="2"/>
        <v>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35">
      <c r="A70" s="53">
        <v>60</v>
      </c>
      <c r="B70" s="53">
        <f>193+21</f>
        <v>214</v>
      </c>
      <c r="C70" s="53">
        <v>9</v>
      </c>
      <c r="D70" s="53">
        <v>21</v>
      </c>
      <c r="E70" s="54"/>
      <c r="F70" s="54"/>
      <c r="G70" s="54"/>
      <c r="H70" s="54"/>
      <c r="I70" s="52">
        <f t="shared" si="2"/>
        <v>7.6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35">
      <c r="A71" s="53">
        <v>65</v>
      </c>
      <c r="B71" s="53">
        <f>208+21</f>
        <v>229</v>
      </c>
      <c r="C71" s="53">
        <v>10</v>
      </c>
      <c r="D71" s="53">
        <v>21</v>
      </c>
      <c r="E71" s="54"/>
      <c r="F71" s="54"/>
      <c r="G71" s="54"/>
      <c r="H71" s="54"/>
      <c r="I71" s="52">
        <f t="shared" si="2"/>
        <v>7.2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35">
      <c r="A72" s="53">
        <v>70</v>
      </c>
      <c r="B72" s="53">
        <f>221+21</f>
        <v>242</v>
      </c>
      <c r="C72" s="53">
        <v>11</v>
      </c>
      <c r="D72" s="53">
        <v>21</v>
      </c>
      <c r="E72" s="54"/>
      <c r="F72" s="54"/>
      <c r="G72" s="54"/>
      <c r="H72" s="54"/>
      <c r="I72" s="52">
        <f t="shared" si="2"/>
        <v>6.8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35">
      <c r="A73" s="53">
        <v>75</v>
      </c>
      <c r="B73" s="53">
        <f>231+21</f>
        <v>252</v>
      </c>
      <c r="C73" s="53">
        <v>12</v>
      </c>
      <c r="D73" s="53">
        <v>21</v>
      </c>
      <c r="E73" s="54"/>
      <c r="F73" s="54"/>
      <c r="G73" s="54"/>
      <c r="H73" s="54"/>
      <c r="I73" s="52">
        <f t="shared" si="2"/>
        <v>6.2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35">
      <c r="A74" s="53">
        <v>80</v>
      </c>
      <c r="B74" s="53">
        <f>240+21</f>
        <v>261</v>
      </c>
      <c r="C74" s="53">
        <v>13</v>
      </c>
      <c r="D74" s="53">
        <v>21</v>
      </c>
      <c r="E74" s="54"/>
      <c r="F74" s="54"/>
      <c r="G74" s="54"/>
      <c r="H74" s="54"/>
      <c r="I74" s="52">
        <f t="shared" si="2"/>
        <v>6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35">
      <c r="A75" s="53">
        <v>85</v>
      </c>
      <c r="B75" s="53">
        <f>248+21</f>
        <v>269</v>
      </c>
      <c r="C75" s="53">
        <v>14</v>
      </c>
      <c r="D75" s="53">
        <v>21</v>
      </c>
      <c r="E75" s="54"/>
      <c r="F75" s="54"/>
      <c r="G75" s="54"/>
      <c r="H75" s="54"/>
      <c r="I75" s="52">
        <f t="shared" si="2"/>
        <v>5.8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35">
      <c r="A76" s="53">
        <v>90</v>
      </c>
      <c r="B76" s="53">
        <f>254+21</f>
        <v>275</v>
      </c>
      <c r="C76" s="53">
        <v>15</v>
      </c>
      <c r="D76" s="53">
        <v>21</v>
      </c>
      <c r="E76" s="54"/>
      <c r="F76" s="54"/>
      <c r="G76" s="54"/>
      <c r="H76" s="54"/>
      <c r="I76" s="52">
        <f t="shared" si="2"/>
        <v>5.4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35">
      <c r="A77" s="53">
        <v>95</v>
      </c>
      <c r="B77" s="53">
        <f>258+21</f>
        <v>279</v>
      </c>
      <c r="C77" s="53">
        <v>16</v>
      </c>
      <c r="D77" s="53">
        <v>21</v>
      </c>
      <c r="E77" s="54"/>
      <c r="F77" s="54"/>
      <c r="G77" s="54"/>
      <c r="H77" s="54"/>
      <c r="I77" s="52">
        <f t="shared" si="2"/>
        <v>5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35">
      <c r="A78" s="53">
        <v>100</v>
      </c>
      <c r="B78" s="53">
        <f>261+21</f>
        <v>282</v>
      </c>
      <c r="C78" s="53">
        <v>17</v>
      </c>
      <c r="D78" s="53">
        <v>21</v>
      </c>
      <c r="E78" s="54"/>
      <c r="F78" s="54"/>
      <c r="G78" s="54"/>
      <c r="H78" s="54"/>
      <c r="I78" s="52">
        <f t="shared" si="2"/>
        <v>4.8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35">
      <c r="A79" s="53">
        <v>105</v>
      </c>
      <c r="B79" s="53">
        <f>264+20</f>
        <v>284</v>
      </c>
      <c r="C79" s="53">
        <v>18</v>
      </c>
      <c r="D79" s="53">
        <v>20</v>
      </c>
      <c r="E79" s="54"/>
      <c r="F79" s="54"/>
      <c r="G79" s="54"/>
      <c r="H79" s="54"/>
      <c r="I79" s="52">
        <f t="shared" si="2"/>
        <v>4.5999999999999996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35">
      <c r="A80" s="53">
        <v>110</v>
      </c>
      <c r="B80" s="53">
        <f>266+19</f>
        <v>285</v>
      </c>
      <c r="C80" s="53">
        <v>19</v>
      </c>
      <c r="D80" s="53">
        <v>19</v>
      </c>
      <c r="E80" s="54"/>
      <c r="F80" s="54"/>
      <c r="G80" s="54"/>
      <c r="H80" s="54"/>
      <c r="I80" s="52">
        <f t="shared" si="2"/>
        <v>4.2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35">
      <c r="A81" s="53">
        <v>115</v>
      </c>
      <c r="B81" s="53">
        <f>267+18</f>
        <v>285</v>
      </c>
      <c r="C81" s="53"/>
      <c r="D81" s="53">
        <v>285</v>
      </c>
      <c r="E81" s="54"/>
      <c r="F81" s="54"/>
      <c r="G81" s="54"/>
      <c r="H81" s="54"/>
      <c r="I81" s="52">
        <f t="shared" si="2"/>
        <v>3.8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3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3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3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3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35">
      <c r="A86" s="5"/>
      <c r="B86" s="91" t="s">
        <v>185</v>
      </c>
      <c r="C86" s="293" t="s">
        <v>186</v>
      </c>
      <c r="D86" s="293"/>
      <c r="E86" s="294" t="s">
        <v>187</v>
      </c>
      <c r="F86" s="295"/>
      <c r="G86" s="295"/>
      <c r="H86" s="296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3.5" x14ac:dyDescent="0.3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35">
      <c r="A88" s="53">
        <v>20</v>
      </c>
      <c r="B88" s="63">
        <f>42</f>
        <v>42</v>
      </c>
      <c r="C88" s="63">
        <v>1</v>
      </c>
      <c r="D88" s="63">
        <v>0</v>
      </c>
      <c r="E88" s="54"/>
      <c r="F88" s="54"/>
      <c r="G88" s="54"/>
      <c r="H88" s="54"/>
      <c r="I88" s="56">
        <f>IFERROR(B88/A88,"")</f>
        <v>2.1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35">
      <c r="A89" s="53">
        <v>25</v>
      </c>
      <c r="B89" s="63">
        <f>62+8</f>
        <v>70</v>
      </c>
      <c r="C89" s="63">
        <v>2</v>
      </c>
      <c r="D89" s="63">
        <v>8</v>
      </c>
      <c r="E89" s="54"/>
      <c r="F89" s="54"/>
      <c r="G89" s="54"/>
      <c r="H89" s="54">
        <v>1</v>
      </c>
      <c r="I89" s="56">
        <f t="shared" ref="I89:I107" si="3">IF(A89&lt;&gt;0,(B89-(B88-D88))/(A89-A88),"")</f>
        <v>5.6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35">
      <c r="A90" s="53">
        <v>30</v>
      </c>
      <c r="B90" s="63">
        <f>76+21</f>
        <v>97</v>
      </c>
      <c r="C90" s="63">
        <v>3</v>
      </c>
      <c r="D90" s="63">
        <v>21</v>
      </c>
      <c r="E90" s="54"/>
      <c r="F90" s="54"/>
      <c r="G90" s="54"/>
      <c r="H90" s="54">
        <v>1</v>
      </c>
      <c r="I90" s="56">
        <f t="shared" si="3"/>
        <v>7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35">
      <c r="A91" s="53">
        <v>35</v>
      </c>
      <c r="B91" s="63">
        <f>95+21</f>
        <v>116</v>
      </c>
      <c r="C91" s="63">
        <v>4</v>
      </c>
      <c r="D91" s="63">
        <v>21</v>
      </c>
      <c r="E91" s="54"/>
      <c r="F91" s="54"/>
      <c r="G91" s="54"/>
      <c r="H91" s="54"/>
      <c r="I91" s="56">
        <f t="shared" si="3"/>
        <v>8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35">
      <c r="A92" s="53">
        <v>40</v>
      </c>
      <c r="B92" s="63">
        <f>116+21</f>
        <v>137</v>
      </c>
      <c r="C92" s="63">
        <v>5</v>
      </c>
      <c r="D92" s="63">
        <v>21</v>
      </c>
      <c r="E92" s="54"/>
      <c r="F92" s="54"/>
      <c r="G92" s="54"/>
      <c r="H92" s="54"/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35">
      <c r="A93" s="53">
        <v>45</v>
      </c>
      <c r="B93" s="63">
        <f>137+21</f>
        <v>158</v>
      </c>
      <c r="C93" s="63">
        <v>6</v>
      </c>
      <c r="D93" s="63">
        <v>21</v>
      </c>
      <c r="E93" s="54"/>
      <c r="F93" s="54"/>
      <c r="G93" s="54"/>
      <c r="H93" s="54"/>
      <c r="I93" s="56">
        <f t="shared" si="3"/>
        <v>8.4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35">
      <c r="A94" s="53">
        <v>50</v>
      </c>
      <c r="B94" s="63">
        <f>157+21</f>
        <v>178</v>
      </c>
      <c r="C94" s="63">
        <v>7</v>
      </c>
      <c r="D94" s="63">
        <v>21</v>
      </c>
      <c r="E94" s="54"/>
      <c r="F94" s="54"/>
      <c r="G94" s="54"/>
      <c r="H94" s="54"/>
      <c r="I94" s="56">
        <f t="shared" si="3"/>
        <v>8.1999999999999993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35">
      <c r="A95" s="53">
        <v>55</v>
      </c>
      <c r="B95" s="53">
        <v>197</v>
      </c>
      <c r="C95" s="53">
        <v>8</v>
      </c>
      <c r="D95" s="53">
        <v>21</v>
      </c>
      <c r="E95" s="54"/>
      <c r="F95" s="54"/>
      <c r="G95" s="54"/>
      <c r="H95" s="54"/>
      <c r="I95" s="56">
        <f t="shared" si="3"/>
        <v>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35">
      <c r="A96" s="53">
        <v>60</v>
      </c>
      <c r="B96" s="53">
        <v>214</v>
      </c>
      <c r="C96" s="53">
        <v>9</v>
      </c>
      <c r="D96" s="53">
        <v>21</v>
      </c>
      <c r="E96" s="54"/>
      <c r="F96" s="54"/>
      <c r="G96" s="54"/>
      <c r="H96" s="54"/>
      <c r="I96" s="56">
        <f t="shared" si="3"/>
        <v>7.6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35">
      <c r="A97" s="53">
        <v>65</v>
      </c>
      <c r="B97" s="53">
        <v>229</v>
      </c>
      <c r="C97" s="53">
        <v>10</v>
      </c>
      <c r="D97" s="53">
        <v>21</v>
      </c>
      <c r="E97" s="54"/>
      <c r="F97" s="54"/>
      <c r="G97" s="54"/>
      <c r="H97" s="54"/>
      <c r="I97" s="56">
        <f t="shared" si="3"/>
        <v>7.2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35">
      <c r="A98" s="53">
        <v>70</v>
      </c>
      <c r="B98" s="53">
        <v>242</v>
      </c>
      <c r="C98" s="53">
        <v>11</v>
      </c>
      <c r="D98" s="53">
        <v>21</v>
      </c>
      <c r="E98" s="54"/>
      <c r="F98" s="54"/>
      <c r="G98" s="54"/>
      <c r="H98" s="54"/>
      <c r="I98" s="56">
        <f t="shared" si="3"/>
        <v>6.8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35">
      <c r="A99" s="53">
        <v>75</v>
      </c>
      <c r="B99" s="53">
        <v>252</v>
      </c>
      <c r="C99" s="53">
        <v>12</v>
      </c>
      <c r="D99" s="53">
        <v>21</v>
      </c>
      <c r="E99" s="54"/>
      <c r="F99" s="54"/>
      <c r="G99" s="54"/>
      <c r="H99" s="54"/>
      <c r="I99" s="56">
        <f t="shared" si="3"/>
        <v>6.2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35">
      <c r="A100" s="53">
        <v>80</v>
      </c>
      <c r="B100" s="53">
        <v>261</v>
      </c>
      <c r="C100" s="53">
        <v>13</v>
      </c>
      <c r="D100" s="53">
        <v>21</v>
      </c>
      <c r="E100" s="54"/>
      <c r="F100" s="54"/>
      <c r="G100" s="54"/>
      <c r="H100" s="54"/>
      <c r="I100" s="56">
        <f t="shared" si="3"/>
        <v>6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35">
      <c r="A101" s="53">
        <v>85</v>
      </c>
      <c r="B101" s="53">
        <v>269</v>
      </c>
      <c r="C101" s="53">
        <v>14</v>
      </c>
      <c r="D101" s="53">
        <v>21</v>
      </c>
      <c r="E101" s="54"/>
      <c r="F101" s="54"/>
      <c r="G101" s="54"/>
      <c r="H101" s="54"/>
      <c r="I101" s="56">
        <f t="shared" si="3"/>
        <v>5.8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35">
      <c r="A102" s="53">
        <v>90</v>
      </c>
      <c r="B102" s="53">
        <v>275</v>
      </c>
      <c r="C102" s="53">
        <v>15</v>
      </c>
      <c r="D102" s="53">
        <v>21</v>
      </c>
      <c r="E102" s="54"/>
      <c r="F102" s="54"/>
      <c r="G102" s="54"/>
      <c r="H102" s="54"/>
      <c r="I102" s="56">
        <f t="shared" si="3"/>
        <v>5.4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35">
      <c r="A103" s="53">
        <v>95</v>
      </c>
      <c r="B103" s="53">
        <v>279</v>
      </c>
      <c r="C103" s="53">
        <v>16</v>
      </c>
      <c r="D103" s="53">
        <v>21</v>
      </c>
      <c r="E103" s="54"/>
      <c r="F103" s="54"/>
      <c r="G103" s="54"/>
      <c r="H103" s="54"/>
      <c r="I103" s="56">
        <f t="shared" si="3"/>
        <v>5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35">
      <c r="A104" s="53">
        <v>100</v>
      </c>
      <c r="B104" s="53">
        <v>282</v>
      </c>
      <c r="C104" s="53">
        <v>17</v>
      </c>
      <c r="D104" s="53">
        <v>21</v>
      </c>
      <c r="E104" s="54"/>
      <c r="F104" s="54"/>
      <c r="G104" s="54"/>
      <c r="H104" s="54"/>
      <c r="I104" s="56">
        <f t="shared" si="3"/>
        <v>4.8</v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35">
      <c r="A105" s="53">
        <v>105</v>
      </c>
      <c r="B105" s="53">
        <v>284</v>
      </c>
      <c r="C105" s="53">
        <v>18</v>
      </c>
      <c r="D105" s="53">
        <v>20</v>
      </c>
      <c r="E105" s="54"/>
      <c r="F105" s="54"/>
      <c r="G105" s="54"/>
      <c r="H105" s="54"/>
      <c r="I105" s="56">
        <f t="shared" si="3"/>
        <v>4.5999999999999996</v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35">
      <c r="A106" s="53">
        <v>110</v>
      </c>
      <c r="B106" s="53">
        <v>285</v>
      </c>
      <c r="C106" s="53">
        <v>19</v>
      </c>
      <c r="D106" s="53">
        <v>19</v>
      </c>
      <c r="E106" s="54"/>
      <c r="F106" s="54"/>
      <c r="G106" s="54"/>
      <c r="H106" s="54"/>
      <c r="I106" s="56">
        <f t="shared" si="3"/>
        <v>4.2</v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35">
      <c r="A107" s="53">
        <v>115</v>
      </c>
      <c r="B107" s="53">
        <v>285</v>
      </c>
      <c r="C107" s="53"/>
      <c r="D107" s="53">
        <v>285</v>
      </c>
      <c r="E107" s="54"/>
      <c r="F107" s="54"/>
      <c r="G107" s="54"/>
      <c r="H107" s="54"/>
      <c r="I107" s="56">
        <f t="shared" si="3"/>
        <v>3.8</v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3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3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35">
      <c r="A110" s="49" t="s">
        <v>168</v>
      </c>
      <c r="B110" s="55" t="str">
        <f>IF(B12="","",B12)</f>
        <v>Hêtre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3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35">
      <c r="A112" s="5"/>
      <c r="B112" s="91" t="s">
        <v>185</v>
      </c>
      <c r="C112" s="293" t="s">
        <v>186</v>
      </c>
      <c r="D112" s="293"/>
      <c r="E112" s="294" t="s">
        <v>187</v>
      </c>
      <c r="F112" s="295"/>
      <c r="G112" s="295"/>
      <c r="H112" s="296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3.5" x14ac:dyDescent="0.3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35">
      <c r="A114" s="53">
        <v>25</v>
      </c>
      <c r="B114" s="63">
        <f>40</f>
        <v>40</v>
      </c>
      <c r="C114" s="53">
        <v>1</v>
      </c>
      <c r="D114" s="63"/>
      <c r="E114" s="54"/>
      <c r="F114" s="54"/>
      <c r="G114" s="54"/>
      <c r="H114" s="54">
        <v>1</v>
      </c>
      <c r="I114" s="56">
        <f>IFERROR(B114/A114,"")</f>
        <v>1.6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35">
      <c r="A115" s="53">
        <v>30</v>
      </c>
      <c r="B115" s="63">
        <f>61+12</f>
        <v>73</v>
      </c>
      <c r="C115" s="53">
        <v>2</v>
      </c>
      <c r="D115" s="63">
        <v>12</v>
      </c>
      <c r="E115" s="54"/>
      <c r="F115" s="54"/>
      <c r="G115" s="54"/>
      <c r="H115" s="54">
        <v>1</v>
      </c>
      <c r="I115" s="56">
        <f t="shared" ref="I115:I130" si="4">IF(A115&lt;&gt;0,(B115-(B114-D114))/(A115-A114),"")</f>
        <v>6.6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35">
      <c r="A116" s="53">
        <v>35</v>
      </c>
      <c r="B116" s="63">
        <f>76+21</f>
        <v>97</v>
      </c>
      <c r="C116" s="53">
        <v>3</v>
      </c>
      <c r="D116" s="63">
        <v>21</v>
      </c>
      <c r="E116" s="54"/>
      <c r="F116" s="54"/>
      <c r="G116" s="54"/>
      <c r="H116" s="54"/>
      <c r="I116" s="56">
        <f t="shared" si="4"/>
        <v>7.2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35">
      <c r="A117" s="53">
        <v>40</v>
      </c>
      <c r="B117" s="63">
        <f>94+21</f>
        <v>115</v>
      </c>
      <c r="C117" s="53">
        <v>4</v>
      </c>
      <c r="D117" s="63">
        <v>21</v>
      </c>
      <c r="E117" s="54"/>
      <c r="F117" s="54"/>
      <c r="G117" s="54"/>
      <c r="H117" s="54"/>
      <c r="I117" s="56">
        <f t="shared" si="4"/>
        <v>7.8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35">
      <c r="A118" s="53">
        <v>45</v>
      </c>
      <c r="B118" s="63">
        <f>113+21</f>
        <v>134</v>
      </c>
      <c r="C118" s="53">
        <v>5</v>
      </c>
      <c r="D118" s="63">
        <v>21</v>
      </c>
      <c r="E118" s="54"/>
      <c r="F118" s="54"/>
      <c r="G118" s="54"/>
      <c r="H118" s="54"/>
      <c r="I118" s="56">
        <f t="shared" si="4"/>
        <v>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35">
      <c r="A119" s="53">
        <v>50</v>
      </c>
      <c r="B119" s="63">
        <f>133+21</f>
        <v>154</v>
      </c>
      <c r="C119" s="53">
        <v>6</v>
      </c>
      <c r="D119" s="63">
        <v>21</v>
      </c>
      <c r="E119" s="54"/>
      <c r="F119" s="54"/>
      <c r="G119" s="54"/>
      <c r="H119" s="54"/>
      <c r="I119" s="56">
        <f t="shared" si="4"/>
        <v>8.1999999999999993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35">
      <c r="A120" s="63">
        <v>55</v>
      </c>
      <c r="B120" s="63">
        <f>155+21</f>
        <v>176</v>
      </c>
      <c r="C120" s="63">
        <v>7</v>
      </c>
      <c r="D120" s="63">
        <v>21</v>
      </c>
      <c r="E120" s="93"/>
      <c r="F120" s="93"/>
      <c r="G120" s="93"/>
      <c r="H120" s="93"/>
      <c r="I120" s="56">
        <f t="shared" si="4"/>
        <v>8.6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35">
      <c r="A121" s="63">
        <v>60</v>
      </c>
      <c r="B121" s="63">
        <f>176+21</f>
        <v>197</v>
      </c>
      <c r="C121" s="63">
        <v>8</v>
      </c>
      <c r="D121" s="63">
        <v>21</v>
      </c>
      <c r="E121" s="93"/>
      <c r="F121" s="93"/>
      <c r="G121" s="93"/>
      <c r="H121" s="93"/>
      <c r="I121" s="56">
        <f t="shared" si="4"/>
        <v>8.4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35">
      <c r="A122" s="63">
        <v>65</v>
      </c>
      <c r="B122" s="63">
        <f>196+21</f>
        <v>217</v>
      </c>
      <c r="C122" s="63">
        <v>9</v>
      </c>
      <c r="D122" s="63">
        <v>21</v>
      </c>
      <c r="E122" s="93"/>
      <c r="F122" s="93"/>
      <c r="G122" s="93"/>
      <c r="H122" s="93"/>
      <c r="I122" s="56">
        <f t="shared" si="4"/>
        <v>8.1999999999999993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35">
      <c r="A123" s="63">
        <v>70</v>
      </c>
      <c r="B123" s="63">
        <f>216+21</f>
        <v>237</v>
      </c>
      <c r="C123" s="63">
        <v>10</v>
      </c>
      <c r="D123" s="63">
        <v>21</v>
      </c>
      <c r="E123" s="93"/>
      <c r="F123" s="93"/>
      <c r="G123" s="93"/>
      <c r="H123" s="93"/>
      <c r="I123" s="56">
        <f t="shared" si="4"/>
        <v>8.1999999999999993</v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35">
      <c r="A124" s="63">
        <v>75</v>
      </c>
      <c r="B124" s="63">
        <f>233+21</f>
        <v>254</v>
      </c>
      <c r="C124" s="63">
        <v>11</v>
      </c>
      <c r="D124" s="63">
        <v>21</v>
      </c>
      <c r="E124" s="93"/>
      <c r="F124" s="93"/>
      <c r="G124" s="93"/>
      <c r="H124" s="93"/>
      <c r="I124" s="56">
        <f t="shared" si="4"/>
        <v>7.6</v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35">
      <c r="A125" s="63">
        <v>80</v>
      </c>
      <c r="B125" s="63">
        <f>249+21</f>
        <v>270</v>
      </c>
      <c r="C125" s="63">
        <v>12</v>
      </c>
      <c r="D125" s="63">
        <v>21</v>
      </c>
      <c r="E125" s="93"/>
      <c r="F125" s="93"/>
      <c r="G125" s="93"/>
      <c r="H125" s="93"/>
      <c r="I125" s="56">
        <f t="shared" si="4"/>
        <v>7.4</v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35">
      <c r="A126" s="63">
        <v>85</v>
      </c>
      <c r="B126" s="63">
        <f>263+21</f>
        <v>284</v>
      </c>
      <c r="C126" s="63">
        <v>13</v>
      </c>
      <c r="D126" s="63">
        <v>21</v>
      </c>
      <c r="E126" s="68"/>
      <c r="F126" s="68"/>
      <c r="G126" s="68"/>
      <c r="H126" s="68"/>
      <c r="I126" s="56">
        <f t="shared" si="4"/>
        <v>7</v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35">
      <c r="A127" s="53">
        <v>90</v>
      </c>
      <c r="B127" s="53">
        <f>275+21</f>
        <v>296</v>
      </c>
      <c r="C127" s="53">
        <v>14</v>
      </c>
      <c r="D127" s="53">
        <v>21</v>
      </c>
      <c r="E127" s="68"/>
      <c r="F127" s="68"/>
      <c r="G127" s="68"/>
      <c r="H127" s="68"/>
      <c r="I127" s="56">
        <f t="shared" si="4"/>
        <v>6.6</v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35">
      <c r="A128" s="53">
        <v>95</v>
      </c>
      <c r="B128" s="53">
        <f>286+20</f>
        <v>306</v>
      </c>
      <c r="C128" s="53">
        <v>15</v>
      </c>
      <c r="D128" s="53">
        <v>20</v>
      </c>
      <c r="E128" s="57"/>
      <c r="F128" s="57"/>
      <c r="G128" s="57"/>
      <c r="H128" s="57"/>
      <c r="I128" s="56">
        <f t="shared" si="4"/>
        <v>6.2</v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35">
      <c r="A129" s="53">
        <v>100</v>
      </c>
      <c r="B129" s="53">
        <f>297+19</f>
        <v>316</v>
      </c>
      <c r="C129" s="53">
        <v>16</v>
      </c>
      <c r="D129" s="53">
        <v>19</v>
      </c>
      <c r="E129" s="57"/>
      <c r="F129" s="57"/>
      <c r="G129" s="57"/>
      <c r="H129" s="57"/>
      <c r="I129" s="56">
        <f t="shared" si="4"/>
        <v>6</v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35">
      <c r="A130" s="53">
        <v>105</v>
      </c>
      <c r="B130" s="53">
        <f>306+18</f>
        <v>324</v>
      </c>
      <c r="C130" s="53">
        <v>17</v>
      </c>
      <c r="D130" s="53">
        <v>18</v>
      </c>
      <c r="E130" s="57"/>
      <c r="F130" s="57"/>
      <c r="G130" s="57"/>
      <c r="H130" s="57"/>
      <c r="I130" s="56">
        <f t="shared" si="4"/>
        <v>5.4</v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35">
      <c r="A131" s="53">
        <v>110</v>
      </c>
      <c r="B131" s="53">
        <f>315+18</f>
        <v>333</v>
      </c>
      <c r="C131" s="53">
        <v>18</v>
      </c>
      <c r="D131" s="53">
        <v>18</v>
      </c>
      <c r="E131" s="57"/>
      <c r="F131" s="57"/>
      <c r="G131" s="57"/>
      <c r="H131" s="57"/>
      <c r="I131" s="56">
        <f t="shared" ref="I131:I133" si="5">IF(A131&lt;&gt;0,(B131-(B130-D130))/(A131-A130),"")</f>
        <v>5.4</v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35">
      <c r="A132" s="53">
        <v>115</v>
      </c>
      <c r="B132" s="53">
        <f>323+17</f>
        <v>340</v>
      </c>
      <c r="C132" s="53"/>
      <c r="D132" s="53">
        <v>340</v>
      </c>
      <c r="E132" s="57"/>
      <c r="F132" s="57"/>
      <c r="G132" s="57"/>
      <c r="H132" s="57"/>
      <c r="I132" s="56">
        <f t="shared" si="5"/>
        <v>5</v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3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5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3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3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3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3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35">
      <c r="A138" s="5"/>
      <c r="B138" s="91" t="s">
        <v>185</v>
      </c>
      <c r="C138" s="293" t="s">
        <v>186</v>
      </c>
      <c r="D138" s="293"/>
      <c r="E138" s="294" t="s">
        <v>187</v>
      </c>
      <c r="F138" s="295"/>
      <c r="G138" s="295"/>
      <c r="H138" s="296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3.5" x14ac:dyDescent="0.3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3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3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6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3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6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3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6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3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6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3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6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3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6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3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3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6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3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6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3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6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3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6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3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6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3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6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3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6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3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6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3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6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3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6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3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6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3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6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3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3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3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3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35">
      <c r="A164" s="5"/>
      <c r="B164" s="91" t="s">
        <v>185</v>
      </c>
      <c r="C164" s="293" t="s">
        <v>186</v>
      </c>
      <c r="D164" s="293"/>
      <c r="E164" s="294" t="s">
        <v>187</v>
      </c>
      <c r="F164" s="295"/>
      <c r="G164" s="295"/>
      <c r="H164" s="296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3.5" x14ac:dyDescent="0.3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3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3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7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3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7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3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7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3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7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3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7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3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7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3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7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3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7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3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7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3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7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3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7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3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7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3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7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3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7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3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7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3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7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3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7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3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7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3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7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3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3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3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3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35">
      <c r="A190" s="5"/>
      <c r="B190" s="91" t="s">
        <v>185</v>
      </c>
      <c r="C190" s="293" t="s">
        <v>186</v>
      </c>
      <c r="D190" s="293"/>
      <c r="E190" s="294" t="s">
        <v>187</v>
      </c>
      <c r="F190" s="295"/>
      <c r="G190" s="295"/>
      <c r="H190" s="296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3.5" x14ac:dyDescent="0.3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3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3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8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3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8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3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8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3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8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3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8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3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8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3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8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3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8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3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8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3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8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3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8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3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8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3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8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3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8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3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8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3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8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3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8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3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8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3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8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3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3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3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3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35">
      <c r="A216" s="5"/>
      <c r="B216" s="91" t="s">
        <v>185</v>
      </c>
      <c r="C216" s="293" t="s">
        <v>186</v>
      </c>
      <c r="D216" s="293"/>
      <c r="E216" s="294" t="s">
        <v>187</v>
      </c>
      <c r="F216" s="295"/>
      <c r="G216" s="295"/>
      <c r="H216" s="296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3.5" x14ac:dyDescent="0.3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3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3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9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3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9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3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9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3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9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3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9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3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9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3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9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3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9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3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9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3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9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3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9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3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9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3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9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3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9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3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9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3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9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3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9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3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9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3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9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3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3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3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3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35">
      <c r="A242" s="5"/>
      <c r="B242" s="91" t="s">
        <v>185</v>
      </c>
      <c r="C242" s="293" t="s">
        <v>186</v>
      </c>
      <c r="D242" s="293"/>
      <c r="E242" s="294" t="s">
        <v>187</v>
      </c>
      <c r="F242" s="295"/>
      <c r="G242" s="295"/>
      <c r="H242" s="296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3.5" x14ac:dyDescent="0.3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3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3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3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3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10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3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10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3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10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3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10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3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10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3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10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3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10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3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10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3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10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3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10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3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10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3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10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3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10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3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10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3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10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3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10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3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10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3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3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3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3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35">
      <c r="A268" s="5"/>
      <c r="B268" s="91" t="s">
        <v>185</v>
      </c>
      <c r="C268" s="293" t="s">
        <v>186</v>
      </c>
      <c r="D268" s="293"/>
      <c r="E268" s="294" t="s">
        <v>187</v>
      </c>
      <c r="F268" s="295"/>
      <c r="G268" s="295"/>
      <c r="H268" s="296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3.5" x14ac:dyDescent="0.3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3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3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3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1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3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1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3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1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3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1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3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1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3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1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3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1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3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1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3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1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3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1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3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1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3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1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3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1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3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1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3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1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3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1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3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1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3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1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3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3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3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3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3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3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3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3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3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3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3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3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3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3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3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3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3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3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3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3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3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3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3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3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3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3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3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3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3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3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3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3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3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3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3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3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3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3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3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3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3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3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3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3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3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3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3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3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3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3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3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3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3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3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3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3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3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3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3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3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3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3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3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3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3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3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3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3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3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3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3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3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3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3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3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3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3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3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3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3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3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3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3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3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3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3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3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3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3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3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3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3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3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3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3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3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3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3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3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3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3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3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3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3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3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3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3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3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3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3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3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3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3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3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3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3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3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3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3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3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3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3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3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3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3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3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3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3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3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3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3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3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3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3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3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3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3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3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>
      <formula1>VAN</formula1>
    </dataValidation>
    <dataValidation type="list" allowBlank="1" showInputMessage="1" showErrorMessage="1" sqref="C26">
      <formula1>Incendie</formula1>
    </dataValidation>
    <dataValidation type="list" allowBlank="1" showInputMessage="1" showErrorMessage="1" sqref="C27">
      <formula1>Fertilité</formula1>
    </dataValidation>
  </dataValidations>
  <hyperlinks>
    <hyperlink ref="A9" location="'Données projet'!A44" tooltip="Table de production à compléter ci-dessous" display="Essence 1"/>
    <hyperlink ref="A10" location="'Données projet'!A70" tooltip="Table de production à compléter ci-dessous" display="Essence 2"/>
    <hyperlink ref="A11" location="'Données projet'!A96" tooltip="Table de production à compléter ci-dessous" display="Essence 3"/>
    <hyperlink ref="A12" location="'Données projet'!A122" tooltip="Table de production à compléter ci-dessous" display="Essence 4"/>
    <hyperlink ref="A13" location="'Données projet'!A148" tooltip="Table de production à compléter ci-dessous" display="Essence 5"/>
    <hyperlink ref="A14" location="'Données projet'!A174" tooltip="Table de production à compléter ci-dessous" display="Essence 6"/>
    <hyperlink ref="A15" location="'Données projet'!A202" tooltip="Table de production à compléter ci-dessous" display="Essence 7"/>
    <hyperlink ref="A16" location="'Données projet'!A228" tooltip="Table de production à compléter ci-dessous" display="Essence 8"/>
    <hyperlink ref="A17" location="'Données projet'!A254" tooltip="Table de production à compléter ci-dessous" display="Essence 9"/>
    <hyperlink ref="A18" location="'Données projet'!A280" tooltip="Table de production à compléter ci-dessous" display="Essence 10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Paramètres!$A$2:$A$87</xm:f>
          </x14:formula1>
          <xm:sqref>B10:B18</xm:sqref>
        </x14:dataValidation>
        <x14:dataValidation type="list" allowBlank="1" showInputMessage="1" showErrorMessage="1">
          <x14:formula1>
            <xm:f>Paramètres!$A$2:$A$87</xm:f>
          </x14:formula1>
          <xm:sqref>B9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1:AL163"/>
  <sheetViews>
    <sheetView zoomScale="115" zoomScaleNormal="115" workbookViewId="0">
      <selection activeCell="B18" sqref="B18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6.5" thickBot="1" x14ac:dyDescent="0.6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3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3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3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3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3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3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3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3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3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3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3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3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3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3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3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3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3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3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3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3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3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3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3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3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3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3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3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3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3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3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3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3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3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3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3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3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3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3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3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3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3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3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3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3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3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3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3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3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3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3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3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3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3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3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3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3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3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3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3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3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3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3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3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3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3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3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3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3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3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3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3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3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3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3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3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3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3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3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3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3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3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3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3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3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3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3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3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3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3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3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3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3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3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3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3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3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3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35">
      <c r="C104" s="5"/>
      <c r="F104" s="5"/>
    </row>
    <row r="105" spans="3:35" x14ac:dyDescent="0.35">
      <c r="C105" s="5"/>
      <c r="F105" s="5"/>
    </row>
    <row r="106" spans="3:35" x14ac:dyDescent="0.35">
      <c r="C106" s="5"/>
      <c r="F106" s="5"/>
    </row>
    <row r="107" spans="3:35" x14ac:dyDescent="0.35">
      <c r="C107" s="5"/>
      <c r="F107" s="5"/>
    </row>
    <row r="108" spans="3:35" x14ac:dyDescent="0.35">
      <c r="C108" s="5"/>
      <c r="F108" s="5"/>
    </row>
    <row r="109" spans="3:35" x14ac:dyDescent="0.35">
      <c r="C109" s="5"/>
      <c r="F109" s="5"/>
    </row>
    <row r="110" spans="3:35" x14ac:dyDescent="0.35">
      <c r="C110" s="5"/>
      <c r="F110" s="5"/>
    </row>
    <row r="111" spans="3:35" x14ac:dyDescent="0.35">
      <c r="C111" s="5"/>
      <c r="F111" s="5"/>
    </row>
    <row r="112" spans="3:35" x14ac:dyDescent="0.35">
      <c r="C112" s="5"/>
      <c r="F112" s="5"/>
    </row>
    <row r="113" spans="3:6" x14ac:dyDescent="0.35">
      <c r="C113" s="5"/>
      <c r="F113" s="5"/>
    </row>
    <row r="114" spans="3:6" x14ac:dyDescent="0.35">
      <c r="C114" s="5"/>
      <c r="F114" s="5"/>
    </row>
    <row r="115" spans="3:6" x14ac:dyDescent="0.35">
      <c r="C115" s="5"/>
      <c r="F115" s="5"/>
    </row>
    <row r="116" spans="3:6" x14ac:dyDescent="0.35">
      <c r="C116" s="5"/>
      <c r="F116" s="5"/>
    </row>
    <row r="117" spans="3:6" x14ac:dyDescent="0.35">
      <c r="C117" s="5"/>
      <c r="F117" s="5"/>
    </row>
    <row r="118" spans="3:6" x14ac:dyDescent="0.35">
      <c r="C118" s="5"/>
      <c r="F118" s="5"/>
    </row>
    <row r="119" spans="3:6" x14ac:dyDescent="0.35">
      <c r="C119" s="5"/>
      <c r="F119" s="5"/>
    </row>
    <row r="120" spans="3:6" x14ac:dyDescent="0.35">
      <c r="C120" s="5"/>
      <c r="F120" s="5"/>
    </row>
    <row r="121" spans="3:6" x14ac:dyDescent="0.35">
      <c r="C121" s="5"/>
      <c r="F121" s="5"/>
    </row>
    <row r="122" spans="3:6" x14ac:dyDescent="0.35">
      <c r="C122" s="5"/>
      <c r="F122" s="5"/>
    </row>
    <row r="123" spans="3:6" x14ac:dyDescent="0.35">
      <c r="C123" s="5"/>
      <c r="F123" s="5"/>
    </row>
    <row r="124" spans="3:6" x14ac:dyDescent="0.35">
      <c r="C124" s="5"/>
      <c r="F124" s="5"/>
    </row>
    <row r="125" spans="3:6" x14ac:dyDescent="0.35">
      <c r="C125" s="5"/>
      <c r="F125" s="5"/>
    </row>
    <row r="126" spans="3:6" x14ac:dyDescent="0.35">
      <c r="C126" s="5"/>
      <c r="F126" s="5"/>
    </row>
    <row r="127" spans="3:6" x14ac:dyDescent="0.35">
      <c r="C127" s="5"/>
      <c r="F127" s="5"/>
    </row>
    <row r="128" spans="3:6" x14ac:dyDescent="0.35">
      <c r="C128" s="5"/>
      <c r="F128" s="5"/>
    </row>
    <row r="129" spans="3:6" x14ac:dyDescent="0.35">
      <c r="C129" s="5"/>
      <c r="F129" s="5"/>
    </row>
    <row r="130" spans="3:6" x14ac:dyDescent="0.35">
      <c r="C130" s="5"/>
      <c r="F130" s="5"/>
    </row>
    <row r="131" spans="3:6" x14ac:dyDescent="0.35">
      <c r="C131" s="5"/>
      <c r="F131" s="5"/>
    </row>
    <row r="132" spans="3:6" x14ac:dyDescent="0.35">
      <c r="F132" s="5"/>
    </row>
    <row r="133" spans="3:6" x14ac:dyDescent="0.35">
      <c r="F133" s="5"/>
    </row>
    <row r="134" spans="3:6" x14ac:dyDescent="0.35">
      <c r="F134" s="5"/>
    </row>
    <row r="135" spans="3:6" x14ac:dyDescent="0.35">
      <c r="F135" s="5"/>
    </row>
    <row r="136" spans="3:6" x14ac:dyDescent="0.35">
      <c r="F136" s="5"/>
    </row>
    <row r="137" spans="3:6" x14ac:dyDescent="0.35">
      <c r="F137" s="5"/>
    </row>
    <row r="138" spans="3:6" x14ac:dyDescent="0.35">
      <c r="F138" s="5"/>
    </row>
    <row r="139" spans="3:6" x14ac:dyDescent="0.35">
      <c r="F139" s="5"/>
    </row>
    <row r="140" spans="3:6" x14ac:dyDescent="0.35">
      <c r="F140" s="5"/>
    </row>
    <row r="141" spans="3:6" x14ac:dyDescent="0.35">
      <c r="F141" s="5"/>
    </row>
    <row r="142" spans="3:6" x14ac:dyDescent="0.35">
      <c r="F142" s="5"/>
    </row>
    <row r="143" spans="3:6" x14ac:dyDescent="0.35">
      <c r="F143" s="5"/>
    </row>
    <row r="144" spans="3:6" x14ac:dyDescent="0.35">
      <c r="F144" s="5"/>
    </row>
    <row r="145" spans="6:6" x14ac:dyDescent="0.35">
      <c r="F145" s="5"/>
    </row>
    <row r="146" spans="6:6" x14ac:dyDescent="0.35">
      <c r="F146" s="5"/>
    </row>
    <row r="147" spans="6:6" x14ac:dyDescent="0.35">
      <c r="F147" s="5"/>
    </row>
    <row r="148" spans="6:6" x14ac:dyDescent="0.35">
      <c r="F148" s="5"/>
    </row>
    <row r="149" spans="6:6" x14ac:dyDescent="0.35">
      <c r="F149" s="5"/>
    </row>
    <row r="150" spans="6:6" x14ac:dyDescent="0.35">
      <c r="F150" s="5"/>
    </row>
    <row r="151" spans="6:6" x14ac:dyDescent="0.35">
      <c r="F151" s="5"/>
    </row>
    <row r="152" spans="6:6" x14ac:dyDescent="0.35">
      <c r="F152" s="5"/>
    </row>
    <row r="153" spans="6:6" x14ac:dyDescent="0.35">
      <c r="F153" s="5"/>
    </row>
    <row r="154" spans="6:6" x14ac:dyDescent="0.35">
      <c r="F154" s="5"/>
    </row>
    <row r="155" spans="6:6" x14ac:dyDescent="0.35">
      <c r="F155" s="5"/>
    </row>
    <row r="156" spans="6:6" x14ac:dyDescent="0.35">
      <c r="F156" s="5"/>
    </row>
    <row r="157" spans="6:6" x14ac:dyDescent="0.35">
      <c r="F157" s="5"/>
    </row>
    <row r="158" spans="6:6" x14ac:dyDescent="0.35">
      <c r="F158" s="5"/>
    </row>
    <row r="159" spans="6:6" x14ac:dyDescent="0.35">
      <c r="F159" s="5"/>
    </row>
    <row r="160" spans="6:6" x14ac:dyDescent="0.35">
      <c r="F160" s="5"/>
    </row>
    <row r="161" spans="6:6" x14ac:dyDescent="0.35">
      <c r="F161" s="5"/>
    </row>
    <row r="162" spans="6:6" x14ac:dyDescent="0.35">
      <c r="F162" s="5"/>
    </row>
    <row r="163" spans="6:6" x14ac:dyDescent="0.3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71" bestFit="1" customWidth="1"/>
    <col min="2" max="4" width="11.453125" style="71"/>
    <col min="5" max="5" width="9.54296875" style="71" customWidth="1"/>
    <col min="6" max="7" width="11.453125" style="71"/>
    <col min="8" max="8" width="10.7265625" style="71" customWidth="1"/>
    <col min="9" max="9" width="9.453125" style="71" customWidth="1"/>
    <col min="10" max="11" width="10.54296875" style="71" bestFit="1" customWidth="1"/>
    <col min="12" max="12" width="14" style="71" bestFit="1" customWidth="1"/>
    <col min="13" max="13" width="14" style="71" customWidth="1"/>
    <col min="14" max="23" width="11.453125" style="71"/>
    <col min="24" max="24" width="11.7265625" style="71" bestFit="1" customWidth="1"/>
    <col min="25" max="25" width="14.54296875" style="71" bestFit="1" customWidth="1"/>
    <col min="26" max="26" width="12.453125" style="71" bestFit="1" customWidth="1"/>
    <col min="27" max="27" width="9.7265625" style="71" bestFit="1" customWidth="1"/>
    <col min="28" max="28" width="11" style="71" bestFit="1" customWidth="1"/>
    <col min="29" max="29" width="9.453125" style="71" bestFit="1" customWidth="1"/>
    <col min="30" max="31" width="9.453125" style="71" customWidth="1"/>
    <col min="32" max="32" width="11.453125" style="71"/>
    <col min="33" max="34" width="14" style="71" bestFit="1" customWidth="1"/>
    <col min="35" max="35" width="10.54296875" style="71" bestFit="1" customWidth="1"/>
    <col min="36" max="36" width="9.453125" style="71" bestFit="1" customWidth="1"/>
    <col min="37" max="38" width="10.54296875" style="71" bestFit="1" customWidth="1"/>
    <col min="39" max="41" width="10.54296875" style="71" customWidth="1"/>
    <col min="42" max="42" width="9" style="71" bestFit="1" customWidth="1"/>
    <col min="43" max="43" width="10.54296875" style="71" bestFit="1" customWidth="1"/>
    <col min="44" max="44" width="9.26953125" style="71" bestFit="1" customWidth="1"/>
    <col min="45" max="45" width="11.7265625" style="71" bestFit="1" customWidth="1"/>
    <col min="46" max="46" width="8.453125" style="71" bestFit="1" customWidth="1"/>
    <col min="47" max="47" width="9.453125" style="71" bestFit="1" customWidth="1"/>
    <col min="48" max="48" width="9.7265625" style="71" bestFit="1" customWidth="1"/>
    <col min="49" max="49" width="11" style="71" bestFit="1" customWidth="1"/>
    <col min="50" max="50" width="9.453125" style="71" bestFit="1" customWidth="1"/>
    <col min="51" max="52" width="9.453125" style="71" customWidth="1"/>
    <col min="53" max="53" width="10.54296875" style="71" bestFit="1" customWidth="1"/>
    <col min="54" max="54" width="14.26953125" style="71" customWidth="1"/>
    <col min="55" max="55" width="14" style="71" customWidth="1"/>
    <col min="56" max="56" width="10.54296875" style="71" bestFit="1" customWidth="1"/>
    <col min="57" max="57" width="9.453125" style="71" bestFit="1" customWidth="1"/>
    <col min="58" max="59" width="10.54296875" style="71" bestFit="1" customWidth="1"/>
    <col min="60" max="62" width="10.54296875" style="71" customWidth="1"/>
    <col min="63" max="63" width="9" style="71" bestFit="1" customWidth="1"/>
    <col min="64" max="64" width="10.54296875" style="71" bestFit="1" customWidth="1"/>
    <col min="65" max="65" width="9.26953125" style="71" bestFit="1" customWidth="1"/>
    <col min="66" max="66" width="11.7265625" style="71" bestFit="1" customWidth="1"/>
    <col min="67" max="67" width="8.453125" style="71" bestFit="1" customWidth="1"/>
    <col min="68" max="68" width="9.453125" style="71" bestFit="1" customWidth="1"/>
    <col min="69" max="69" width="9.7265625" style="71" bestFit="1" customWidth="1"/>
    <col min="70" max="70" width="11" style="71" bestFit="1" customWidth="1"/>
    <col min="71" max="71" width="9.453125" style="71" bestFit="1" customWidth="1"/>
    <col min="72" max="73" width="9.453125" style="71" customWidth="1"/>
    <col min="74" max="74" width="10.54296875" style="71" bestFit="1" customWidth="1"/>
    <col min="75" max="75" width="14" style="71" bestFit="1" customWidth="1"/>
    <col min="76" max="76" width="13.81640625" style="71" customWidth="1"/>
    <col min="77" max="77" width="10.54296875" style="71" bestFit="1" customWidth="1"/>
    <col min="78" max="78" width="9.453125" style="71" bestFit="1" customWidth="1"/>
    <col min="79" max="80" width="10.54296875" style="71" bestFit="1" customWidth="1"/>
    <col min="81" max="83" width="10.54296875" style="71" customWidth="1"/>
    <col min="84" max="84" width="11.453125" style="71"/>
    <col min="85" max="85" width="10.54296875" style="71" bestFit="1" customWidth="1"/>
    <col min="86" max="86" width="9.26953125" style="71" bestFit="1" customWidth="1"/>
    <col min="87" max="87" width="11.7265625" style="71" bestFit="1" customWidth="1"/>
    <col min="88" max="88" width="8.453125" style="71" bestFit="1" customWidth="1"/>
    <col min="89" max="89" width="9.453125" style="71" bestFit="1" customWidth="1"/>
    <col min="90" max="90" width="9.7265625" style="71" bestFit="1" customWidth="1"/>
    <col min="91" max="91" width="11" style="71" bestFit="1" customWidth="1"/>
    <col min="92" max="92" width="9.453125" style="71" bestFit="1" customWidth="1"/>
    <col min="93" max="94" width="9.453125" style="71" customWidth="1"/>
    <col min="95" max="95" width="11.453125" style="71"/>
    <col min="96" max="97" width="14" style="71" customWidth="1"/>
    <col min="98" max="98" width="10.54296875" style="71" bestFit="1" customWidth="1"/>
    <col min="99" max="99" width="9.453125" style="71" bestFit="1" customWidth="1"/>
    <col min="100" max="101" width="10.54296875" style="71" bestFit="1" customWidth="1"/>
    <col min="102" max="104" width="10.54296875" style="71" customWidth="1"/>
    <col min="105" max="105" width="9" style="71" bestFit="1" customWidth="1"/>
    <col min="106" max="106" width="10.54296875" style="71" bestFit="1" customWidth="1"/>
    <col min="107" max="107" width="9.26953125" style="71" bestFit="1" customWidth="1"/>
    <col min="108" max="108" width="11.7265625" style="71" bestFit="1" customWidth="1"/>
    <col min="109" max="109" width="8.453125" style="71" bestFit="1" customWidth="1"/>
    <col min="110" max="110" width="9.453125" style="71" bestFit="1" customWidth="1"/>
    <col min="111" max="111" width="9.7265625" style="71" bestFit="1" customWidth="1"/>
    <col min="112" max="112" width="11" style="71" bestFit="1" customWidth="1"/>
    <col min="113" max="113" width="9.453125" style="71" bestFit="1" customWidth="1"/>
    <col min="114" max="115" width="9.453125" style="71" customWidth="1"/>
    <col min="116" max="116" width="10.54296875" style="71" bestFit="1" customWidth="1"/>
    <col min="117" max="117" width="14.26953125" style="71" customWidth="1"/>
    <col min="118" max="118" width="14" style="71" bestFit="1" customWidth="1"/>
    <col min="119" max="119" width="10.54296875" style="71" bestFit="1" customWidth="1"/>
    <col min="120" max="120" width="9.453125" style="71" bestFit="1" customWidth="1"/>
    <col min="121" max="122" width="10.54296875" style="71" bestFit="1" customWidth="1"/>
    <col min="123" max="125" width="10.54296875" style="71" customWidth="1"/>
    <col min="126" max="126" width="9" style="71" bestFit="1" customWidth="1"/>
    <col min="127" max="127" width="10.54296875" style="71" bestFit="1" customWidth="1"/>
    <col min="128" max="128" width="9.26953125" style="71" bestFit="1" customWidth="1"/>
    <col min="129" max="129" width="11.7265625" style="71" bestFit="1" customWidth="1"/>
    <col min="130" max="130" width="8.453125" style="71" bestFit="1" customWidth="1"/>
    <col min="131" max="131" width="9.453125" style="71" bestFit="1" customWidth="1"/>
    <col min="132" max="132" width="9.7265625" style="71" bestFit="1" customWidth="1"/>
    <col min="133" max="133" width="11" style="71" bestFit="1" customWidth="1"/>
    <col min="134" max="134" width="9.453125" style="71" bestFit="1" customWidth="1"/>
    <col min="135" max="136" width="9.453125" style="71" customWidth="1"/>
    <col min="137" max="137" width="10.54296875" style="71" bestFit="1" customWidth="1"/>
    <col min="138" max="139" width="14" style="71" customWidth="1"/>
    <col min="140" max="140" width="10.54296875" style="71" bestFit="1" customWidth="1"/>
    <col min="141" max="141" width="9.453125" style="71" bestFit="1" customWidth="1"/>
    <col min="142" max="143" width="10.54296875" style="71" bestFit="1" customWidth="1"/>
    <col min="144" max="146" width="10.54296875" style="71" customWidth="1"/>
    <col min="147" max="147" width="9" style="71" bestFit="1" customWidth="1"/>
    <col min="148" max="148" width="10.54296875" style="71" bestFit="1" customWidth="1"/>
    <col min="149" max="149" width="9.26953125" style="71" bestFit="1" customWidth="1"/>
    <col min="150" max="150" width="11.7265625" style="71" bestFit="1" customWidth="1"/>
    <col min="151" max="151" width="8.453125" style="71" bestFit="1" customWidth="1"/>
    <col min="152" max="152" width="9.453125" style="71" bestFit="1" customWidth="1"/>
    <col min="153" max="153" width="9.7265625" style="71" bestFit="1" customWidth="1"/>
    <col min="154" max="154" width="11" style="71" bestFit="1" customWidth="1"/>
    <col min="155" max="155" width="9.453125" style="71" bestFit="1" customWidth="1"/>
    <col min="156" max="157" width="9.453125" style="71" customWidth="1"/>
    <col min="158" max="158" width="11.453125" style="71"/>
    <col min="159" max="160" width="14" style="71" bestFit="1" customWidth="1"/>
    <col min="161" max="161" width="10.54296875" style="71" bestFit="1" customWidth="1"/>
    <col min="162" max="162" width="9.453125" style="71" bestFit="1" customWidth="1"/>
    <col min="163" max="164" width="10.54296875" style="71" bestFit="1" customWidth="1"/>
    <col min="165" max="167" width="10.54296875" style="71" customWidth="1"/>
    <col min="168" max="168" width="9" style="71" bestFit="1" customWidth="1"/>
    <col min="169" max="169" width="10.54296875" style="71" bestFit="1" customWidth="1"/>
    <col min="170" max="170" width="9.26953125" style="71" bestFit="1" customWidth="1"/>
    <col min="171" max="171" width="11.7265625" style="71" bestFit="1" customWidth="1"/>
    <col min="172" max="172" width="8.1796875" style="71" bestFit="1" customWidth="1"/>
    <col min="173" max="173" width="9.453125" style="71" bestFit="1" customWidth="1"/>
    <col min="174" max="174" width="9.7265625" style="71" bestFit="1" customWidth="1"/>
    <col min="175" max="175" width="11" style="71" bestFit="1" customWidth="1"/>
    <col min="176" max="176" width="9.453125" style="71" bestFit="1" customWidth="1"/>
    <col min="177" max="178" width="9.453125" style="71" customWidth="1"/>
    <col min="179" max="179" width="10.54296875" style="71" bestFit="1" customWidth="1"/>
    <col min="180" max="181" width="14" style="71" bestFit="1" customWidth="1"/>
    <col min="182" max="182" width="10.54296875" style="71" bestFit="1" customWidth="1"/>
    <col min="183" max="183" width="9.453125" style="71" bestFit="1" customWidth="1"/>
    <col min="184" max="185" width="10.54296875" style="71" bestFit="1" customWidth="1"/>
    <col min="186" max="188" width="10.54296875" style="71" customWidth="1"/>
    <col min="189" max="189" width="9" style="71" bestFit="1" customWidth="1"/>
    <col min="190" max="190" width="10.54296875" style="71" bestFit="1" customWidth="1"/>
    <col min="191" max="191" width="9.26953125" style="71" bestFit="1" customWidth="1"/>
    <col min="192" max="192" width="11.453125" style="71"/>
    <col min="193" max="193" width="8.453125" style="71" bestFit="1" customWidth="1"/>
    <col min="194" max="194" width="9.453125" style="71" bestFit="1" customWidth="1"/>
    <col min="195" max="195" width="9.7265625" style="71" bestFit="1" customWidth="1"/>
    <col min="196" max="196" width="11" style="71" bestFit="1" customWidth="1"/>
    <col min="197" max="197" width="9.453125" style="71" bestFit="1" customWidth="1"/>
    <col min="198" max="199" width="9.453125" style="71" customWidth="1"/>
    <col min="200" max="200" width="10.54296875" style="71" bestFit="1" customWidth="1"/>
    <col min="201" max="201" width="14" style="71" customWidth="1"/>
    <col min="202" max="202" width="14.26953125" style="71" customWidth="1"/>
    <col min="203" max="203" width="10.54296875" style="71" bestFit="1" customWidth="1"/>
    <col min="204" max="204" width="9.453125" style="71" bestFit="1" customWidth="1"/>
    <col min="205" max="206" width="10.54296875" style="71" bestFit="1" customWidth="1"/>
    <col min="207" max="209" width="10.54296875" style="71" customWidth="1"/>
    <col min="210" max="210" width="9" style="71" bestFit="1" customWidth="1"/>
    <col min="211" max="211" width="10.54296875" style="71" bestFit="1" customWidth="1"/>
    <col min="212" max="212" width="9.26953125" style="71" bestFit="1" customWidth="1"/>
    <col min="213" max="213" width="11.7265625" style="71" bestFit="1" customWidth="1"/>
    <col min="214" max="214" width="8.453125" style="71" bestFit="1" customWidth="1"/>
    <col min="215" max="215" width="9.453125" style="71" bestFit="1" customWidth="1"/>
    <col min="216" max="216" width="9.7265625" style="71" bestFit="1" customWidth="1"/>
    <col min="217" max="217" width="11" style="71" bestFit="1" customWidth="1"/>
    <col min="218" max="218" width="9.453125" style="71" bestFit="1" customWidth="1"/>
    <col min="219" max="16384" width="11.453125" style="71"/>
  </cols>
  <sheetData>
    <row r="1" spans="1:218" s="5" customFormat="1" ht="26.5" thickBot="1" x14ac:dyDescent="0.6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Chêne sessile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>Hêtre</v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58.5" thickBot="1" x14ac:dyDescent="0.4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3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172.45217697899039</v>
      </c>
      <c r="T3" s="62">
        <f>IF('Données projet'!E9&gt;30,$R$33-$H$33,LOOKUP('Données projet'!$E$9,$A$3:$A$203,R3:R203)-LOOKUP('Données projet'!$E$9,$A$3:$A$203,$H$3:$H$203))</f>
        <v>223.74038909289629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364.3481978218424</v>
      </c>
      <c r="AO3" s="62">
        <f>IF('Données projet'!E10&gt;30,$AM$33-$H$33,LOOKUP('Données projet'!$E$10,$A$3:$A$203,AM3:AM203)-LOOKUP('Données projet'!$E$10,$A$3:$A$203,$H$3:$H$203))</f>
        <v>231.36959598460686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256.66666666666669</v>
      </c>
      <c r="BI3" s="62">
        <f ca="1">AVERAGE(OFFSET($BH$3,0,0,'Données projet'!$E$11+1,1))-AVERAGE(OFFSET($H$3,0,0,'Données projet'!$E$11+1,1))</f>
        <v>403.50418598112844</v>
      </c>
      <c r="BJ3" s="62">
        <f>IF('Données projet'!E11&gt;30,$BH$33-$H$33,LOOKUP('Données projet'!$E$11,$A$3:$A$203,BH3:BH203)-LOOKUP('Données projet'!$E$11,$A$3:$A$203,$H$3:$H$203))</f>
        <v>254.25036207346591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256.66666666666669</v>
      </c>
      <c r="CD3" s="62">
        <f ca="1">AVERAGE(OFFSET($CC$3,0,0,'Données projet'!$E$12+1,1))-AVERAGE(OFFSET($H$3,0,0,'Données projet'!$E$12+1,1))</f>
        <v>347.72886258008998</v>
      </c>
      <c r="CE3" s="62">
        <f>IF('Données projet'!E12&gt;30,$CC$33-$H$33,LOOKUP('Données projet'!$E$12,$A$3:$A$203,CC3:CC203)-LOOKUP('Données projet'!$E$12,$A$3:$A$203,$H$3:$H$203))</f>
        <v>176.81257896138806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3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7.9</v>
      </c>
      <c r="N4" s="14">
        <f>IF('Données projet'!$A$36&gt;35,N3+M4-V3,IF(A4&lt;'Données projet'!$A$36,$K$205^A4,IF(A4='Données projet'!$A$36,'Données projet'!$B$36,N3+M4-V3)))</f>
        <v>1.2880503926580862</v>
      </c>
      <c r="O4" s="14">
        <f>N4*VLOOKUP('Données projet'!$B$9,Paramètres!$A$1:$I$89,3,0)*VLOOKUP('Données projet'!$B$9,Paramètres!$A$1:$I$89,5,0)</f>
        <v>0.60280758376398436</v>
      </c>
      <c r="P4" s="14">
        <f>EXP(-1.0587+0.8836*LN(O4)+0.284)</f>
        <v>0.29465781953181042</v>
      </c>
      <c r="Q4" s="22">
        <f t="shared" ref="Q4:Q34" si="2">(O4+P4)*0.475*44/12</f>
        <v>1.5630855774068424</v>
      </c>
      <c r="R4" s="62">
        <f t="shared" si="0"/>
        <v>259.45197446629572</v>
      </c>
      <c r="S4" s="62">
        <f ca="1">AVERAGE(OFFSET($R$3,0,0,'Données projet'!$E$9+1,1))-AVERAGE(OFFSET($H$3,0,0,'Données projet'!$E$9+1,1))</f>
        <v>172.45217697899039</v>
      </c>
      <c r="T4" s="62">
        <f>$T$3</f>
        <v>223.74038909289629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2.1</v>
      </c>
      <c r="AI4" s="14">
        <f>IF('Données projet'!$A$62&gt;35,AI3+AH4-AQ3,IF(A4&lt;'Données projet'!$A$62,$AF$205^A4,IF(A4='Données projet'!$A$62,'Données projet'!$B$62,AI3+AH4-AQ3)))</f>
        <v>1.2054868146447177</v>
      </c>
      <c r="AJ4" s="14">
        <f>AI4*VLOOKUP('Données projet'!$B$10,Paramètres!$A$1:$I$89,3,0)*VLOOKUP('Données projet'!$B$10,Paramètres!$A$1:$I$89,5,0)</f>
        <v>1.0907244698905405</v>
      </c>
      <c r="AK4" s="14">
        <f>EXP(-1.0587+0.8836*LN(AJ4)+0.284)</f>
        <v>0.49759623852608204</v>
      </c>
      <c r="AL4" s="22">
        <f t="shared" ref="AL4:AL67" si="4">(AJ4+AK4)*0.475*44/12</f>
        <v>2.7663252338256172</v>
      </c>
      <c r="AM4" s="62">
        <f t="shared" ref="AM4:AM67" si="5">AL4+(AD4+AE4)*44/12</f>
        <v>260.65521412271448</v>
      </c>
      <c r="AN4" s="62">
        <f ca="1">AVERAGE(OFFSET($AM$3,0,0,'Données projet'!$E$10+1,1))-AVERAGE(OFFSET($H$3,0,0,'Données projet'!$E$10+1,1))</f>
        <v>364.3481978218424</v>
      </c>
      <c r="AO4" s="62">
        <f>$AO$3</f>
        <v>231.36959598460686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2.1</v>
      </c>
      <c r="BD4" s="13">
        <f>IF('Données projet'!$A$88&gt;35,BD3+BC4-BL3,IF(A4&lt;'Données projet'!$A$88,$BA$205^A4,IF(A4='Données projet'!$A$88,'Données projet'!$B$88,BD3+BC4-BL3)))</f>
        <v>1.2054868146447177</v>
      </c>
      <c r="BE4" s="14">
        <f>BD4*VLOOKUP('Données projet'!$B$11,Paramètres!$A$1:$I$89,3,0)*VLOOKUP('Données projet'!$B$11,Paramètres!$A$1:$I$89,5,0)</f>
        <v>1.2223636300497438</v>
      </c>
      <c r="BF4" s="14">
        <f>EXP(-1.0587+0.8836*LN(BE4)+0.284)</f>
        <v>0.55030360208821416</v>
      </c>
      <c r="BG4" s="22">
        <f t="shared" ref="BG4:BG67" si="7">(BE4+BF4)*0.475*44/12</f>
        <v>3.0873954293069432</v>
      </c>
      <c r="BH4" s="62">
        <f t="shared" ref="BH4:BH67" si="8">BG4+(AY4+AZ4)*44/12</f>
        <v>260.97628431819578</v>
      </c>
      <c r="BI4" s="62">
        <f ca="1">AVERAGE(OFFSET($BH$3,0,0,'Données projet'!$E$11+1,1))-AVERAGE(OFFSET($H$3,0,0,'Données projet'!$E$11+1,1))</f>
        <v>403.50418598112844</v>
      </c>
      <c r="BJ4" s="62">
        <f>$BJ$3</f>
        <v>254.25036207346591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1.6</v>
      </c>
      <c r="BY4" s="13">
        <f>IF('Données projet'!$A$114&gt;35,BY3+BX4-CG3,IF(A4&lt;'Données projet'!$A$114,$BV$205^A4,IF(A4='Données projet'!$A$114,'Données projet'!$B$114,BY3+BX4-CG3)))</f>
        <v>1.1589972344055464</v>
      </c>
      <c r="BZ4" s="14">
        <f>BY4*VLOOKUP('Données projet'!$B$12,Paramètres!$A$1:$I$89,3,0)*VLOOKUP('Données projet'!$B$12,Paramètres!$A$1:$I$89,5,0)</f>
        <v>0.9944196271199589</v>
      </c>
      <c r="CA4" s="14">
        <f>EXP(-1.0587+0.8836*LN(BZ4)+0.284)</f>
        <v>0.4585689454773958</v>
      </c>
      <c r="CB4" s="22">
        <f t="shared" ref="CB4:CB67" si="10">(BZ4+CA4)*0.475*44/12</f>
        <v>2.5306217639403932</v>
      </c>
      <c r="CC4" s="62">
        <f t="shared" ref="CC4:CC67" si="11">CB4+(BT4+BU4)*44/12</f>
        <v>260.41951065282927</v>
      </c>
      <c r="CD4" s="62">
        <f ca="1">AVERAGE(OFFSET($CC$3,0,0,'Données projet'!$E$12+1,1))-AVERAGE(OFFSET($H$3,0,0,'Données projet'!$E$12+1,1))</f>
        <v>347.72886258008998</v>
      </c>
      <c r="CE4" s="62">
        <f>$CE$3</f>
        <v>176.81257896138806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3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7.9</v>
      </c>
      <c r="N5" s="14">
        <f>IF('Données projet'!$A$36&gt;35,N4+M5-V4,IF(A5&lt;'Données projet'!$A$36,$K$205^A5,IF(A5='Données projet'!$A$36,'Données projet'!$B$36,N4+M5-V4)))</f>
        <v>1.6590738140266501</v>
      </c>
      <c r="O5" s="14">
        <f>N5*VLOOKUP('Données projet'!$B$9,Paramètres!$A$1:$I$89,3,0)*VLOOKUP('Données projet'!$B$9,Paramètres!$A$1:$I$89,5,0)</f>
        <v>0.77644654496447219</v>
      </c>
      <c r="P5" s="14">
        <f t="shared" ref="P5:P68" si="33">EXP(-1.0587+0.8836*LN(O5)+0.284)</f>
        <v>0.36851455096495994</v>
      </c>
      <c r="Q5" s="22">
        <f t="shared" si="2"/>
        <v>1.9941405754104276</v>
      </c>
      <c r="R5" s="62">
        <f t="shared" si="0"/>
        <v>261.10525168652157</v>
      </c>
      <c r="S5" s="62">
        <f ca="1">AVERAGE(OFFSET($R$3,0,0,'Données projet'!$E$9+1,1))-AVERAGE(OFFSET($H$3,0,0,'Données projet'!$E$9+1,1))</f>
        <v>172.45217697899039</v>
      </c>
      <c r="T5" s="62">
        <f t="shared" ref="T5:T68" si="34">$T$3</f>
        <v>223.74038909289629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2.1</v>
      </c>
      <c r="AI5" s="14">
        <f>IF('Données projet'!$A$62&gt;35,AI4+AH5-AQ4,IF(A5&lt;'Données projet'!$A$62,$AF$205^A5,IF(A5='Données projet'!$A$62,'Données projet'!$B$62,AI4+AH5-AQ4)))</f>
        <v>1.4531984602822681</v>
      </c>
      <c r="AJ5" s="14">
        <f>AI5*VLOOKUP('Données projet'!$B$10,Paramètres!$A$1:$I$89,3,0)*VLOOKUP('Données projet'!$B$10,Paramètres!$A$1:$I$89,5,0)</f>
        <v>1.3148539668633961</v>
      </c>
      <c r="AK5" s="14">
        <f t="shared" ref="AK5:AK68" si="35">EXP(-1.0587+0.8836*LN(AJ5)+0.284)</f>
        <v>0.58693801963664449</v>
      </c>
      <c r="AL5" s="22">
        <f t="shared" si="4"/>
        <v>3.3122877098209038</v>
      </c>
      <c r="AM5" s="62">
        <f t="shared" si="5"/>
        <v>262.42339882093205</v>
      </c>
      <c r="AN5" s="62">
        <f ca="1">AVERAGE(OFFSET($AM$3,0,0,'Données projet'!$E$10+1,1))-AVERAGE(OFFSET($H$3,0,0,'Données projet'!$E$10+1,1))</f>
        <v>364.3481978218424</v>
      </c>
      <c r="AO5" s="62">
        <f t="shared" ref="AO5:AO68" si="36">$AO$3</f>
        <v>231.36959598460686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2.1</v>
      </c>
      <c r="BD5" s="13">
        <f>IF('Données projet'!$A$88&gt;35,BD4+BC5-BL4,IF(A5&lt;'Données projet'!$A$88,$BA$205^A5,IF(A5='Données projet'!$A$88,'Données projet'!$B$88,BD4+BC5-BL4)))</f>
        <v>1.4531984602822681</v>
      </c>
      <c r="BE5" s="14">
        <f>BD5*VLOOKUP('Données projet'!$B$11,Paramètres!$A$1:$I$89,3,0)*VLOOKUP('Données projet'!$B$11,Paramètres!$A$1:$I$89,5,0)</f>
        <v>1.47354323872622</v>
      </c>
      <c r="BF5" s="14">
        <f t="shared" ref="BF5:BF68" si="37">EXP(-1.0587+0.8836*LN(BE5)+0.284)</f>
        <v>0.64910881835703094</v>
      </c>
      <c r="BG5" s="22">
        <f t="shared" si="7"/>
        <v>3.6969523327533285</v>
      </c>
      <c r="BH5" s="62">
        <f t="shared" si="8"/>
        <v>262.80806344386446</v>
      </c>
      <c r="BI5" s="62">
        <f ca="1">AVERAGE(OFFSET($BH$3,0,0,'Données projet'!$E$11+1,1))-AVERAGE(OFFSET($H$3,0,0,'Données projet'!$E$11+1,1))</f>
        <v>403.50418598112844</v>
      </c>
      <c r="BJ5" s="62">
        <f t="shared" ref="BJ5:BJ68" si="38">$BJ$3</f>
        <v>254.25036207346591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1.6</v>
      </c>
      <c r="BY5" s="13">
        <f>IF('Données projet'!$A$114&gt;35,BY4+BX5-CG4,IF(A5&lt;'Données projet'!$A$114,$BV$205^A5,IF(A5='Données projet'!$A$114,'Données projet'!$B$114,BY4+BX5-CG4)))</f>
        <v>1.3432745893597049</v>
      </c>
      <c r="BZ5" s="14">
        <f>BY5*VLOOKUP('Données projet'!$B$12,Paramètres!$A$1:$I$89,3,0)*VLOOKUP('Données projet'!$B$12,Paramètres!$A$1:$I$89,5,0)</f>
        <v>1.1525295976706269</v>
      </c>
      <c r="CA5" s="14">
        <f t="shared" ref="CA5:CA68" si="39">EXP(-1.0587+0.8836*LN(BZ5)+0.284)</f>
        <v>0.52242968866386141</v>
      </c>
      <c r="CB5" s="22">
        <f t="shared" si="10"/>
        <v>2.9172207570325672</v>
      </c>
      <c r="CC5" s="62">
        <f t="shared" si="11"/>
        <v>262.02833186814371</v>
      </c>
      <c r="CD5" s="62">
        <f ca="1">AVERAGE(OFFSET($CC$3,0,0,'Données projet'!$E$12+1,1))-AVERAGE(OFFSET($H$3,0,0,'Données projet'!$E$12+1,1))</f>
        <v>347.72886258008998</v>
      </c>
      <c r="CE5" s="62">
        <f t="shared" ref="CE5:CE68" si="40">$CE$3</f>
        <v>176.81257896138806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3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7.9</v>
      </c>
      <c r="N6" s="14">
        <f>IF('Données projet'!$A$36&gt;35,N5+M6-V5,IF(A6&lt;'Données projet'!$A$36,$K$205^A6,IF(A6='Données projet'!$A$36,'Données projet'!$B$36,N5+M6-V5)))</f>
        <v>2.1369706776057753</v>
      </c>
      <c r="O6" s="14">
        <f>N6*VLOOKUP('Données projet'!$B$9,Paramètres!$A$1:$I$89,3,0)*VLOOKUP('Données projet'!$B$9,Paramètres!$A$1:$I$89,5,0)</f>
        <v>1.0001022771195029</v>
      </c>
      <c r="P6" s="14">
        <f t="shared" si="33"/>
        <v>0.46088365986243646</v>
      </c>
      <c r="Q6" s="22">
        <f t="shared" si="2"/>
        <v>2.5445505069102112</v>
      </c>
      <c r="R6" s="62">
        <f t="shared" si="0"/>
        <v>262.8778838402435</v>
      </c>
      <c r="S6" s="62">
        <f ca="1">AVERAGE(OFFSET($R$3,0,0,'Données projet'!$E$9+1,1))-AVERAGE(OFFSET($H$3,0,0,'Données projet'!$E$9+1,1))</f>
        <v>172.45217697899039</v>
      </c>
      <c r="T6" s="62">
        <f t="shared" si="34"/>
        <v>223.74038909289629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2.1</v>
      </c>
      <c r="AI6" s="14">
        <f>IF('Données projet'!$A$62&gt;35,AI5+AH6-AQ5,IF(A6&lt;'Données projet'!$A$62,$AF$205^A6,IF(A6='Données projet'!$A$62,'Données projet'!$B$62,AI5+AH6-AQ5)))</f>
        <v>1.7518115829322798</v>
      </c>
      <c r="AJ6" s="14">
        <f>AI6*VLOOKUP('Données projet'!$B$10,Paramètres!$A$1:$I$89,3,0)*VLOOKUP('Données projet'!$B$10,Paramètres!$A$1:$I$89,5,0)</f>
        <v>1.5850391202371266</v>
      </c>
      <c r="AK6" s="14">
        <f t="shared" si="35"/>
        <v>0.69232082604846479</v>
      </c>
      <c r="AL6" s="22">
        <f t="shared" si="4"/>
        <v>3.966401906447405</v>
      </c>
      <c r="AM6" s="62">
        <f t="shared" si="5"/>
        <v>264.29973523978072</v>
      </c>
      <c r="AN6" s="62">
        <f ca="1">AVERAGE(OFFSET($AM$3,0,0,'Données projet'!$E$10+1,1))-AVERAGE(OFFSET($H$3,0,0,'Données projet'!$E$10+1,1))</f>
        <v>364.3481978218424</v>
      </c>
      <c r="AO6" s="62">
        <f t="shared" si="36"/>
        <v>231.36959598460686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2.1</v>
      </c>
      <c r="BD6" s="13">
        <f>IF('Données projet'!$A$88&gt;35,BD5+BC6-BL5,IF(A6&lt;'Données projet'!$A$88,$BA$205^A6,IF(A6='Données projet'!$A$88,'Données projet'!$B$88,BD5+BC6-BL5)))</f>
        <v>1.7518115829322798</v>
      </c>
      <c r="BE6" s="14">
        <f>BD6*VLOOKUP('Données projet'!$B$11,Paramètres!$A$1:$I$89,3,0)*VLOOKUP('Données projet'!$B$11,Paramètres!$A$1:$I$89,5,0)</f>
        <v>1.7763369450933317</v>
      </c>
      <c r="BF6" s="14">
        <f t="shared" si="37"/>
        <v>0.76565418883323866</v>
      </c>
      <c r="BG6" s="22">
        <f t="shared" si="7"/>
        <v>4.4273012249221102</v>
      </c>
      <c r="BH6" s="62">
        <f t="shared" si="8"/>
        <v>264.76063455825545</v>
      </c>
      <c r="BI6" s="62">
        <f ca="1">AVERAGE(OFFSET($BH$3,0,0,'Données projet'!$E$11+1,1))-AVERAGE(OFFSET($H$3,0,0,'Données projet'!$E$11+1,1))</f>
        <v>403.50418598112844</v>
      </c>
      <c r="BJ6" s="62">
        <f t="shared" si="38"/>
        <v>254.25036207346591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1.6</v>
      </c>
      <c r="BY6" s="13">
        <f>IF('Données projet'!$A$114&gt;35,BY5+BX6-CG5,IF(A6&lt;'Données projet'!$A$114,$BV$205^A6,IF(A6='Données projet'!$A$114,'Données projet'!$B$114,BY5+BX6-CG5)))</f>
        <v>1.5568515341151439</v>
      </c>
      <c r="BZ6" s="14">
        <f>BY6*VLOOKUP('Données projet'!$B$12,Paramètres!$A$1:$I$89,3,0)*VLOOKUP('Données projet'!$B$12,Paramètres!$A$1:$I$89,5,0)</f>
        <v>1.3357786162707936</v>
      </c>
      <c r="CA6" s="14">
        <f t="shared" si="39"/>
        <v>0.5951837390848197</v>
      </c>
      <c r="CB6" s="22">
        <f t="shared" si="10"/>
        <v>3.3630927689110268</v>
      </c>
      <c r="CC6" s="62">
        <f t="shared" si="11"/>
        <v>263.69642610224435</v>
      </c>
      <c r="CD6" s="62">
        <f ca="1">AVERAGE(OFFSET($CC$3,0,0,'Données projet'!$E$12+1,1))-AVERAGE(OFFSET($H$3,0,0,'Données projet'!$E$12+1,1))</f>
        <v>347.72886258008998</v>
      </c>
      <c r="CE6" s="62">
        <f t="shared" si="40"/>
        <v>176.81257896138806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3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7.9</v>
      </c>
      <c r="N7" s="14">
        <f>IF('Données projet'!$A$36&gt;35,N6+M7-V6,IF(A7&lt;'Données projet'!$A$36,$K$205^A7,IF(A7='Données projet'!$A$36,'Données projet'!$B$36,N6+M7-V6)))</f>
        <v>2.7525259203889356</v>
      </c>
      <c r="O7" s="14">
        <f>N7*VLOOKUP('Données projet'!$B$9,Paramètres!$A$1:$I$89,3,0)*VLOOKUP('Données projet'!$B$9,Paramètres!$A$1:$I$89,5,0)</f>
        <v>1.2881821307420218</v>
      </c>
      <c r="P7" s="14">
        <f t="shared" si="33"/>
        <v>0.57640532069082717</v>
      </c>
      <c r="Q7" s="22">
        <f t="shared" si="2"/>
        <v>3.2474898112455457</v>
      </c>
      <c r="R7" s="62">
        <f t="shared" si="0"/>
        <v>264.80304536680109</v>
      </c>
      <c r="S7" s="62">
        <f ca="1">AVERAGE(OFFSET($R$3,0,0,'Données projet'!$E$9+1,1))-AVERAGE(OFFSET($H$3,0,0,'Données projet'!$E$9+1,1))</f>
        <v>172.45217697899039</v>
      </c>
      <c r="T7" s="62">
        <f t="shared" si="34"/>
        <v>223.74038909289629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2.1</v>
      </c>
      <c r="AI7" s="14">
        <f>IF('Données projet'!$A$62&gt;35,AI6+AH7-AQ6,IF(A7&lt;'Données projet'!$A$62,$AF$205^A7,IF(A7='Données projet'!$A$62,'Données projet'!$B$62,AI6+AH7-AQ6)))</f>
        <v>2.1117857649667546</v>
      </c>
      <c r="AJ7" s="14">
        <f>AI7*VLOOKUP('Données projet'!$B$10,Paramètres!$A$1:$I$89,3,0)*VLOOKUP('Données projet'!$B$10,Paramètres!$A$1:$I$89,5,0)</f>
        <v>1.9107437601419195</v>
      </c>
      <c r="AK7" s="14">
        <f t="shared" si="35"/>
        <v>0.81662477151702284</v>
      </c>
      <c r="AL7" s="22">
        <f t="shared" si="4"/>
        <v>4.7501668593059909</v>
      </c>
      <c r="AM7" s="62">
        <f t="shared" si="5"/>
        <v>266.30572241486152</v>
      </c>
      <c r="AN7" s="62">
        <f ca="1">AVERAGE(OFFSET($AM$3,0,0,'Données projet'!$E$10+1,1))-AVERAGE(OFFSET($H$3,0,0,'Données projet'!$E$10+1,1))</f>
        <v>364.3481978218424</v>
      </c>
      <c r="AO7" s="62">
        <f t="shared" si="36"/>
        <v>231.36959598460686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2.1</v>
      </c>
      <c r="BD7" s="13">
        <f>IF('Données projet'!$A$88&gt;35,BD6+BC7-BL6,IF(A7&lt;'Données projet'!$A$88,$BA$205^A7,IF(A7='Données projet'!$A$88,'Données projet'!$B$88,BD6+BC7-BL6)))</f>
        <v>2.1117857649667546</v>
      </c>
      <c r="BE7" s="14">
        <f>BD7*VLOOKUP('Données projet'!$B$11,Paramètres!$A$1:$I$89,3,0)*VLOOKUP('Données projet'!$B$11,Paramètres!$A$1:$I$89,5,0)</f>
        <v>2.1413507656762891</v>
      </c>
      <c r="BF7" s="14">
        <f t="shared" si="37"/>
        <v>0.9031249003236328</v>
      </c>
      <c r="BG7" s="22">
        <f t="shared" si="7"/>
        <v>5.3024617849498643</v>
      </c>
      <c r="BH7" s="62">
        <f t="shared" si="8"/>
        <v>266.8580173405054</v>
      </c>
      <c r="BI7" s="62">
        <f ca="1">AVERAGE(OFFSET($BH$3,0,0,'Données projet'!$E$11+1,1))-AVERAGE(OFFSET($H$3,0,0,'Données projet'!$E$11+1,1))</f>
        <v>403.50418598112844</v>
      </c>
      <c r="BJ7" s="62">
        <f t="shared" si="38"/>
        <v>254.25036207346591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1.6</v>
      </c>
      <c r="BY7" s="13">
        <f>IF('Données projet'!$A$114&gt;35,BY6+BX7-CG6,IF(A7&lt;'Données projet'!$A$114,$BV$205^A7,IF(A7='Données projet'!$A$114,'Données projet'!$B$114,BY6+BX7-CG6)))</f>
        <v>1.8043866224194838</v>
      </c>
      <c r="BZ7" s="14">
        <f>BY7*VLOOKUP('Données projet'!$B$12,Paramètres!$A$1:$I$89,3,0)*VLOOKUP('Données projet'!$B$12,Paramètres!$A$1:$I$89,5,0)</f>
        <v>1.5481637220359172</v>
      </c>
      <c r="CA7" s="14">
        <f t="shared" si="39"/>
        <v>0.67806958708066833</v>
      </c>
      <c r="CB7" s="22">
        <f t="shared" si="10"/>
        <v>3.8773563467113861</v>
      </c>
      <c r="CC7" s="62">
        <f t="shared" si="11"/>
        <v>265.43291190226694</v>
      </c>
      <c r="CD7" s="62">
        <f ca="1">AVERAGE(OFFSET($CC$3,0,0,'Données projet'!$E$12+1,1))-AVERAGE(OFFSET($H$3,0,0,'Données projet'!$E$12+1,1))</f>
        <v>347.72886258008998</v>
      </c>
      <c r="CE7" s="62">
        <f t="shared" si="40"/>
        <v>176.81257896138806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3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7.9</v>
      </c>
      <c r="N8" s="14">
        <f>IF('Données projet'!$A$36&gt;35,N7+M8-V7,IF(A8&lt;'Données projet'!$A$36,$K$205^A8,IF(A8='Données projet'!$A$36,'Données projet'!$B$36,N7+M8-V7)))</f>
        <v>3.5453920925585285</v>
      </c>
      <c r="O8" s="14">
        <f>N8*VLOOKUP('Données projet'!$B$9,Paramètres!$A$1:$I$89,3,0)*VLOOKUP('Données projet'!$B$9,Paramètres!$A$1:$I$89,5,0)</f>
        <v>1.6592434993173915</v>
      </c>
      <c r="P8" s="14">
        <f t="shared" si="33"/>
        <v>0.72088277944126433</v>
      </c>
      <c r="Q8" s="22">
        <f t="shared" si="2"/>
        <v>4.1453866021713255</v>
      </c>
      <c r="R8" s="62">
        <f t="shared" si="0"/>
        <v>266.92316437994907</v>
      </c>
      <c r="S8" s="62">
        <f ca="1">AVERAGE(OFFSET($R$3,0,0,'Données projet'!$E$9+1,1))-AVERAGE(OFFSET($H$3,0,0,'Données projet'!$E$9+1,1))</f>
        <v>172.45217697899039</v>
      </c>
      <c r="T8" s="62">
        <f t="shared" si="34"/>
        <v>223.74038909289629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2.1</v>
      </c>
      <c r="AI8" s="14">
        <f>IF('Données projet'!$A$62&gt;35,AI7+AH8-AQ7,IF(A8&lt;'Données projet'!$A$62,$AF$205^A8,IF(A8='Données projet'!$A$62,'Données projet'!$B$62,AI7+AH8-AQ7)))</f>
        <v>2.5457298950218314</v>
      </c>
      <c r="AJ8" s="14">
        <f>AI8*VLOOKUP('Données projet'!$B$10,Paramètres!$A$1:$I$89,3,0)*VLOOKUP('Données projet'!$B$10,Paramètres!$A$1:$I$89,5,0)</f>
        <v>2.3033764090157529</v>
      </c>
      <c r="AK8" s="14">
        <f t="shared" si="35"/>
        <v>0.96324708482559218</v>
      </c>
      <c r="AL8" s="22">
        <f t="shared" si="4"/>
        <v>5.6893692517736758</v>
      </c>
      <c r="AM8" s="62">
        <f t="shared" si="5"/>
        <v>268.46714702955143</v>
      </c>
      <c r="AN8" s="62">
        <f ca="1">AVERAGE(OFFSET($AM$3,0,0,'Données projet'!$E$10+1,1))-AVERAGE(OFFSET($H$3,0,0,'Données projet'!$E$10+1,1))</f>
        <v>364.3481978218424</v>
      </c>
      <c r="AO8" s="62">
        <f t="shared" si="36"/>
        <v>231.36959598460686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2.1</v>
      </c>
      <c r="BD8" s="13">
        <f>IF('Données projet'!$A$88&gt;35,BD7+BC8-BL7,IF(A8&lt;'Données projet'!$A$88,$BA$205^A8,IF(A8='Données projet'!$A$88,'Données projet'!$B$88,BD7+BC8-BL7)))</f>
        <v>2.5457298950218314</v>
      </c>
      <c r="BE8" s="14">
        <f>BD8*VLOOKUP('Données projet'!$B$11,Paramètres!$A$1:$I$89,3,0)*VLOOKUP('Données projet'!$B$11,Paramètres!$A$1:$I$89,5,0)</f>
        <v>2.5813701135521372</v>
      </c>
      <c r="BF8" s="14">
        <f t="shared" si="37"/>
        <v>1.0652780295337991</v>
      </c>
      <c r="BG8" s="22">
        <f t="shared" si="7"/>
        <v>6.3512455158746723</v>
      </c>
      <c r="BH8" s="62">
        <f t="shared" si="8"/>
        <v>269.12902329365244</v>
      </c>
      <c r="BI8" s="62">
        <f ca="1">AVERAGE(OFFSET($BH$3,0,0,'Données projet'!$E$11+1,1))-AVERAGE(OFFSET($H$3,0,0,'Données projet'!$E$11+1,1))</f>
        <v>403.50418598112844</v>
      </c>
      <c r="BJ8" s="62">
        <f t="shared" si="38"/>
        <v>254.25036207346591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1.6</v>
      </c>
      <c r="BY8" s="13">
        <f>IF('Données projet'!$A$114&gt;35,BY7+BX8-CG7,IF(A8&lt;'Données projet'!$A$114,$BV$205^A8,IF(A8='Données projet'!$A$114,'Données projet'!$B$114,BY7+BX8-CG7)))</f>
        <v>2.0912791051825463</v>
      </c>
      <c r="BZ8" s="14">
        <f>BY8*VLOOKUP('Données projet'!$B$12,Paramètres!$A$1:$I$89,3,0)*VLOOKUP('Données projet'!$B$12,Paramètres!$A$1:$I$89,5,0)</f>
        <v>1.7943174722466249</v>
      </c>
      <c r="CA8" s="14">
        <f t="shared" si="39"/>
        <v>0.77249819632290906</v>
      </c>
      <c r="CB8" s="22">
        <f t="shared" si="10"/>
        <v>4.4705372894252715</v>
      </c>
      <c r="CC8" s="62">
        <f t="shared" si="11"/>
        <v>267.24831506720307</v>
      </c>
      <c r="CD8" s="62">
        <f ca="1">AVERAGE(OFFSET($CC$3,0,0,'Données projet'!$E$12+1,1))-AVERAGE(OFFSET($H$3,0,0,'Données projet'!$E$12+1,1))</f>
        <v>347.72886258008998</v>
      </c>
      <c r="CE8" s="62">
        <f t="shared" si="40"/>
        <v>176.81257896138806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3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7.9</v>
      </c>
      <c r="N9" s="14">
        <f>IF('Données projet'!$A$36&gt;35,N8+M9-V8,IF(A9&lt;'Données projet'!$A$36,$K$205^A9,IF(A9='Données projet'!$A$36,'Données projet'!$B$36,N8+M9-V8)))</f>
        <v>4.566643676946887</v>
      </c>
      <c r="O9" s="14">
        <f>N9*VLOOKUP('Données projet'!$B$9,Paramètres!$A$1:$I$89,3,0)*VLOOKUP('Données projet'!$B$9,Paramètres!$A$1:$I$89,5,0)</f>
        <v>2.1371892408111433</v>
      </c>
      <c r="P9" s="14">
        <f t="shared" si="33"/>
        <v>0.9015738804633705</v>
      </c>
      <c r="Q9" s="22">
        <f t="shared" si="2"/>
        <v>5.292512436219778</v>
      </c>
      <c r="R9" s="62">
        <f t="shared" si="0"/>
        <v>269.29251243621979</v>
      </c>
      <c r="S9" s="62">
        <f ca="1">AVERAGE(OFFSET($R$3,0,0,'Données projet'!$E$9+1,1))-AVERAGE(OFFSET($H$3,0,0,'Données projet'!$E$9+1,1))</f>
        <v>172.45217697899039</v>
      </c>
      <c r="T9" s="62">
        <f t="shared" si="34"/>
        <v>223.74038909289629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2.1</v>
      </c>
      <c r="AI9" s="14">
        <f>IF('Données projet'!$A$62&gt;35,AI8+AH9-AQ8,IF(A9&lt;'Données projet'!$A$62,$AF$205^A9,IF(A9='Données projet'!$A$62,'Données projet'!$B$62,AI8+AH9-AQ8)))</f>
        <v>3.0688438220956993</v>
      </c>
      <c r="AJ9" s="14">
        <f>AI9*VLOOKUP('Données projet'!$B$10,Paramètres!$A$1:$I$89,3,0)*VLOOKUP('Données projet'!$B$10,Paramètres!$A$1:$I$89,5,0)</f>
        <v>2.7766898902321886</v>
      </c>
      <c r="AK9" s="14">
        <f t="shared" si="35"/>
        <v>1.1361949561012803</v>
      </c>
      <c r="AL9" s="22">
        <f t="shared" si="4"/>
        <v>6.8149411073641248</v>
      </c>
      <c r="AM9" s="62">
        <f t="shared" si="5"/>
        <v>270.81494110736412</v>
      </c>
      <c r="AN9" s="62">
        <f ca="1">AVERAGE(OFFSET($AM$3,0,0,'Données projet'!$E$10+1,1))-AVERAGE(OFFSET($H$3,0,0,'Données projet'!$E$10+1,1))</f>
        <v>364.3481978218424</v>
      </c>
      <c r="AO9" s="62">
        <f t="shared" si="36"/>
        <v>231.36959598460686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2.1</v>
      </c>
      <c r="BD9" s="13">
        <f>IF('Données projet'!$A$88&gt;35,BD8+BC9-BL8,IF(A9&lt;'Données projet'!$A$88,$BA$205^A9,IF(A9='Données projet'!$A$88,'Données projet'!$B$88,BD8+BC9-BL8)))</f>
        <v>3.0688438220956993</v>
      </c>
      <c r="BE9" s="14">
        <f>BD9*VLOOKUP('Données projet'!$B$11,Paramètres!$A$1:$I$89,3,0)*VLOOKUP('Données projet'!$B$11,Paramètres!$A$1:$I$89,5,0)</f>
        <v>3.111807635605039</v>
      </c>
      <c r="BF9" s="14">
        <f t="shared" si="37"/>
        <v>1.2565452240335246</v>
      </c>
      <c r="BG9" s="22">
        <f t="shared" si="7"/>
        <v>7.6082145638704972</v>
      </c>
      <c r="BH9" s="62">
        <f t="shared" si="8"/>
        <v>271.60821456387049</v>
      </c>
      <c r="BI9" s="62">
        <f ca="1">AVERAGE(OFFSET($BH$3,0,0,'Données projet'!$E$11+1,1))-AVERAGE(OFFSET($H$3,0,0,'Données projet'!$E$11+1,1))</f>
        <v>403.50418598112844</v>
      </c>
      <c r="BJ9" s="62">
        <f t="shared" si="38"/>
        <v>254.25036207346591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1.6</v>
      </c>
      <c r="BY9" s="13">
        <f>IF('Données projet'!$A$114&gt;35,BY8+BX9-CG8,IF(A9&lt;'Données projet'!$A$114,$BV$205^A9,IF(A9='Données projet'!$A$114,'Données projet'!$B$114,BY8+BX9-CG8)))</f>
        <v>2.4237866992766768</v>
      </c>
      <c r="BZ9" s="14">
        <f>BY9*VLOOKUP('Données projet'!$B$12,Paramètres!$A$1:$I$89,3,0)*VLOOKUP('Données projet'!$B$12,Paramètres!$A$1:$I$89,5,0)</f>
        <v>2.0796089879793889</v>
      </c>
      <c r="CA9" s="14">
        <f t="shared" si="39"/>
        <v>0.88007702261265608</v>
      </c>
      <c r="CB9" s="22">
        <f t="shared" si="10"/>
        <v>5.1547864684478117</v>
      </c>
      <c r="CC9" s="62">
        <f t="shared" si="11"/>
        <v>269.15478646844781</v>
      </c>
      <c r="CD9" s="62">
        <f ca="1">AVERAGE(OFFSET($CC$3,0,0,'Données projet'!$E$12+1,1))-AVERAGE(OFFSET($H$3,0,0,'Données projet'!$E$12+1,1))</f>
        <v>347.72886258008998</v>
      </c>
      <c r="CE9" s="62">
        <f t="shared" si="40"/>
        <v>176.81257896138806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3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7.9</v>
      </c>
      <c r="N10" s="14">
        <f>IF('Données projet'!$A$36&gt;35,N9+M10-V9,IF(A10&lt;'Données projet'!$A$36,$K$205^A10,IF(A10='Données projet'!$A$36,'Données projet'!$B$36,N9+M10-V9)))</f>
        <v>5.8820671812210037</v>
      </c>
      <c r="O10" s="14">
        <f>N10*VLOOKUP('Données projet'!$B$9,Paramètres!$A$1:$I$89,3,0)*VLOOKUP('Données projet'!$B$9,Paramètres!$A$1:$I$89,5,0)</f>
        <v>2.7528074408114294</v>
      </c>
      <c r="P10" s="14">
        <f t="shared" si="33"/>
        <v>1.1275556652411438</v>
      </c>
      <c r="Q10" s="22">
        <f t="shared" si="2"/>
        <v>6.7582990763748976</v>
      </c>
      <c r="R10" s="62">
        <f t="shared" si="0"/>
        <v>271.98052129859713</v>
      </c>
      <c r="S10" s="62">
        <f ca="1">AVERAGE(OFFSET($R$3,0,0,'Données projet'!$E$9+1,1))-AVERAGE(OFFSET($H$3,0,0,'Données projet'!$E$9+1,1))</f>
        <v>172.45217697899039</v>
      </c>
      <c r="T10" s="62">
        <f t="shared" si="34"/>
        <v>223.74038909289629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2.1</v>
      </c>
      <c r="AI10" s="14">
        <f>IF('Données projet'!$A$62&gt;35,AI9+AH10-AQ9,IF(A10&lt;'Données projet'!$A$62,$AF$205^A10,IF(A10='Données projet'!$A$62,'Données projet'!$B$62,AI9+AH10-AQ9)))</f>
        <v>3.6994507637402658</v>
      </c>
      <c r="AJ10" s="14">
        <f>AI10*VLOOKUP('Données projet'!$B$10,Paramètres!$A$1:$I$89,3,0)*VLOOKUP('Données projet'!$B$10,Paramètres!$A$1:$I$89,5,0)</f>
        <v>3.3472630510321921</v>
      </c>
      <c r="AK10" s="14">
        <f t="shared" si="35"/>
        <v>1.34019505338418</v>
      </c>
      <c r="AL10" s="22">
        <f t="shared" si="4"/>
        <v>8.1639895318585136</v>
      </c>
      <c r="AM10" s="62">
        <f t="shared" si="5"/>
        <v>273.38621175408076</v>
      </c>
      <c r="AN10" s="62">
        <f ca="1">AVERAGE(OFFSET($AM$3,0,0,'Données projet'!$E$10+1,1))-AVERAGE(OFFSET($H$3,0,0,'Données projet'!$E$10+1,1))</f>
        <v>364.3481978218424</v>
      </c>
      <c r="AO10" s="62">
        <f t="shared" si="36"/>
        <v>231.36959598460686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2.1</v>
      </c>
      <c r="BD10" s="13">
        <f>IF('Données projet'!$A$88&gt;35,BD9+BC10-BL9,IF(A10&lt;'Données projet'!$A$88,$BA$205^A10,IF(A10='Données projet'!$A$88,'Données projet'!$B$88,BD9+BC10-BL9)))</f>
        <v>3.6994507637402658</v>
      </c>
      <c r="BE10" s="14">
        <f>BD10*VLOOKUP('Données projet'!$B$11,Paramètres!$A$1:$I$89,3,0)*VLOOKUP('Données projet'!$B$11,Paramètres!$A$1:$I$89,5,0)</f>
        <v>3.7512430744326299</v>
      </c>
      <c r="BF10" s="14">
        <f t="shared" si="37"/>
        <v>1.4821538192545303</v>
      </c>
      <c r="BG10" s="22">
        <f t="shared" si="7"/>
        <v>9.1148329231718037</v>
      </c>
      <c r="BH10" s="62">
        <f t="shared" si="8"/>
        <v>274.33705514539406</v>
      </c>
      <c r="BI10" s="62">
        <f ca="1">AVERAGE(OFFSET($BH$3,0,0,'Données projet'!$E$11+1,1))-AVERAGE(OFFSET($H$3,0,0,'Données projet'!$E$11+1,1))</f>
        <v>403.50418598112844</v>
      </c>
      <c r="BJ10" s="62">
        <f t="shared" si="38"/>
        <v>254.25036207346591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1.6</v>
      </c>
      <c r="BY10" s="13">
        <f>IF('Données projet'!$A$114&gt;35,BY9+BX10-CG9,IF(A10&lt;'Données projet'!$A$114,$BV$205^A10,IF(A10='Données projet'!$A$114,'Données projet'!$B$114,BY9+BX10-CG9)))</f>
        <v>2.8091620812506162</v>
      </c>
      <c r="BZ10" s="14">
        <f>BY10*VLOOKUP('Données projet'!$B$12,Paramètres!$A$1:$I$89,3,0)*VLOOKUP('Données projet'!$B$12,Paramètres!$A$1:$I$89,5,0)</f>
        <v>2.410261065713029</v>
      </c>
      <c r="CA10" s="14">
        <f t="shared" si="39"/>
        <v>1.0026373775596455</v>
      </c>
      <c r="CB10" s="22">
        <f t="shared" si="10"/>
        <v>5.9441314553665761</v>
      </c>
      <c r="CC10" s="62">
        <f t="shared" si="11"/>
        <v>271.1663536775888</v>
      </c>
      <c r="CD10" s="62">
        <f ca="1">AVERAGE(OFFSET($CC$3,0,0,'Données projet'!$E$12+1,1))-AVERAGE(OFFSET($H$3,0,0,'Données projet'!$E$12+1,1))</f>
        <v>347.72886258008998</v>
      </c>
      <c r="CE10" s="62">
        <f t="shared" si="40"/>
        <v>176.81257896138806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3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7.9</v>
      </c>
      <c r="N11" s="14">
        <f>IF('Données projet'!$A$36&gt;35,N10+M11-V10,IF(A11&lt;'Données projet'!$A$36,$K$205^A11,IF(A11='Données projet'!$A$36,'Données projet'!$B$36,N10+M11-V10)))</f>
        <v>7.5763989424129567</v>
      </c>
      <c r="O11" s="14">
        <f>N11*VLOOKUP('Données projet'!$B$9,Paramètres!$A$1:$I$89,3,0)*VLOOKUP('Données projet'!$B$9,Paramètres!$A$1:$I$89,5,0)</f>
        <v>3.5457547050492639</v>
      </c>
      <c r="P11" s="14">
        <f t="shared" si="33"/>
        <v>1.4101803587787649</v>
      </c>
      <c r="Q11" s="22">
        <f t="shared" si="2"/>
        <v>8.631586902833817</v>
      </c>
      <c r="R11" s="62">
        <f t="shared" si="0"/>
        <v>275.07603134727827</v>
      </c>
      <c r="S11" s="62">
        <f ca="1">AVERAGE(OFFSET($R$3,0,0,'Données projet'!$E$9+1,1))-AVERAGE(OFFSET($H$3,0,0,'Données projet'!$E$9+1,1))</f>
        <v>172.45217697899039</v>
      </c>
      <c r="T11" s="62">
        <f t="shared" si="34"/>
        <v>223.74038909289629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2.1</v>
      </c>
      <c r="AI11" s="14">
        <f>IF('Données projet'!$A$62&gt;35,AI10+AH11-AQ10,IF(A11&lt;'Données projet'!$A$62,$AF$205^A11,IF(A11='Données projet'!$A$62,'Données projet'!$B$62,AI10+AH11-AQ10)))</f>
        <v>4.4596391171162209</v>
      </c>
      <c r="AJ11" s="14">
        <f>AI11*VLOOKUP('Données projet'!$B$10,Paramètres!$A$1:$I$89,3,0)*VLOOKUP('Données projet'!$B$10,Paramètres!$A$1:$I$89,5,0)</f>
        <v>4.0350814731667564</v>
      </c>
      <c r="AK11" s="14">
        <f t="shared" si="35"/>
        <v>1.5808227025391921</v>
      </c>
      <c r="AL11" s="22">
        <f t="shared" si="4"/>
        <v>9.7810331060211926</v>
      </c>
      <c r="AM11" s="62">
        <f t="shared" si="5"/>
        <v>276.22547755046565</v>
      </c>
      <c r="AN11" s="62">
        <f ca="1">AVERAGE(OFFSET($AM$3,0,0,'Données projet'!$E$10+1,1))-AVERAGE(OFFSET($H$3,0,0,'Données projet'!$E$10+1,1))</f>
        <v>364.3481978218424</v>
      </c>
      <c r="AO11" s="62">
        <f t="shared" si="36"/>
        <v>231.36959598460686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2.1</v>
      </c>
      <c r="BD11" s="13">
        <f>IF('Données projet'!$A$88&gt;35,BD10+BC11-BL10,IF(A11&lt;'Données projet'!$A$88,$BA$205^A11,IF(A11='Données projet'!$A$88,'Données projet'!$B$88,BD10+BC11-BL10)))</f>
        <v>4.4596391171162209</v>
      </c>
      <c r="BE11" s="14">
        <f>BD11*VLOOKUP('Données projet'!$B$11,Paramètres!$A$1:$I$89,3,0)*VLOOKUP('Données projet'!$B$11,Paramètres!$A$1:$I$89,5,0)</f>
        <v>4.5220740647558486</v>
      </c>
      <c r="BF11" s="14">
        <f t="shared" si="37"/>
        <v>1.7482697016499746</v>
      </c>
      <c r="BG11" s="22">
        <f t="shared" si="7"/>
        <v>10.92084872649014</v>
      </c>
      <c r="BH11" s="62">
        <f t="shared" si="8"/>
        <v>277.36529317093459</v>
      </c>
      <c r="BI11" s="62">
        <f ca="1">AVERAGE(OFFSET($BH$3,0,0,'Données projet'!$E$11+1,1))-AVERAGE(OFFSET($H$3,0,0,'Données projet'!$E$11+1,1))</f>
        <v>403.50418598112844</v>
      </c>
      <c r="BJ11" s="62">
        <f t="shared" si="38"/>
        <v>254.25036207346591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1.6</v>
      </c>
      <c r="BY11" s="13">
        <f>IF('Données projet'!$A$114&gt;35,BY10+BX11-CG10,IF(A11&lt;'Données projet'!$A$114,$BV$205^A11,IF(A11='Données projet'!$A$114,'Données projet'!$B$114,BY10+BX11-CG10)))</f>
        <v>3.2558110831663929</v>
      </c>
      <c r="BZ11" s="14">
        <f>BY11*VLOOKUP('Données projet'!$B$12,Paramètres!$A$1:$I$89,3,0)*VLOOKUP('Données projet'!$B$12,Paramètres!$A$1:$I$89,5,0)</f>
        <v>2.7934859093567654</v>
      </c>
      <c r="CA11" s="14">
        <f t="shared" si="39"/>
        <v>1.1422656029529505</v>
      </c>
      <c r="CB11" s="22">
        <f t="shared" si="10"/>
        <v>6.8547672172727552</v>
      </c>
      <c r="CC11" s="62">
        <f t="shared" si="11"/>
        <v>273.29921166171721</v>
      </c>
      <c r="CD11" s="62">
        <f ca="1">AVERAGE(OFFSET($CC$3,0,0,'Données projet'!$E$12+1,1))-AVERAGE(OFFSET($H$3,0,0,'Données projet'!$E$12+1,1))</f>
        <v>347.72886258008998</v>
      </c>
      <c r="CE11" s="62">
        <f t="shared" si="40"/>
        <v>176.81257896138806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3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7.9</v>
      </c>
      <c r="N12" s="14">
        <f>IF('Données projet'!$A$36&gt;35,N11+M12-V11,IF(A12&lt;'Données projet'!$A$36,$K$205^A12,IF(A12='Données projet'!$A$36,'Données projet'!$B$36,N11+M12-V11)))</f>
        <v>9.7587836327093171</v>
      </c>
      <c r="O12" s="14">
        <f>N12*VLOOKUP('Données projet'!$B$9,Paramètres!$A$1:$I$89,3,0)*VLOOKUP('Données projet'!$B$9,Paramètres!$A$1:$I$89,5,0)</f>
        <v>4.5671107401079603</v>
      </c>
      <c r="P12" s="14">
        <f t="shared" si="33"/>
        <v>1.763645650133036</v>
      </c>
      <c r="Q12" s="22">
        <f t="shared" si="2"/>
        <v>11.026067379669733</v>
      </c>
      <c r="R12" s="62">
        <f t="shared" si="0"/>
        <v>278.6927340463364</v>
      </c>
      <c r="S12" s="62">
        <f ca="1">AVERAGE(OFFSET($R$3,0,0,'Données projet'!$E$9+1,1))-AVERAGE(OFFSET($H$3,0,0,'Données projet'!$E$9+1,1))</f>
        <v>172.45217697899039</v>
      </c>
      <c r="T12" s="62">
        <f t="shared" si="34"/>
        <v>223.74038909289629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2.1</v>
      </c>
      <c r="AI12" s="14">
        <f>IF('Données projet'!$A$62&gt;35,AI11+AH12-AQ11,IF(A12&lt;'Données projet'!$A$62,$AF$205^A12,IF(A12='Données projet'!$A$62,'Données projet'!$B$62,AI11+AH12-AQ11)))</f>
        <v>5.3760361537574148</v>
      </c>
      <c r="AJ12" s="14">
        <f>AI12*VLOOKUP('Données projet'!$B$10,Paramètres!$A$1:$I$89,3,0)*VLOOKUP('Données projet'!$B$10,Paramètres!$A$1:$I$89,5,0)</f>
        <v>4.8642375119197085</v>
      </c>
      <c r="AK12" s="14">
        <f t="shared" si="35"/>
        <v>1.8646542609995393</v>
      </c>
      <c r="AL12" s="22">
        <f t="shared" si="4"/>
        <v>11.719486504501022</v>
      </c>
      <c r="AM12" s="62">
        <f t="shared" si="5"/>
        <v>279.38615317116773</v>
      </c>
      <c r="AN12" s="62">
        <f ca="1">AVERAGE(OFFSET($AM$3,0,0,'Données projet'!$E$10+1,1))-AVERAGE(OFFSET($H$3,0,0,'Données projet'!$E$10+1,1))</f>
        <v>364.3481978218424</v>
      </c>
      <c r="AO12" s="62">
        <f t="shared" si="36"/>
        <v>231.36959598460686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2.1</v>
      </c>
      <c r="BD12" s="13">
        <f>IF('Données projet'!$A$88&gt;35,BD11+BC12-BL11,IF(A12&lt;'Données projet'!$A$88,$BA$205^A12,IF(A12='Données projet'!$A$88,'Données projet'!$B$88,BD11+BC12-BL11)))</f>
        <v>5.3760361537574148</v>
      </c>
      <c r="BE12" s="14">
        <f>BD12*VLOOKUP('Données projet'!$B$11,Paramètres!$A$1:$I$89,3,0)*VLOOKUP('Données projet'!$B$11,Paramètres!$A$1:$I$89,5,0)</f>
        <v>5.4513006599100189</v>
      </c>
      <c r="BF12" s="14">
        <f t="shared" si="37"/>
        <v>2.062165822468125</v>
      </c>
      <c r="BG12" s="22">
        <f t="shared" si="7"/>
        <v>13.085954123475267</v>
      </c>
      <c r="BH12" s="62">
        <f t="shared" si="8"/>
        <v>280.75262079014198</v>
      </c>
      <c r="BI12" s="62">
        <f ca="1">AVERAGE(OFFSET($BH$3,0,0,'Données projet'!$E$11+1,1))-AVERAGE(OFFSET($H$3,0,0,'Données projet'!$E$11+1,1))</f>
        <v>403.50418598112844</v>
      </c>
      <c r="BJ12" s="62">
        <f t="shared" si="38"/>
        <v>254.25036207346591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1.6</v>
      </c>
      <c r="BY12" s="13">
        <f>IF('Données projet'!$A$114&gt;35,BY11+BX12-CG11,IF(A12&lt;'Données projet'!$A$114,$BV$205^A12,IF(A12='Données projet'!$A$114,'Données projet'!$B$114,BY11+BX12-CG11)))</f>
        <v>3.7734760411367758</v>
      </c>
      <c r="BZ12" s="14">
        <f>BY12*VLOOKUP('Données projet'!$B$12,Paramètres!$A$1:$I$89,3,0)*VLOOKUP('Données projet'!$B$12,Paramètres!$A$1:$I$89,5,0)</f>
        <v>3.2376424432953543</v>
      </c>
      <c r="CA12" s="14">
        <f t="shared" si="39"/>
        <v>1.3013385865039213</v>
      </c>
      <c r="CB12" s="22">
        <f t="shared" si="10"/>
        <v>7.9053919602337386</v>
      </c>
      <c r="CC12" s="62">
        <f t="shared" si="11"/>
        <v>275.5720586269004</v>
      </c>
      <c r="CD12" s="62">
        <f ca="1">AVERAGE(OFFSET($CC$3,0,0,'Données projet'!$E$12+1,1))-AVERAGE(OFFSET($H$3,0,0,'Données projet'!$E$12+1,1))</f>
        <v>347.72886258008998</v>
      </c>
      <c r="CE12" s="62">
        <f t="shared" si="40"/>
        <v>176.81257896138806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3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7.9</v>
      </c>
      <c r="N13" s="14">
        <f>IF('Données projet'!$A$36&gt;35,N12+M13-V12,IF(A13&lt;'Données projet'!$A$36,$K$205^A13,IF(A13='Données projet'!$A$36,'Données projet'!$B$36,N12+M13-V12)))</f>
        <v>12.569805089976542</v>
      </c>
      <c r="O13" s="14">
        <f>N13*VLOOKUP('Données projet'!$B$9,Paramètres!$A$1:$I$89,3,0)*VLOOKUP('Données projet'!$B$9,Paramètres!$A$1:$I$89,5,0)</f>
        <v>5.8826687821090227</v>
      </c>
      <c r="P13" s="14">
        <f t="shared" si="33"/>
        <v>2.2057079152108381</v>
      </c>
      <c r="Q13" s="22">
        <f t="shared" si="2"/>
        <v>14.087256081165423</v>
      </c>
      <c r="R13" s="62">
        <f t="shared" si="0"/>
        <v>282.97614497005429</v>
      </c>
      <c r="S13" s="62">
        <f ca="1">AVERAGE(OFFSET($R$3,0,0,'Données projet'!$E$9+1,1))-AVERAGE(OFFSET($H$3,0,0,'Données projet'!$E$9+1,1))</f>
        <v>172.45217697899039</v>
      </c>
      <c r="T13" s="62">
        <f t="shared" si="34"/>
        <v>223.74038909289629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2.1</v>
      </c>
      <c r="AI13" s="14">
        <f>IF('Données projet'!$A$62&gt;35,AI12+AH13-AQ12,IF(A13&lt;'Données projet'!$A$62,$AF$205^A13,IF(A13='Données projet'!$A$62,'Données projet'!$B$62,AI12+AH13-AQ12)))</f>
        <v>6.4807406984078657</v>
      </c>
      <c r="AJ13" s="14">
        <f>AI13*VLOOKUP('Données projet'!$B$10,Paramètres!$A$1:$I$89,3,0)*VLOOKUP('Données projet'!$B$10,Paramètres!$A$1:$I$89,5,0)</f>
        <v>5.8637741839194364</v>
      </c>
      <c r="AK13" s="14">
        <f t="shared" si="35"/>
        <v>2.1994468497187687</v>
      </c>
      <c r="AL13" s="22">
        <f t="shared" si="4"/>
        <v>14.043443300253207</v>
      </c>
      <c r="AM13" s="62">
        <f t="shared" si="5"/>
        <v>282.93233218914207</v>
      </c>
      <c r="AN13" s="62">
        <f ca="1">AVERAGE(OFFSET($AM$3,0,0,'Données projet'!$E$10+1,1))-AVERAGE(OFFSET($H$3,0,0,'Données projet'!$E$10+1,1))</f>
        <v>364.3481978218424</v>
      </c>
      <c r="AO13" s="62">
        <f t="shared" si="36"/>
        <v>231.36959598460686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2.1</v>
      </c>
      <c r="BD13" s="13">
        <f>IF('Données projet'!$A$88&gt;35,BD12+BC13-BL12,IF(A13&lt;'Données projet'!$A$88,$BA$205^A13,IF(A13='Données projet'!$A$88,'Données projet'!$B$88,BD12+BC13-BL12)))</f>
        <v>6.4807406984078657</v>
      </c>
      <c r="BE13" s="14">
        <f>BD13*VLOOKUP('Données projet'!$B$11,Paramètres!$A$1:$I$89,3,0)*VLOOKUP('Données projet'!$B$11,Paramètres!$A$1:$I$89,5,0)</f>
        <v>6.5714710681855761</v>
      </c>
      <c r="BF13" s="14">
        <f t="shared" si="37"/>
        <v>2.4324209676242781</v>
      </c>
      <c r="BG13" s="22">
        <f t="shared" si="7"/>
        <v>15.681778629035497</v>
      </c>
      <c r="BH13" s="62">
        <f t="shared" si="8"/>
        <v>284.57066751792433</v>
      </c>
      <c r="BI13" s="62">
        <f ca="1">AVERAGE(OFFSET($BH$3,0,0,'Données projet'!$E$11+1,1))-AVERAGE(OFFSET($H$3,0,0,'Données projet'!$E$11+1,1))</f>
        <v>403.50418598112844</v>
      </c>
      <c r="BJ13" s="62">
        <f t="shared" si="38"/>
        <v>254.25036207346591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1.6</v>
      </c>
      <c r="BY13" s="13">
        <f>IF('Données projet'!$A$114&gt;35,BY12+BX13-CG12,IF(A13&lt;'Données projet'!$A$114,$BV$205^A13,IF(A13='Données projet'!$A$114,'Données projet'!$B$114,BY12+BX13-CG12)))</f>
        <v>4.3734482957731124</v>
      </c>
      <c r="BZ13" s="14">
        <f>BY13*VLOOKUP('Données projet'!$B$12,Paramètres!$A$1:$I$89,3,0)*VLOOKUP('Données projet'!$B$12,Paramètres!$A$1:$I$89,5,0)</f>
        <v>3.7524186377733306</v>
      </c>
      <c r="CA13" s="14">
        <f t="shared" si="39"/>
        <v>1.482564223544931</v>
      </c>
      <c r="CB13" s="22">
        <f t="shared" si="10"/>
        <v>9.117595150129306</v>
      </c>
      <c r="CC13" s="62">
        <f t="shared" si="11"/>
        <v>278.00648403901818</v>
      </c>
      <c r="CD13" s="62">
        <f ca="1">AVERAGE(OFFSET($CC$3,0,0,'Données projet'!$E$12+1,1))-AVERAGE(OFFSET($H$3,0,0,'Données projet'!$E$12+1,1))</f>
        <v>347.72886258008998</v>
      </c>
      <c r="CE13" s="62">
        <f t="shared" si="40"/>
        <v>176.81257896138806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3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7.9</v>
      </c>
      <c r="N14" s="14">
        <f>IF('Données projet'!$A$36&gt;35,N13+M14-V13,IF(A14&lt;'Données projet'!$A$36,$K$205^A14,IF(A14='Données projet'!$A$36,'Données projet'!$B$36,N13+M14-V13)))</f>
        <v>16.190542381779895</v>
      </c>
      <c r="O14" s="14">
        <f>N14*VLOOKUP('Données projet'!$B$9,Paramètres!$A$1:$I$89,3,0)*VLOOKUP('Données projet'!$B$9,Paramètres!$A$1:$I$89,5,0)</f>
        <v>7.5771738346729904</v>
      </c>
      <c r="P14" s="14">
        <f t="shared" si="33"/>
        <v>2.7585742106736397</v>
      </c>
      <c r="Q14" s="22">
        <f t="shared" si="2"/>
        <v>18.001427845645381</v>
      </c>
      <c r="R14" s="62">
        <f t="shared" si="0"/>
        <v>288.11253895675651</v>
      </c>
      <c r="S14" s="62">
        <f ca="1">AVERAGE(OFFSET($R$3,0,0,'Données projet'!$E$9+1,1))-AVERAGE(OFFSET($H$3,0,0,'Données projet'!$E$9+1,1))</f>
        <v>172.45217697899039</v>
      </c>
      <c r="T14" s="62">
        <f t="shared" si="34"/>
        <v>223.74038909289629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2.1</v>
      </c>
      <c r="AI14" s="14">
        <f>IF('Données projet'!$A$62&gt;35,AI13+AH14-AQ13,IF(A14&lt;'Données projet'!$A$62,$AF$205^A14,IF(A14='Données projet'!$A$62,'Données projet'!$B$62,AI13+AH14-AQ13)))</f>
        <v>7.8124474610620815</v>
      </c>
      <c r="AJ14" s="14">
        <f>AI14*VLOOKUP('Données projet'!$B$10,Paramètres!$A$1:$I$89,3,0)*VLOOKUP('Données projet'!$B$10,Paramètres!$A$1:$I$89,5,0)</f>
        <v>7.0687024627689707</v>
      </c>
      <c r="AK14" s="14">
        <f t="shared" si="35"/>
        <v>2.5943503554083325</v>
      </c>
      <c r="AL14" s="22">
        <f t="shared" si="4"/>
        <v>16.829816991658799</v>
      </c>
      <c r="AM14" s="62">
        <f t="shared" si="5"/>
        <v>286.94092810276993</v>
      </c>
      <c r="AN14" s="62">
        <f ca="1">AVERAGE(OFFSET($AM$3,0,0,'Données projet'!$E$10+1,1))-AVERAGE(OFFSET($H$3,0,0,'Données projet'!$E$10+1,1))</f>
        <v>364.3481978218424</v>
      </c>
      <c r="AO14" s="62">
        <f t="shared" si="36"/>
        <v>231.36959598460686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2.1</v>
      </c>
      <c r="BD14" s="13">
        <f>IF('Données projet'!$A$88&gt;35,BD13+BC14-BL13,IF(A14&lt;'Données projet'!$A$88,$BA$205^A14,IF(A14='Données projet'!$A$88,'Données projet'!$B$88,BD13+BC14-BL13)))</f>
        <v>7.8124474610620815</v>
      </c>
      <c r="BE14" s="14">
        <f>BD14*VLOOKUP('Données projet'!$B$11,Paramètres!$A$1:$I$89,3,0)*VLOOKUP('Données projet'!$B$11,Paramètres!$A$1:$I$89,5,0)</f>
        <v>7.921821725516951</v>
      </c>
      <c r="BF14" s="14">
        <f t="shared" si="37"/>
        <v>2.869154216054651</v>
      </c>
      <c r="BG14" s="22">
        <f t="shared" si="7"/>
        <v>18.794283098237205</v>
      </c>
      <c r="BH14" s="62">
        <f t="shared" si="8"/>
        <v>288.90539420934834</v>
      </c>
      <c r="BI14" s="62">
        <f ca="1">AVERAGE(OFFSET($BH$3,0,0,'Données projet'!$E$11+1,1))-AVERAGE(OFFSET($H$3,0,0,'Données projet'!$E$11+1,1))</f>
        <v>403.50418598112844</v>
      </c>
      <c r="BJ14" s="62">
        <f t="shared" si="38"/>
        <v>254.25036207346591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1.6</v>
      </c>
      <c r="BY14" s="13">
        <f>IF('Données projet'!$A$114&gt;35,BY13+BX14-CG13,IF(A14&lt;'Données projet'!$A$114,$BV$205^A14,IF(A14='Données projet'!$A$114,'Données projet'!$B$114,BY13+BX14-CG13)))</f>
        <v>5.0688144796166874</v>
      </c>
      <c r="BZ14" s="14">
        <f>BY14*VLOOKUP('Données projet'!$B$12,Paramètres!$A$1:$I$89,3,0)*VLOOKUP('Données projet'!$B$12,Paramètres!$A$1:$I$89,5,0)</f>
        <v>4.3490428235111187</v>
      </c>
      <c r="CA14" s="14">
        <f t="shared" si="39"/>
        <v>1.6890275134623942</v>
      </c>
      <c r="CB14" s="22">
        <f t="shared" si="10"/>
        <v>10.516305836895535</v>
      </c>
      <c r="CC14" s="62">
        <f t="shared" si="11"/>
        <v>280.62741694800667</v>
      </c>
      <c r="CD14" s="62">
        <f ca="1">AVERAGE(OFFSET($CC$3,0,0,'Données projet'!$E$12+1,1))-AVERAGE(OFFSET($H$3,0,0,'Données projet'!$E$12+1,1))</f>
        <v>347.72886258008998</v>
      </c>
      <c r="CE14" s="62">
        <f t="shared" si="40"/>
        <v>176.81257896138806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3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7.9</v>
      </c>
      <c r="N15" s="14">
        <f>IF('Données projet'!$A$36&gt;35,N14+M15-V14,IF(A15&lt;'Données projet'!$A$36,$K$205^A15,IF(A15='Données projet'!$A$36,'Données projet'!$B$36,N14+M15-V14)))</f>
        <v>20.854234472198982</v>
      </c>
      <c r="O15" s="14">
        <f>N15*VLOOKUP('Données projet'!$B$9,Paramètres!$A$1:$I$89,3,0)*VLOOKUP('Données projet'!$B$9,Paramètres!$A$1:$I$89,5,0)</f>
        <v>9.7597817329891239</v>
      </c>
      <c r="P15" s="14">
        <f t="shared" si="33"/>
        <v>3.4500178483814818</v>
      </c>
      <c r="Q15" s="22">
        <f t="shared" si="2"/>
        <v>23.00706760422047</v>
      </c>
      <c r="R15" s="62">
        <f t="shared" si="0"/>
        <v>294.3404009375538</v>
      </c>
      <c r="S15" s="62">
        <f ca="1">AVERAGE(OFFSET($R$3,0,0,'Données projet'!$E$9+1,1))-AVERAGE(OFFSET($H$3,0,0,'Données projet'!$E$9+1,1))</f>
        <v>172.45217697899039</v>
      </c>
      <c r="T15" s="62">
        <f t="shared" si="34"/>
        <v>223.74038909289629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2.1</v>
      </c>
      <c r="AI15" s="14">
        <f>IF('Données projet'!$A$62&gt;35,AI14+AH15-AQ14,IF(A15&lt;'Données projet'!$A$62,$AF$205^A15,IF(A15='Données projet'!$A$62,'Données projet'!$B$62,AI14+AH15-AQ14)))</f>
        <v>9.4178024044149407</v>
      </c>
      <c r="AJ15" s="14">
        <f>AI15*VLOOKUP('Données projet'!$B$10,Paramètres!$A$1:$I$89,3,0)*VLOOKUP('Données projet'!$B$10,Paramètres!$A$1:$I$89,5,0)</f>
        <v>8.521227615514638</v>
      </c>
      <c r="AK15" s="14">
        <f t="shared" si="35"/>
        <v>3.0601574970852128</v>
      </c>
      <c r="AL15" s="22">
        <f t="shared" si="4"/>
        <v>20.170912404444739</v>
      </c>
      <c r="AM15" s="62">
        <f t="shared" si="5"/>
        <v>291.50424573777804</v>
      </c>
      <c r="AN15" s="62">
        <f ca="1">AVERAGE(OFFSET($AM$3,0,0,'Données projet'!$E$10+1,1))-AVERAGE(OFFSET($H$3,0,0,'Données projet'!$E$10+1,1))</f>
        <v>364.3481978218424</v>
      </c>
      <c r="AO15" s="62">
        <f t="shared" si="36"/>
        <v>231.36959598460686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2.1</v>
      </c>
      <c r="BD15" s="13">
        <f>IF('Données projet'!$A$88&gt;35,BD14+BC15-BL14,IF(A15&lt;'Données projet'!$A$88,$BA$205^A15,IF(A15='Données projet'!$A$88,'Données projet'!$B$88,BD14+BC15-BL14)))</f>
        <v>9.4178024044149407</v>
      </c>
      <c r="BE15" s="14">
        <f>BD15*VLOOKUP('Données projet'!$B$11,Paramètres!$A$1:$I$89,3,0)*VLOOKUP('Données projet'!$B$11,Paramètres!$A$1:$I$89,5,0)</f>
        <v>9.5496516380767513</v>
      </c>
      <c r="BF15" s="14">
        <f t="shared" si="37"/>
        <v>3.3843014943027487</v>
      </c>
      <c r="BG15" s="22">
        <f t="shared" si="7"/>
        <v>22.526635038894295</v>
      </c>
      <c r="BH15" s="62">
        <f t="shared" si="8"/>
        <v>293.85996837222763</v>
      </c>
      <c r="BI15" s="62">
        <f ca="1">AVERAGE(OFFSET($BH$3,0,0,'Données projet'!$E$11+1,1))-AVERAGE(OFFSET($H$3,0,0,'Données projet'!$E$11+1,1))</f>
        <v>403.50418598112844</v>
      </c>
      <c r="BJ15" s="62">
        <f t="shared" si="38"/>
        <v>254.25036207346591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1.6</v>
      </c>
      <c r="BY15" s="13">
        <f>IF('Données projet'!$A$114&gt;35,BY14+BX15-CG14,IF(A15&lt;'Données projet'!$A$114,$BV$205^A15,IF(A15='Données projet'!$A$114,'Données projet'!$B$114,BY14+BX15-CG14)))</f>
        <v>5.8747419635905285</v>
      </c>
      <c r="BZ15" s="14">
        <f>BY15*VLOOKUP('Données projet'!$B$12,Paramètres!$A$1:$I$89,3,0)*VLOOKUP('Données projet'!$B$12,Paramètres!$A$1:$I$89,5,0)</f>
        <v>5.0405286047606745</v>
      </c>
      <c r="CA15" s="14">
        <f t="shared" si="39"/>
        <v>1.9242430755624527</v>
      </c>
      <c r="CB15" s="22">
        <f t="shared" si="10"/>
        <v>12.130310676562779</v>
      </c>
      <c r="CC15" s="62">
        <f t="shared" si="11"/>
        <v>283.46364400989609</v>
      </c>
      <c r="CD15" s="62">
        <f ca="1">AVERAGE(OFFSET($CC$3,0,0,'Données projet'!$E$12+1,1))-AVERAGE(OFFSET($H$3,0,0,'Données projet'!$E$12+1,1))</f>
        <v>347.72886258008998</v>
      </c>
      <c r="CE15" s="62">
        <f t="shared" si="40"/>
        <v>176.81257896138806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3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7.9</v>
      </c>
      <c r="N16" s="14">
        <f>IF('Données projet'!$A$36&gt;35,N15+M16-V15,IF(A16&lt;'Données projet'!$A$36,$K$205^A16,IF(A16='Données projet'!$A$36,'Données projet'!$B$36,N15+M16-V15)))</f>
        <v>26.861304900499697</v>
      </c>
      <c r="O16" s="14">
        <f>N16*VLOOKUP('Données projet'!$B$9,Paramètres!$A$1:$I$89,3,0)*VLOOKUP('Données projet'!$B$9,Paramètres!$A$1:$I$89,5,0)</f>
        <v>12.571090693433858</v>
      </c>
      <c r="P16" s="14">
        <f t="shared" si="33"/>
        <v>4.3147735914069099</v>
      </c>
      <c r="Q16" s="22">
        <f t="shared" si="2"/>
        <v>29.409546962764335</v>
      </c>
      <c r="R16" s="62">
        <f t="shared" si="0"/>
        <v>301.9651025183199</v>
      </c>
      <c r="S16" s="62">
        <f ca="1">AVERAGE(OFFSET($R$3,0,0,'Données projet'!$E$9+1,1))-AVERAGE(OFFSET($H$3,0,0,'Données projet'!$E$9+1,1))</f>
        <v>172.45217697899039</v>
      </c>
      <c r="T16" s="62">
        <f t="shared" si="34"/>
        <v>223.74038909289629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2.1</v>
      </c>
      <c r="AI16" s="14">
        <f>IF('Données projet'!$A$62&gt;35,AI15+AH16-AQ15,IF(A16&lt;'Données projet'!$A$62,$AF$205^A16,IF(A16='Données projet'!$A$62,'Données projet'!$B$62,AI15+AH16-AQ15)))</f>
        <v>11.35303662145153</v>
      </c>
      <c r="AJ16" s="14">
        <f>AI16*VLOOKUP('Données projet'!$B$10,Paramètres!$A$1:$I$89,3,0)*VLOOKUP('Données projet'!$B$10,Paramètres!$A$1:$I$89,5,0)</f>
        <v>10.272227535089344</v>
      </c>
      <c r="AK16" s="14">
        <f t="shared" si="35"/>
        <v>3.6095987912522753</v>
      </c>
      <c r="AL16" s="22">
        <f t="shared" si="4"/>
        <v>24.177514185044988</v>
      </c>
      <c r="AM16" s="62">
        <f t="shared" si="5"/>
        <v>296.73306974060051</v>
      </c>
      <c r="AN16" s="62">
        <f ca="1">AVERAGE(OFFSET($AM$3,0,0,'Données projet'!$E$10+1,1))-AVERAGE(OFFSET($H$3,0,0,'Données projet'!$E$10+1,1))</f>
        <v>364.3481978218424</v>
      </c>
      <c r="AO16" s="62">
        <f t="shared" si="36"/>
        <v>231.36959598460686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2.1</v>
      </c>
      <c r="BD16" s="13">
        <f>IF('Données projet'!$A$88&gt;35,BD15+BC16-BL15,IF(A16&lt;'Données projet'!$A$88,$BA$205^A16,IF(A16='Données projet'!$A$88,'Données projet'!$B$88,BD15+BC16-BL15)))</f>
        <v>11.35303662145153</v>
      </c>
      <c r="BE16" s="14">
        <f>BD16*VLOOKUP('Données projet'!$B$11,Paramètres!$A$1:$I$89,3,0)*VLOOKUP('Données projet'!$B$11,Paramètres!$A$1:$I$89,5,0)</f>
        <v>11.511979134151852</v>
      </c>
      <c r="BF16" s="14">
        <f t="shared" si="37"/>
        <v>3.9919417855793822</v>
      </c>
      <c r="BG16" s="22">
        <f t="shared" si="7"/>
        <v>27.002662268531896</v>
      </c>
      <c r="BH16" s="62">
        <f t="shared" si="8"/>
        <v>299.55821782408742</v>
      </c>
      <c r="BI16" s="62">
        <f ca="1">AVERAGE(OFFSET($BH$3,0,0,'Données projet'!$E$11+1,1))-AVERAGE(OFFSET($H$3,0,0,'Données projet'!$E$11+1,1))</f>
        <v>403.50418598112844</v>
      </c>
      <c r="BJ16" s="62">
        <f t="shared" si="38"/>
        <v>254.25036207346591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1.6</v>
      </c>
      <c r="BY16" s="13">
        <f>IF('Données projet'!$A$114&gt;35,BY15+BX16-CG15,IF(A16&lt;'Données projet'!$A$114,$BV$205^A16,IF(A16='Données projet'!$A$114,'Données projet'!$B$114,BY15+BX16-CG15)))</f>
        <v>6.8088096886476315</v>
      </c>
      <c r="BZ16" s="14">
        <f>BY16*VLOOKUP('Données projet'!$B$12,Paramètres!$A$1:$I$89,3,0)*VLOOKUP('Données projet'!$B$12,Paramètres!$A$1:$I$89,5,0)</f>
        <v>5.8419587128596682</v>
      </c>
      <c r="CA16" s="14">
        <f t="shared" si="39"/>
        <v>2.1922149783455773</v>
      </c>
      <c r="CB16" s="22">
        <f t="shared" si="10"/>
        <v>13.992852512182466</v>
      </c>
      <c r="CC16" s="62">
        <f t="shared" si="11"/>
        <v>286.54840806773802</v>
      </c>
      <c r="CD16" s="62">
        <f ca="1">AVERAGE(OFFSET($CC$3,0,0,'Données projet'!$E$12+1,1))-AVERAGE(OFFSET($H$3,0,0,'Données projet'!$E$12+1,1))</f>
        <v>347.72886258008998</v>
      </c>
      <c r="CE16" s="62">
        <f t="shared" si="40"/>
        <v>176.81257896138806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3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7.9</v>
      </c>
      <c r="N17" s="14">
        <f>IF('Données projet'!$A$36&gt;35,N16+M17-V16,IF(A17&lt;'Données projet'!$A$36,$K$205^A17,IF(A17='Données projet'!$A$36,'Données projet'!$B$36,N16+M17-V16)))</f>
        <v>34.598714324397214</v>
      </c>
      <c r="O17" s="14">
        <f>N17*VLOOKUP('Données projet'!$B$9,Paramètres!$A$1:$I$89,3,0)*VLOOKUP('Données projet'!$B$9,Paramètres!$A$1:$I$89,5,0)</f>
        <v>16.192198303817896</v>
      </c>
      <c r="P17" s="14">
        <f t="shared" si="33"/>
        <v>5.3962825594761723</v>
      </c>
      <c r="Q17" s="22">
        <f t="shared" si="2"/>
        <v>37.599937503570509</v>
      </c>
      <c r="R17" s="62">
        <f t="shared" si="0"/>
        <v>311.37771528134829</v>
      </c>
      <c r="S17" s="62">
        <f ca="1">AVERAGE(OFFSET($R$3,0,0,'Données projet'!$E$9+1,1))-AVERAGE(OFFSET($H$3,0,0,'Données projet'!$E$9+1,1))</f>
        <v>172.45217697899039</v>
      </c>
      <c r="T17" s="62">
        <f t="shared" si="34"/>
        <v>223.74038909289629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2.1</v>
      </c>
      <c r="AI17" s="14">
        <f>IF('Données projet'!$A$62&gt;35,AI16+AH17-AQ16,IF(A17&lt;'Données projet'!$A$62,$AF$205^A17,IF(A17='Données projet'!$A$62,'Données projet'!$B$62,AI16+AH17-AQ16)))</f>
        <v>13.685935953338433</v>
      </c>
      <c r="AJ17" s="14">
        <f>AI17*VLOOKUP('Données projet'!$B$10,Paramètres!$A$1:$I$89,3,0)*VLOOKUP('Données projet'!$B$10,Paramètres!$A$1:$I$89,5,0)</f>
        <v>12.383034850580612</v>
      </c>
      <c r="AK17" s="14">
        <f t="shared" si="35"/>
        <v>4.2576904771143838</v>
      </c>
      <c r="AL17" s="22">
        <f t="shared" si="4"/>
        <v>28.982596612402116</v>
      </c>
      <c r="AM17" s="62">
        <f t="shared" si="5"/>
        <v>302.76037439017989</v>
      </c>
      <c r="AN17" s="62">
        <f ca="1">AVERAGE(OFFSET($AM$3,0,0,'Données projet'!$E$10+1,1))-AVERAGE(OFFSET($H$3,0,0,'Données projet'!$E$10+1,1))</f>
        <v>364.3481978218424</v>
      </c>
      <c r="AO17" s="62">
        <f t="shared" si="36"/>
        <v>231.36959598460686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2.1</v>
      </c>
      <c r="BD17" s="13">
        <f>IF('Données projet'!$A$88&gt;35,BD16+BC17-BL16,IF(A17&lt;'Données projet'!$A$88,$BA$205^A17,IF(A17='Données projet'!$A$88,'Données projet'!$B$88,BD16+BC17-BL16)))</f>
        <v>13.685935953338433</v>
      </c>
      <c r="BE17" s="14">
        <f>BD17*VLOOKUP('Données projet'!$B$11,Paramètres!$A$1:$I$89,3,0)*VLOOKUP('Données projet'!$B$11,Paramètres!$A$1:$I$89,5,0)</f>
        <v>13.877539056685173</v>
      </c>
      <c r="BF17" s="14">
        <f t="shared" si="37"/>
        <v>4.7086819085950955</v>
      </c>
      <c r="BG17" s="22">
        <f t="shared" si="7"/>
        <v>32.371001514529802</v>
      </c>
      <c r="BH17" s="62">
        <f t="shared" si="8"/>
        <v>306.14877929230755</v>
      </c>
      <c r="BI17" s="62">
        <f ca="1">AVERAGE(OFFSET($BH$3,0,0,'Données projet'!$E$11+1,1))-AVERAGE(OFFSET($H$3,0,0,'Données projet'!$E$11+1,1))</f>
        <v>403.50418598112844</v>
      </c>
      <c r="BJ17" s="62">
        <f t="shared" si="38"/>
        <v>254.25036207346591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1.6</v>
      </c>
      <c r="BY17" s="13">
        <f>IF('Données projet'!$A$114&gt;35,BY16+BX17-CG16,IF(A17&lt;'Données projet'!$A$114,$BV$205^A17,IF(A17='Données projet'!$A$114,'Données projet'!$B$114,BY16+BX17-CG16)))</f>
        <v>7.891391598736293</v>
      </c>
      <c r="BZ17" s="14">
        <f>BY17*VLOOKUP('Données projet'!$B$12,Paramètres!$A$1:$I$89,3,0)*VLOOKUP('Données projet'!$B$12,Paramètres!$A$1:$I$89,5,0)</f>
        <v>6.7708139917157402</v>
      </c>
      <c r="CA17" s="14">
        <f t="shared" si="39"/>
        <v>2.4975049006622885</v>
      </c>
      <c r="CB17" s="22">
        <f t="shared" si="10"/>
        <v>16.142322070891733</v>
      </c>
      <c r="CC17" s="62">
        <f t="shared" si="11"/>
        <v>289.92009984866951</v>
      </c>
      <c r="CD17" s="62">
        <f ca="1">AVERAGE(OFFSET($CC$3,0,0,'Données projet'!$E$12+1,1))-AVERAGE(OFFSET($H$3,0,0,'Données projet'!$E$12+1,1))</f>
        <v>347.72886258008998</v>
      </c>
      <c r="CE17" s="62">
        <f t="shared" si="40"/>
        <v>176.81257896138806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3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7.9</v>
      </c>
      <c r="N18" s="14">
        <f>IF('Données projet'!$A$36&gt;35,N17+M18-V17,IF(A18&lt;'Données projet'!$A$36,$K$205^A18,IF(A18='Données projet'!$A$36,'Données projet'!$B$36,N17+M18-V17)))</f>
        <v>44.564887571004775</v>
      </c>
      <c r="O18" s="14">
        <f>N18*VLOOKUP('Données projet'!$B$9,Paramètres!$A$1:$I$89,3,0)*VLOOKUP('Données projet'!$B$9,Paramètres!$A$1:$I$89,5,0)</f>
        <v>20.856367383230236</v>
      </c>
      <c r="P18" s="14">
        <f t="shared" si="33"/>
        <v>6.7488744993944465</v>
      </c>
      <c r="Q18" s="22">
        <f t="shared" si="2"/>
        <v>48.079129612237985</v>
      </c>
      <c r="R18" s="62">
        <f t="shared" si="0"/>
        <v>323.07912961223798</v>
      </c>
      <c r="S18" s="62">
        <f ca="1">AVERAGE(OFFSET($R$3,0,0,'Données projet'!$E$9+1,1))-AVERAGE(OFFSET($H$3,0,0,'Données projet'!$E$9+1,1))</f>
        <v>172.45217697899039</v>
      </c>
      <c r="T18" s="62">
        <f t="shared" si="34"/>
        <v>223.74038909289629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2.1</v>
      </c>
      <c r="AI18" s="14">
        <f>IF('Données projet'!$A$62&gt;35,AI17+AH18-AQ17,IF(A18&lt;'Données projet'!$A$62,$AF$205^A18,IF(A18='Données projet'!$A$62,'Données projet'!$B$62,AI17+AH18-AQ17)))</f>
        <v>16.498215337821566</v>
      </c>
      <c r="AJ18" s="14">
        <f>AI18*VLOOKUP('Données projet'!$B$10,Paramètres!$A$1:$I$89,3,0)*VLOOKUP('Données projet'!$B$10,Paramètres!$A$1:$I$89,5,0)</f>
        <v>14.927585237660953</v>
      </c>
      <c r="AK18" s="14">
        <f t="shared" si="35"/>
        <v>5.0221449106318534</v>
      </c>
      <c r="AL18" s="22">
        <f t="shared" si="4"/>
        <v>34.745780008276633</v>
      </c>
      <c r="AM18" s="62">
        <f t="shared" si="5"/>
        <v>309.74578000827665</v>
      </c>
      <c r="AN18" s="62">
        <f ca="1">AVERAGE(OFFSET($AM$3,0,0,'Données projet'!$E$10+1,1))-AVERAGE(OFFSET($H$3,0,0,'Données projet'!$E$10+1,1))</f>
        <v>364.3481978218424</v>
      </c>
      <c r="AO18" s="62">
        <f t="shared" si="36"/>
        <v>231.36959598460686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2.1</v>
      </c>
      <c r="BD18" s="13">
        <f>IF('Données projet'!$A$88&gt;35,BD17+BC18-BL17,IF(A18&lt;'Données projet'!$A$88,$BA$205^A18,IF(A18='Données projet'!$A$88,'Données projet'!$B$88,BD17+BC18-BL17)))</f>
        <v>16.498215337821566</v>
      </c>
      <c r="BE18" s="14">
        <f>BD18*VLOOKUP('Données projet'!$B$11,Paramètres!$A$1:$I$89,3,0)*VLOOKUP('Données projet'!$B$11,Paramètres!$A$1:$I$89,5,0)</f>
        <v>16.729190352551068</v>
      </c>
      <c r="BF18" s="14">
        <f t="shared" si="37"/>
        <v>5.5541103821765283</v>
      </c>
      <c r="BG18" s="22">
        <f t="shared" si="7"/>
        <v>38.810082112983899</v>
      </c>
      <c r="BH18" s="62">
        <f t="shared" si="8"/>
        <v>313.81008211298388</v>
      </c>
      <c r="BI18" s="62">
        <f ca="1">AVERAGE(OFFSET($BH$3,0,0,'Données projet'!$E$11+1,1))-AVERAGE(OFFSET($H$3,0,0,'Données projet'!$E$11+1,1))</f>
        <v>403.50418598112844</v>
      </c>
      <c r="BJ18" s="62">
        <f t="shared" si="38"/>
        <v>254.25036207346591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1.6</v>
      </c>
      <c r="BY18" s="13">
        <f>IF('Données projet'!$A$114&gt;35,BY17+BX18-CG17,IF(A18&lt;'Données projet'!$A$114,$BV$205^A18,IF(A18='Données projet'!$A$114,'Données projet'!$B$114,BY17+BX18-CG17)))</f>
        <v>9.1461010385465276</v>
      </c>
      <c r="BZ18" s="14">
        <f>BY18*VLOOKUP('Données projet'!$B$12,Paramètres!$A$1:$I$89,3,0)*VLOOKUP('Données projet'!$B$12,Paramètres!$A$1:$I$89,5,0)</f>
        <v>7.8473546910729226</v>
      </c>
      <c r="CA18" s="14">
        <f t="shared" si="39"/>
        <v>2.8453097850556128</v>
      </c>
      <c r="CB18" s="22">
        <f t="shared" si="10"/>
        <v>18.623057295923864</v>
      </c>
      <c r="CC18" s="62">
        <f t="shared" si="11"/>
        <v>293.62305729592384</v>
      </c>
      <c r="CD18" s="62">
        <f ca="1">AVERAGE(OFFSET($CC$3,0,0,'Données projet'!$E$12+1,1))-AVERAGE(OFFSET($H$3,0,0,'Données projet'!$E$12+1,1))</f>
        <v>347.72886258008998</v>
      </c>
      <c r="CE18" s="62">
        <f t="shared" si="40"/>
        <v>176.81257896138806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3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7.9</v>
      </c>
      <c r="N19" s="14">
        <f>IF('Données projet'!$A$36&gt;35,N18+M19-V18,IF(A19&lt;'Données projet'!$A$36,$K$205^A19,IF(A19='Données projet'!$A$36,'Données projet'!$B$36,N18+M19-V18)))</f>
        <v>57.401820934596167</v>
      </c>
      <c r="O19" s="14">
        <f>N19*VLOOKUP('Données projet'!$B$9,Paramètres!$A$1:$I$89,3,0)*VLOOKUP('Données projet'!$B$9,Paramètres!$A$1:$I$89,5,0)</f>
        <v>26.864052197391008</v>
      </c>
      <c r="P19" s="14">
        <f t="shared" si="33"/>
        <v>8.4404970471001413</v>
      </c>
      <c r="Q19" s="22">
        <f t="shared" si="2"/>
        <v>61.488756600822086</v>
      </c>
      <c r="R19" s="62">
        <f t="shared" si="0"/>
        <v>337.71097882304434</v>
      </c>
      <c r="S19" s="62">
        <f ca="1">AVERAGE(OFFSET($R$3,0,0,'Données projet'!$E$9+1,1))-AVERAGE(OFFSET($H$3,0,0,'Données projet'!$E$9+1,1))</f>
        <v>172.45217697899039</v>
      </c>
      <c r="T19" s="62">
        <f t="shared" si="34"/>
        <v>223.74038909289629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2.1</v>
      </c>
      <c r="AI19" s="14">
        <f>IF('Données projet'!$A$62&gt;35,AI18+AH19-AQ18,IF(A19&lt;'Données projet'!$A$62,$AF$205^A19,IF(A19='Données projet'!$A$62,'Données projet'!$B$62,AI18+AH19-AQ18)))</f>
        <v>19.888381054913147</v>
      </c>
      <c r="AJ19" s="14">
        <f>AI19*VLOOKUP('Données projet'!$B$10,Paramètres!$A$1:$I$89,3,0)*VLOOKUP('Données projet'!$B$10,Paramètres!$A$1:$I$89,5,0)</f>
        <v>17.995007178485412</v>
      </c>
      <c r="AK19" s="14">
        <f t="shared" si="35"/>
        <v>5.9238546434872337</v>
      </c>
      <c r="AL19" s="22">
        <f t="shared" si="4"/>
        <v>41.658684339935689</v>
      </c>
      <c r="AM19" s="62">
        <f t="shared" si="5"/>
        <v>317.88090656215792</v>
      </c>
      <c r="AN19" s="62">
        <f ca="1">AVERAGE(OFFSET($AM$3,0,0,'Données projet'!$E$10+1,1))-AVERAGE(OFFSET($H$3,0,0,'Données projet'!$E$10+1,1))</f>
        <v>364.3481978218424</v>
      </c>
      <c r="AO19" s="62">
        <f t="shared" si="36"/>
        <v>231.36959598460686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2.1</v>
      </c>
      <c r="BD19" s="13">
        <f>IF('Données projet'!$A$88&gt;35,BD18+BC19-BL18,IF(A19&lt;'Données projet'!$A$88,$BA$205^A19,IF(A19='Données projet'!$A$88,'Données projet'!$B$88,BD18+BC19-BL18)))</f>
        <v>19.888381054913147</v>
      </c>
      <c r="BE19" s="14">
        <f>BD19*VLOOKUP('Données projet'!$B$11,Paramètres!$A$1:$I$89,3,0)*VLOOKUP('Données projet'!$B$11,Paramètres!$A$1:$I$89,5,0)</f>
        <v>20.166818389681932</v>
      </c>
      <c r="BF19" s="14">
        <f t="shared" si="37"/>
        <v>6.5513327797938032</v>
      </c>
      <c r="BG19" s="22">
        <f t="shared" si="7"/>
        <v>46.534113286836906</v>
      </c>
      <c r="BH19" s="62">
        <f t="shared" si="8"/>
        <v>322.75633550905911</v>
      </c>
      <c r="BI19" s="62">
        <f ca="1">AVERAGE(OFFSET($BH$3,0,0,'Données projet'!$E$11+1,1))-AVERAGE(OFFSET($H$3,0,0,'Données projet'!$E$11+1,1))</f>
        <v>403.50418598112844</v>
      </c>
      <c r="BJ19" s="62">
        <f t="shared" si="38"/>
        <v>254.25036207346591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1.6</v>
      </c>
      <c r="BY19" s="13">
        <f>IF('Données projet'!$A$114&gt;35,BY18+BX19-CG18,IF(A19&lt;'Données projet'!$A$114,$BV$205^A19,IF(A19='Données projet'!$A$114,'Données projet'!$B$114,BY18+BX19-CG18)))</f>
        <v>10.60030580926912</v>
      </c>
      <c r="BZ19" s="14">
        <f>BY19*VLOOKUP('Données projet'!$B$12,Paramètres!$A$1:$I$89,3,0)*VLOOKUP('Données projet'!$B$12,Paramètres!$A$1:$I$89,5,0)</f>
        <v>9.0950623843529055</v>
      </c>
      <c r="CA19" s="14">
        <f t="shared" si="39"/>
        <v>3.2415503051811316</v>
      </c>
      <c r="CB19" s="22">
        <f t="shared" si="10"/>
        <v>21.486267100938448</v>
      </c>
      <c r="CC19" s="62">
        <f t="shared" si="11"/>
        <v>297.70848932316068</v>
      </c>
      <c r="CD19" s="62">
        <f ca="1">AVERAGE(OFFSET($CC$3,0,0,'Données projet'!$E$12+1,1))-AVERAGE(OFFSET($H$3,0,0,'Données projet'!$E$12+1,1))</f>
        <v>347.72886258008998</v>
      </c>
      <c r="CE19" s="62">
        <f t="shared" si="40"/>
        <v>176.81257896138806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3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7.9</v>
      </c>
      <c r="N20" s="14">
        <f>IF('Données projet'!$A$36&gt;35,N19+M20-V19,IF(A20&lt;'Données projet'!$A$36,$K$205^A20,IF(A20='Données projet'!$A$36,'Données projet'!$B$36,N19+M20-V19)))</f>
        <v>73.936437994095741</v>
      </c>
      <c r="O20" s="14">
        <f>N20*VLOOKUP('Données projet'!$B$9,Paramètres!$A$1:$I$89,3,0)*VLOOKUP('Données projet'!$B$9,Paramètres!$A$1:$I$89,5,0)</f>
        <v>34.602252981236802</v>
      </c>
      <c r="P20" s="14">
        <f t="shared" si="33"/>
        <v>10.556129086190376</v>
      </c>
      <c r="Q20" s="22">
        <f t="shared" si="2"/>
        <v>78.650848767435647</v>
      </c>
      <c r="R20" s="62">
        <f t="shared" si="0"/>
        <v>356.09529321188012</v>
      </c>
      <c r="S20" s="62">
        <f ca="1">AVERAGE(OFFSET($R$3,0,0,'Données projet'!$E$9+1,1))-AVERAGE(OFFSET($H$3,0,0,'Données projet'!$E$9+1,1))</f>
        <v>172.45217697899039</v>
      </c>
      <c r="T20" s="62">
        <f t="shared" si="34"/>
        <v>223.74038909289629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2.1</v>
      </c>
      <c r="AI20" s="14">
        <f>IF('Données projet'!$A$62&gt;35,AI19+AH20-AQ19,IF(A20&lt;'Données projet'!$A$62,$AF$205^A20,IF(A20='Données projet'!$A$62,'Données projet'!$B$62,AI19+AH20-AQ19)))</f>
        <v>23.975181126327602</v>
      </c>
      <c r="AJ20" s="14">
        <f>AI20*VLOOKUP('Données projet'!$B$10,Paramètres!$A$1:$I$89,3,0)*VLOOKUP('Données projet'!$B$10,Paramètres!$A$1:$I$89,5,0)</f>
        <v>21.692743883101215</v>
      </c>
      <c r="AK20" s="14">
        <f t="shared" si="35"/>
        <v>6.98746341685115</v>
      </c>
      <c r="AL20" s="22">
        <f t="shared" si="4"/>
        <v>49.951361047417038</v>
      </c>
      <c r="AM20" s="62">
        <f t="shared" si="5"/>
        <v>327.39580549186149</v>
      </c>
      <c r="AN20" s="62">
        <f ca="1">AVERAGE(OFFSET($AM$3,0,0,'Données projet'!$E$10+1,1))-AVERAGE(OFFSET($H$3,0,0,'Données projet'!$E$10+1,1))</f>
        <v>364.3481978218424</v>
      </c>
      <c r="AO20" s="62">
        <f t="shared" si="36"/>
        <v>231.36959598460686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2.1</v>
      </c>
      <c r="BD20" s="13">
        <f>IF('Données projet'!$A$88&gt;35,BD19+BC20-BL19,IF(A20&lt;'Données projet'!$A$88,$BA$205^A20,IF(A20='Données projet'!$A$88,'Données projet'!$B$88,BD19+BC20-BL19)))</f>
        <v>23.975181126327602</v>
      </c>
      <c r="BE20" s="14">
        <f>BD20*VLOOKUP('Données projet'!$B$11,Paramètres!$A$1:$I$89,3,0)*VLOOKUP('Données projet'!$B$11,Paramètres!$A$1:$I$89,5,0)</f>
        <v>24.31083366209619</v>
      </c>
      <c r="BF20" s="14">
        <f t="shared" si="37"/>
        <v>7.7276032052466093</v>
      </c>
      <c r="BG20" s="22">
        <f t="shared" si="7"/>
        <v>55.800277543955367</v>
      </c>
      <c r="BH20" s="62">
        <f t="shared" si="8"/>
        <v>333.24472198839982</v>
      </c>
      <c r="BI20" s="62">
        <f ca="1">AVERAGE(OFFSET($BH$3,0,0,'Données projet'!$E$11+1,1))-AVERAGE(OFFSET($H$3,0,0,'Données projet'!$E$11+1,1))</f>
        <v>403.50418598112844</v>
      </c>
      <c r="BJ20" s="62">
        <f t="shared" si="38"/>
        <v>254.25036207346591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1.6</v>
      </c>
      <c r="BY20" s="13">
        <f>IF('Données projet'!$A$114&gt;35,BY19+BX20-CG19,IF(A20&lt;'Données projet'!$A$114,$BV$205^A20,IF(A20='Données projet'!$A$114,'Données projet'!$B$114,BY19+BX20-CG19)))</f>
        <v>12.285725116795957</v>
      </c>
      <c r="BZ20" s="14">
        <f>BY20*VLOOKUP('Données projet'!$B$12,Paramètres!$A$1:$I$89,3,0)*VLOOKUP('Données projet'!$B$12,Paramètres!$A$1:$I$89,5,0)</f>
        <v>10.541152150210932</v>
      </c>
      <c r="CA20" s="14">
        <f t="shared" si="39"/>
        <v>3.6929716532832697</v>
      </c>
      <c r="CB20" s="22">
        <f t="shared" si="10"/>
        <v>24.7910989577524</v>
      </c>
      <c r="CC20" s="62">
        <f t="shared" si="11"/>
        <v>302.23554340219687</v>
      </c>
      <c r="CD20" s="62">
        <f ca="1">AVERAGE(OFFSET($CC$3,0,0,'Données projet'!$E$12+1,1))-AVERAGE(OFFSET($H$3,0,0,'Données projet'!$E$12+1,1))</f>
        <v>347.72886258008998</v>
      </c>
      <c r="CE20" s="62">
        <f t="shared" si="40"/>
        <v>176.81257896138806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3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7.9</v>
      </c>
      <c r="N21" s="14">
        <f>IF('Données projet'!$A$36&gt;35,N20+M21-V20,IF(A21&lt;'Données projet'!$A$36,$K$205^A21,IF(A21='Données projet'!$A$36,'Données projet'!$B$36,N20+M21-V20)))</f>
        <v>95.233857990035276</v>
      </c>
      <c r="O21" s="14">
        <f>N21*VLOOKUP('Données projet'!$B$9,Paramètres!$A$1:$I$89,3,0)*VLOOKUP('Données projet'!$B$9,Paramètres!$A$1:$I$89,5,0)</f>
        <v>44.569445539336513</v>
      </c>
      <c r="P21" s="14">
        <f t="shared" si="33"/>
        <v>13.202049673437019</v>
      </c>
      <c r="Q21" s="22">
        <f t="shared" si="2"/>
        <v>100.61868749558056</v>
      </c>
      <c r="R21" s="62">
        <f t="shared" si="0"/>
        <v>379.28535416224724</v>
      </c>
      <c r="S21" s="62">
        <f ca="1">AVERAGE(OFFSET($R$3,0,0,'Données projet'!$E$9+1,1))-AVERAGE(OFFSET($H$3,0,0,'Données projet'!$E$9+1,1))</f>
        <v>172.45217697899039</v>
      </c>
      <c r="T21" s="62">
        <f t="shared" si="34"/>
        <v>223.74038909289629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2.1</v>
      </c>
      <c r="AI21" s="14">
        <f>IF('Données projet'!$A$62&gt;35,AI20+AH21-AQ20,IF(A21&lt;'Données projet'!$A$62,$AF$205^A21,IF(A21='Données projet'!$A$62,'Données projet'!$B$62,AI20+AH21-AQ20)))</f>
        <v>28.901764726506816</v>
      </c>
      <c r="AJ21" s="14">
        <f>AI21*VLOOKUP('Données projet'!$B$10,Paramètres!$A$1:$I$89,3,0)*VLOOKUP('Données projet'!$B$10,Paramètres!$A$1:$I$89,5,0)</f>
        <v>26.150316724543362</v>
      </c>
      <c r="AK21" s="14">
        <f t="shared" si="35"/>
        <v>8.2420396752158016</v>
      </c>
      <c r="AL21" s="22">
        <f t="shared" si="4"/>
        <v>59.900020729580547</v>
      </c>
      <c r="AM21" s="62">
        <f t="shared" si="5"/>
        <v>338.56668739624723</v>
      </c>
      <c r="AN21" s="62">
        <f ca="1">AVERAGE(OFFSET($AM$3,0,0,'Données projet'!$E$10+1,1))-AVERAGE(OFFSET($H$3,0,0,'Données projet'!$E$10+1,1))</f>
        <v>364.3481978218424</v>
      </c>
      <c r="AO21" s="62">
        <f t="shared" si="36"/>
        <v>231.36959598460686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2.1</v>
      </c>
      <c r="BD21" s="13">
        <f>IF('Données projet'!$A$88&gt;35,BD20+BC21-BL20,IF(A21&lt;'Données projet'!$A$88,$BA$205^A21,IF(A21='Données projet'!$A$88,'Données projet'!$B$88,BD20+BC21-BL20)))</f>
        <v>28.901764726506816</v>
      </c>
      <c r="BE21" s="14">
        <f>BD21*VLOOKUP('Données projet'!$B$11,Paramètres!$A$1:$I$89,3,0)*VLOOKUP('Données projet'!$B$11,Paramètres!$A$1:$I$89,5,0)</f>
        <v>29.306389432677911</v>
      </c>
      <c r="BF21" s="14">
        <f t="shared" si="37"/>
        <v>9.1150691477493808</v>
      </c>
      <c r="BG21" s="22">
        <f t="shared" si="7"/>
        <v>66.917373694244205</v>
      </c>
      <c r="BH21" s="62">
        <f t="shared" si="8"/>
        <v>345.58404036091088</v>
      </c>
      <c r="BI21" s="62">
        <f ca="1">AVERAGE(OFFSET($BH$3,0,0,'Données projet'!$E$11+1,1))-AVERAGE(OFFSET($H$3,0,0,'Données projet'!$E$11+1,1))</f>
        <v>403.50418598112844</v>
      </c>
      <c r="BJ21" s="62">
        <f t="shared" si="38"/>
        <v>254.25036207346591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1.6</v>
      </c>
      <c r="BY21" s="13">
        <f>IF('Données projet'!$A$114&gt;35,BY20+BX21-CG20,IF(A21&lt;'Données projet'!$A$114,$BV$205^A21,IF(A21='Données projet'!$A$114,'Données projet'!$B$114,BY20+BX21-CG20)))</f>
        <v>14.23912143303327</v>
      </c>
      <c r="BZ21" s="14">
        <f>BY21*VLOOKUP('Données projet'!$B$12,Paramètres!$A$1:$I$89,3,0)*VLOOKUP('Données projet'!$B$12,Paramètres!$A$1:$I$89,5,0)</f>
        <v>12.217166189542548</v>
      </c>
      <c r="CA21" s="14">
        <f t="shared" si="39"/>
        <v>4.2072583634304257</v>
      </c>
      <c r="CB21" s="22">
        <f t="shared" si="10"/>
        <v>28.605872763094592</v>
      </c>
      <c r="CC21" s="62">
        <f t="shared" si="11"/>
        <v>307.27253942976125</v>
      </c>
      <c r="CD21" s="62">
        <f ca="1">AVERAGE(OFFSET($CC$3,0,0,'Données projet'!$E$12+1,1))-AVERAGE(OFFSET($H$3,0,0,'Données projet'!$E$12+1,1))</f>
        <v>347.72886258008998</v>
      </c>
      <c r="CE21" s="62">
        <f t="shared" si="40"/>
        <v>176.81257896138806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3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7.9</v>
      </c>
      <c r="N22" s="14">
        <f>IF('Données projet'!$A$36&gt;35,N21+M22-V21,IF(A22&lt;'Données projet'!$A$36,$K$205^A22,IF(A22='Données projet'!$A$36,'Données projet'!$B$36,N21+M22-V21)))</f>
        <v>122.66600817840934</v>
      </c>
      <c r="O22" s="14">
        <f>N22*VLOOKUP('Données projet'!$B$9,Paramètres!$A$1:$I$89,3,0)*VLOOKUP('Données projet'!$B$9,Paramètres!$A$1:$I$89,5,0)</f>
        <v>57.407691827495569</v>
      </c>
      <c r="P22" s="14">
        <f t="shared" si="33"/>
        <v>16.511176981334152</v>
      </c>
      <c r="Q22" s="22">
        <f t="shared" si="2"/>
        <v>128.7420298420451</v>
      </c>
      <c r="R22" s="62">
        <f t="shared" si="0"/>
        <v>408.63091873093396</v>
      </c>
      <c r="S22" s="62">
        <f ca="1">AVERAGE(OFFSET($R$3,0,0,'Données projet'!$E$9+1,1))-AVERAGE(OFFSET($H$3,0,0,'Données projet'!$E$9+1,1))</f>
        <v>172.45217697899039</v>
      </c>
      <c r="T22" s="62">
        <f t="shared" si="34"/>
        <v>223.74038909289629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2.1</v>
      </c>
      <c r="AI22" s="14">
        <f>IF('Données projet'!$A$62&gt;35,AI21+AH22-AQ21,IF(A22&lt;'Données projet'!$A$62,$AF$205^A22,IF(A22='Données projet'!$A$62,'Données projet'!$B$62,AI21+AH22-AQ21)))</f>
        <v>34.840696297767764</v>
      </c>
      <c r="AJ22" s="14">
        <f>AI22*VLOOKUP('Données projet'!$B$10,Paramètres!$A$1:$I$89,3,0)*VLOOKUP('Données projet'!$B$10,Paramètres!$A$1:$I$89,5,0)</f>
        <v>31.52386201022027</v>
      </c>
      <c r="AK22" s="14">
        <f t="shared" si="35"/>
        <v>9.7218710074397983</v>
      </c>
      <c r="AL22" s="22">
        <f t="shared" si="4"/>
        <v>71.836318339091292</v>
      </c>
      <c r="AM22" s="62">
        <f t="shared" si="5"/>
        <v>351.72520722798015</v>
      </c>
      <c r="AN22" s="62">
        <f ca="1">AVERAGE(OFFSET($AM$3,0,0,'Données projet'!$E$10+1,1))-AVERAGE(OFFSET($H$3,0,0,'Données projet'!$E$10+1,1))</f>
        <v>364.3481978218424</v>
      </c>
      <c r="AO22" s="62">
        <f t="shared" si="36"/>
        <v>231.36959598460686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2.1</v>
      </c>
      <c r="BD22" s="13">
        <f>IF('Données projet'!$A$88&gt;35,BD21+BC22-BL21,IF(A22&lt;'Données projet'!$A$88,$BA$205^A22,IF(A22='Données projet'!$A$88,'Données projet'!$B$88,BD21+BC22-BL21)))</f>
        <v>34.840696297767764</v>
      </c>
      <c r="BE22" s="14">
        <f>BD22*VLOOKUP('Données projet'!$B$11,Paramètres!$A$1:$I$89,3,0)*VLOOKUP('Données projet'!$B$11,Paramètres!$A$1:$I$89,5,0)</f>
        <v>35.328466045936516</v>
      </c>
      <c r="BF22" s="14">
        <f t="shared" si="37"/>
        <v>10.751650073316766</v>
      </c>
      <c r="BG22" s="22">
        <f t="shared" si="7"/>
        <v>80.256202241032796</v>
      </c>
      <c r="BH22" s="62">
        <f t="shared" si="8"/>
        <v>360.14509112992164</v>
      </c>
      <c r="BI22" s="62">
        <f ca="1">AVERAGE(OFFSET($BH$3,0,0,'Données projet'!$E$11+1,1))-AVERAGE(OFFSET($H$3,0,0,'Données projet'!$E$11+1,1))</f>
        <v>403.50418598112844</v>
      </c>
      <c r="BJ22" s="62">
        <f t="shared" si="38"/>
        <v>254.25036207346591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1.6</v>
      </c>
      <c r="BY22" s="13">
        <f>IF('Données projet'!$A$114&gt;35,BY21+BX22-CG21,IF(A22&lt;'Données projet'!$A$114,$BV$205^A22,IF(A22='Données projet'!$A$114,'Données projet'!$B$114,BY21+BX22-CG21)))</f>
        <v>16.503102361250299</v>
      </c>
      <c r="BZ22" s="14">
        <f>BY22*VLOOKUP('Données projet'!$B$12,Paramètres!$A$1:$I$89,3,0)*VLOOKUP('Données projet'!$B$12,Paramètres!$A$1:$I$89,5,0)</f>
        <v>14.159661825952757</v>
      </c>
      <c r="CA22" s="14">
        <f t="shared" si="39"/>
        <v>4.7931651251419742</v>
      </c>
      <c r="CB22" s="22">
        <f t="shared" si="10"/>
        <v>33.009506939823325</v>
      </c>
      <c r="CC22" s="62">
        <f t="shared" si="11"/>
        <v>312.89839582871218</v>
      </c>
      <c r="CD22" s="62">
        <f ca="1">AVERAGE(OFFSET($CC$3,0,0,'Données projet'!$E$12+1,1))-AVERAGE(OFFSET($H$3,0,0,'Données projet'!$E$12+1,1))</f>
        <v>347.72886258008998</v>
      </c>
      <c r="CE22" s="62">
        <f t="shared" si="40"/>
        <v>176.81257896138806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3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>
        <f>VLOOKUP(A23,'Données projet'!$A$35:$I$55,2,0)</f>
        <v>158</v>
      </c>
      <c r="L23" s="13">
        <f>VLOOKUP(A23,'Données projet'!$A$35:$I$55,9,0)</f>
        <v>7.9</v>
      </c>
      <c r="M23" s="13">
        <f t="array" ref="M23">INDEX(L:L,MIN(IF(ISNUMBER(L23:L219),ROW(L23:L219),"")))</f>
        <v>7.9</v>
      </c>
      <c r="N23" s="14">
        <f>IF('Données projet'!$A$36&gt;35,N22+M23-V22,IF(A23&lt;'Données projet'!$A$36,$K$205^A23,IF(A23='Données projet'!$A$36,'Données projet'!$B$36,N22+M23-V22)))</f>
        <v>158</v>
      </c>
      <c r="O23" s="14">
        <f>N23*VLOOKUP('Données projet'!$B$9,Paramètres!$A$1:$I$89,3,0)*VLOOKUP('Données projet'!$B$9,Paramètres!$A$1:$I$89,5,0)</f>
        <v>73.944000000000003</v>
      </c>
      <c r="P23" s="14">
        <f t="shared" si="33"/>
        <v>20.649745460165708</v>
      </c>
      <c r="Q23" s="22">
        <f t="shared" si="2"/>
        <v>164.75077334312192</v>
      </c>
      <c r="R23" s="62">
        <f t="shared" si="0"/>
        <v>445.86188445423306</v>
      </c>
      <c r="S23" s="62">
        <f ca="1">AVERAGE(OFFSET($R$3,0,0,'Données projet'!$E$9+1,1))-AVERAGE(OFFSET($H$3,0,0,'Données projet'!$E$9+1,1))</f>
        <v>172.45217697899039</v>
      </c>
      <c r="T23" s="62">
        <f t="shared" si="34"/>
        <v>223.74038909289629</v>
      </c>
      <c r="U23" s="16">
        <f>IF(ISNA(VLOOKUP(A23,'Données projet'!$A$35:$I$55,3,0)),0,VLOOKUP(A23,'Données projet'!$A$35:$I$55,3,0))</f>
        <v>1</v>
      </c>
      <c r="V23" s="16">
        <f>IF(ISNA(VLOOKUP(A23,'Données projet'!$A$35:$I$55,4,0)),0,VLOOKUP(A23,'Données projet'!$A$35:$I$55,4,0))</f>
        <v>35</v>
      </c>
      <c r="W23" s="17">
        <f>IF(ISNA(VLOOKUP(A23,'Données projet'!$A$35:$I$55,5,0)),0%,VLOOKUP(A23,'Données projet'!$A$35:$I$55,5,0)*VLOOKUP('Données projet'!$B$9,Paramètres!$A$1:$I$89,7,0))</f>
        <v>0.11000000000000001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0.8</v>
      </c>
      <c r="Z23" s="23">
        <f>EXP(-LN(2)/35)*Z22+(1-EXP(-LN(2)/35))/(LN(2)/35)*V23*W23*VLOOKUP('Données projet'!$B$9,Paramètres!$A$1:$I$89,3,0)*0.475*44/12</f>
        <v>2.3902038358109636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14.836772026786809</v>
      </c>
      <c r="AC23" s="24">
        <f t="shared" si="3"/>
        <v>17.226975862597772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42</v>
      </c>
      <c r="AG23" s="13">
        <f>VLOOKUP(A23,'Données projet'!$A$61:$I$81,9,0)</f>
        <v>2.1</v>
      </c>
      <c r="AH23" s="13">
        <f t="array" ref="AH23">INDEX(AG:AG,MIN(IF(ISNUMBER(AG23:AG219),ROW(AG23:AG219),"")))</f>
        <v>2.1</v>
      </c>
      <c r="AI23" s="14">
        <f>IF('Données projet'!$A$62&gt;35,AI22+AH23-AQ22,IF(A23&lt;'Données projet'!$A$62,$AF$205^A23,IF(A23='Données projet'!$A$62,'Données projet'!$B$62,AI22+AH23-AQ22)))</f>
        <v>42</v>
      </c>
      <c r="AJ23" s="14">
        <f>AI23*VLOOKUP('Données projet'!$B$10,Paramètres!$A$1:$I$89,3,0)*VLOOKUP('Données projet'!$B$10,Paramètres!$A$1:$I$89,5,0)</f>
        <v>38.001600000000003</v>
      </c>
      <c r="AK23" s="14">
        <f t="shared" si="35"/>
        <v>11.467401227090512</v>
      </c>
      <c r="AL23" s="22">
        <f t="shared" si="4"/>
        <v>86.158510470515978</v>
      </c>
      <c r="AM23" s="62">
        <f t="shared" si="5"/>
        <v>367.26962158162712</v>
      </c>
      <c r="AN23" s="62">
        <f ca="1">AVERAGE(OFFSET($AM$3,0,0,'Données projet'!$E$10+1,1))-AVERAGE(OFFSET($H$3,0,0,'Données projet'!$E$10+1,1))</f>
        <v>364.3481978218424</v>
      </c>
      <c r="AO23" s="62">
        <f t="shared" si="36"/>
        <v>231.36959598460686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>
        <f>VLOOKUP(A23,'Données projet'!$A$87:$I$107,2,0)</f>
        <v>42</v>
      </c>
      <c r="BB23" s="13">
        <f>VLOOKUP(A23,'Données projet'!$A$87:$I$107,9,0)</f>
        <v>2.1</v>
      </c>
      <c r="BC23" s="13">
        <f t="array" ref="BC23">INDEX(BB:BB,MIN(IF(ISNUMBER(BB23:BB219),ROW(BB23:BB219),"")))</f>
        <v>2.1</v>
      </c>
      <c r="BD23" s="13">
        <f>IF('Données projet'!$A$88&gt;35,BD22+BC23-BL22,IF(A23&lt;'Données projet'!$A$88,$BA$205^A23,IF(A23='Données projet'!$A$88,'Données projet'!$B$88,BD22+BC23-BL22)))</f>
        <v>42</v>
      </c>
      <c r="BE23" s="14">
        <f>BD23*VLOOKUP('Données projet'!$B$11,Paramètres!$A$1:$I$89,3,0)*VLOOKUP('Données projet'!$B$11,Paramètres!$A$1:$I$89,5,0)</f>
        <v>42.588000000000001</v>
      </c>
      <c r="BF23" s="14">
        <f t="shared" si="37"/>
        <v>12.682073764365764</v>
      </c>
      <c r="BG23" s="22">
        <f t="shared" si="7"/>
        <v>96.262045139603686</v>
      </c>
      <c r="BH23" s="62">
        <f t="shared" si="8"/>
        <v>377.37315625071483</v>
      </c>
      <c r="BI23" s="62">
        <f ca="1">AVERAGE(OFFSET($BH$3,0,0,'Données projet'!$E$11+1,1))-AVERAGE(OFFSET($H$3,0,0,'Données projet'!$E$11+1,1))</f>
        <v>403.50418598112844</v>
      </c>
      <c r="BJ23" s="62">
        <f t="shared" si="38"/>
        <v>254.25036207346591</v>
      </c>
      <c r="BK23" s="16">
        <f>IF(ISNA(VLOOKUP(A23,'Données projet'!$A$87:$I$107,3,0)),0,VLOOKUP(A23,'Données projet'!$A$87:$I$107,3,0))</f>
        <v>1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1.6</v>
      </c>
      <c r="BY23" s="13">
        <f>IF('Données projet'!$A$114&gt;35,BY22+BX23-CG22,IF(A23&lt;'Données projet'!$A$114,$BV$205^A23,IF(A23='Données projet'!$A$114,'Données projet'!$B$114,BY22+BX23-CG22)))</f>
        <v>19.127049995800739</v>
      </c>
      <c r="BZ23" s="14">
        <f>BY23*VLOOKUP('Données projet'!$B$12,Paramètres!$A$1:$I$89,3,0)*VLOOKUP('Données projet'!$B$12,Paramètres!$A$1:$I$89,5,0)</f>
        <v>16.411008896397036</v>
      </c>
      <c r="CA23" s="14">
        <f t="shared" si="39"/>
        <v>5.4606658142441402</v>
      </c>
      <c r="CB23" s="22">
        <f t="shared" si="10"/>
        <v>38.093166787700049</v>
      </c>
      <c r="CC23" s="62">
        <f t="shared" si="11"/>
        <v>319.2042778988112</v>
      </c>
      <c r="CD23" s="62">
        <f ca="1">AVERAGE(OFFSET($CC$3,0,0,'Données projet'!$E$12+1,1))-AVERAGE(OFFSET($H$3,0,0,'Données projet'!$E$12+1,1))</f>
        <v>347.72886258008998</v>
      </c>
      <c r="CE23" s="62">
        <f t="shared" si="40"/>
        <v>176.81257896138806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3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9.1999999999999993</v>
      </c>
      <c r="N24" s="14">
        <f>IF('Données projet'!$A$36&gt;35,N23+M24-V23,IF(A24&lt;'Données projet'!$A$36,$K$205^A24,IF(A24='Données projet'!$A$36,'Données projet'!$B$36,N23+M24-V23)))</f>
        <v>132.19999999999999</v>
      </c>
      <c r="O24" s="14">
        <f>N24*VLOOKUP('Données projet'!$B$9,Paramètres!$A$1:$I$89,3,0)*VLOOKUP('Données projet'!$B$9,Paramètres!$A$1:$I$89,5,0)</f>
        <v>61.869599999999991</v>
      </c>
      <c r="P24" s="14">
        <f t="shared" si="33"/>
        <v>17.640115095232353</v>
      </c>
      <c r="Q24" s="22">
        <f t="shared" si="2"/>
        <v>138.47942045752964</v>
      </c>
      <c r="R24" s="62">
        <f t="shared" si="0"/>
        <v>420.81275379086298</v>
      </c>
      <c r="S24" s="62">
        <f ca="1">AVERAGE(OFFSET($R$3,0,0,'Données projet'!$E$9+1,1))-AVERAGE(OFFSET($H$3,0,0,'Données projet'!$E$9+1,1))</f>
        <v>172.45217697899039</v>
      </c>
      <c r="T24" s="62">
        <f t="shared" si="34"/>
        <v>223.74038909289629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2.3433333964710967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10.49118211105983</v>
      </c>
      <c r="AC24" s="24">
        <f t="shared" si="3"/>
        <v>12.834515507530927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5.6</v>
      </c>
      <c r="AI24" s="14">
        <f>IF('Données projet'!$A$62&gt;35,AI23+AH24-AQ23,IF(A24&lt;'Données projet'!$A$62,$AF$205^A24,IF(A24='Données projet'!$A$62,'Données projet'!$B$62,AI23+AH24-AQ23)))</f>
        <v>47.6</v>
      </c>
      <c r="AJ24" s="14">
        <f>AI24*VLOOKUP('Données projet'!$B$10,Paramètres!$A$1:$I$89,3,0)*VLOOKUP('Données projet'!$B$10,Paramètres!$A$1:$I$89,5,0)</f>
        <v>43.068480000000001</v>
      </c>
      <c r="AK24" s="14">
        <f t="shared" si="35"/>
        <v>12.808416415102187</v>
      </c>
      <c r="AL24" s="22">
        <f t="shared" si="4"/>
        <v>97.318927922969635</v>
      </c>
      <c r="AM24" s="62">
        <f t="shared" si="5"/>
        <v>379.65226125630295</v>
      </c>
      <c r="AN24" s="62">
        <f ca="1">AVERAGE(OFFSET($AM$3,0,0,'Données projet'!$E$10+1,1))-AVERAGE(OFFSET($H$3,0,0,'Données projet'!$E$10+1,1))</f>
        <v>364.3481978218424</v>
      </c>
      <c r="AO24" s="62">
        <f t="shared" si="36"/>
        <v>231.36959598460686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5.6</v>
      </c>
      <c r="BD24" s="13">
        <f>IF('Données projet'!$A$88&gt;35,BD23+BC24-BL23,IF(A24&lt;'Données projet'!$A$88,$BA$205^A24,IF(A24='Données projet'!$A$88,'Données projet'!$B$88,BD23+BC24-BL23)))</f>
        <v>47.6</v>
      </c>
      <c r="BE24" s="14">
        <f>BD24*VLOOKUP('Données projet'!$B$11,Paramètres!$A$1:$I$89,3,0)*VLOOKUP('Données projet'!$B$11,Paramètres!$A$1:$I$89,5,0)</f>
        <v>48.266400000000004</v>
      </c>
      <c r="BF24" s="14">
        <f t="shared" si="37"/>
        <v>14.165134590154434</v>
      </c>
      <c r="BG24" s="22">
        <f t="shared" si="7"/>
        <v>108.73492274451898</v>
      </c>
      <c r="BH24" s="62">
        <f t="shared" si="8"/>
        <v>391.06825607785231</v>
      </c>
      <c r="BI24" s="62">
        <f ca="1">AVERAGE(OFFSET($BH$3,0,0,'Données projet'!$E$11+1,1))-AVERAGE(OFFSET($H$3,0,0,'Données projet'!$E$11+1,1))</f>
        <v>403.50418598112844</v>
      </c>
      <c r="BJ24" s="62">
        <f t="shared" si="38"/>
        <v>254.25036207346591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1.6</v>
      </c>
      <c r="BY24" s="13">
        <f>IF('Données projet'!$A$114&gt;35,BY23+BX24-CG23,IF(A24&lt;'Données projet'!$A$114,$BV$205^A24,IF(A24='Données projet'!$A$114,'Données projet'!$B$114,BY23+BX24-CG23)))</f>
        <v>22.168198047469673</v>
      </c>
      <c r="BZ24" s="14">
        <f>BY24*VLOOKUP('Données projet'!$B$12,Paramètres!$A$1:$I$89,3,0)*VLOOKUP('Données projet'!$B$12,Paramètres!$A$1:$I$89,5,0)</f>
        <v>19.020313924728981</v>
      </c>
      <c r="CA24" s="14">
        <f t="shared" si="39"/>
        <v>6.2211232779032164</v>
      </c>
      <c r="CB24" s="22">
        <f t="shared" si="10"/>
        <v>43.962169794584405</v>
      </c>
      <c r="CC24" s="62">
        <f t="shared" si="11"/>
        <v>326.2955031279177</v>
      </c>
      <c r="CD24" s="62">
        <f ca="1">AVERAGE(OFFSET($CC$3,0,0,'Données projet'!$E$12+1,1))-AVERAGE(OFFSET($H$3,0,0,'Données projet'!$E$12+1,1))</f>
        <v>347.72886258008998</v>
      </c>
      <c r="CE24" s="62">
        <f t="shared" si="40"/>
        <v>176.81257896138806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3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9.1999999999999993</v>
      </c>
      <c r="N25" s="14">
        <f>IF('Données projet'!$A$36&gt;35,N24+M25-V24,IF(A25&lt;'Données projet'!$A$36,$K$205^A25,IF(A25='Données projet'!$A$36,'Données projet'!$B$36,N24+M25-V24)))</f>
        <v>141.39999999999998</v>
      </c>
      <c r="O25" s="14">
        <f>N25*VLOOKUP('Données projet'!$B$9,Paramètres!$A$1:$I$89,3,0)*VLOOKUP('Données projet'!$B$9,Paramètres!$A$1:$I$89,5,0)</f>
        <v>66.17519999999999</v>
      </c>
      <c r="P25" s="14">
        <f t="shared" si="33"/>
        <v>18.720541159483023</v>
      </c>
      <c r="Q25" s="22">
        <f t="shared" si="2"/>
        <v>147.86008251943289</v>
      </c>
      <c r="R25" s="62">
        <f t="shared" si="0"/>
        <v>431.41563807498846</v>
      </c>
      <c r="S25" s="62">
        <f ca="1">AVERAGE(OFFSET($R$3,0,0,'Données projet'!$E$9+1,1))-AVERAGE(OFFSET($H$3,0,0,'Données projet'!$E$9+1,1))</f>
        <v>172.45217697899039</v>
      </c>
      <c r="T25" s="62">
        <f t="shared" si="34"/>
        <v>223.74038909289629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2.2973820578585396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7.4183860133934054</v>
      </c>
      <c r="AC25" s="24">
        <f t="shared" si="3"/>
        <v>9.7157680712519454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5.6</v>
      </c>
      <c r="AI25" s="14">
        <f>IF('Données projet'!$A$62&gt;35,AI24+AH25-AQ24,IF(A25&lt;'Données projet'!$A$62,$AF$205^A25,IF(A25='Données projet'!$A$62,'Données projet'!$B$62,AI24+AH25-AQ24)))</f>
        <v>53.2</v>
      </c>
      <c r="AJ25" s="14">
        <f>AI25*VLOOKUP('Données projet'!$B$10,Paramètres!$A$1:$I$89,3,0)*VLOOKUP('Données projet'!$B$10,Paramètres!$A$1:$I$89,5,0)</f>
        <v>48.135359999999999</v>
      </c>
      <c r="AK25" s="14">
        <f t="shared" si="35"/>
        <v>14.131148275361113</v>
      </c>
      <c r="AL25" s="22">
        <f t="shared" si="4"/>
        <v>108.4475019129206</v>
      </c>
      <c r="AM25" s="62">
        <f t="shared" si="5"/>
        <v>392.00305746847613</v>
      </c>
      <c r="AN25" s="62">
        <f ca="1">AVERAGE(OFFSET($AM$3,0,0,'Données projet'!$E$10+1,1))-AVERAGE(OFFSET($H$3,0,0,'Données projet'!$E$10+1,1))</f>
        <v>364.3481978218424</v>
      </c>
      <c r="AO25" s="62">
        <f t="shared" si="36"/>
        <v>231.36959598460686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5.6</v>
      </c>
      <c r="BD25" s="13">
        <f>IF('Données projet'!$A$88&gt;35,BD24+BC25-BL24,IF(A25&lt;'Données projet'!$A$88,$BA$205^A25,IF(A25='Données projet'!$A$88,'Données projet'!$B$88,BD24+BC25-BL24)))</f>
        <v>53.2</v>
      </c>
      <c r="BE25" s="14">
        <f>BD25*VLOOKUP('Données projet'!$B$11,Paramètres!$A$1:$I$89,3,0)*VLOOKUP('Données projet'!$B$11,Paramètres!$A$1:$I$89,5,0)</f>
        <v>53.944800000000008</v>
      </c>
      <c r="BF25" s="14">
        <f t="shared" si="37"/>
        <v>15.627975445731321</v>
      </c>
      <c r="BG25" s="22">
        <f t="shared" si="7"/>
        <v>121.17258390131538</v>
      </c>
      <c r="BH25" s="62">
        <f t="shared" si="8"/>
        <v>404.72813945687091</v>
      </c>
      <c r="BI25" s="62">
        <f ca="1">AVERAGE(OFFSET($BH$3,0,0,'Données projet'!$E$11+1,1))-AVERAGE(OFFSET($H$3,0,0,'Données projet'!$E$11+1,1))</f>
        <v>403.50418598112844</v>
      </c>
      <c r="BJ25" s="62">
        <f t="shared" si="38"/>
        <v>254.25036207346591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1.6</v>
      </c>
      <c r="BY25" s="13">
        <f>IF('Données projet'!$A$114&gt;35,BY24+BX25-CG24,IF(A25&lt;'Données projet'!$A$114,$BV$205^A25,IF(A25='Données projet'!$A$114,'Données projet'!$B$114,BY24+BX25-CG24)))</f>
        <v>25.692880228771781</v>
      </c>
      <c r="BZ25" s="14">
        <f>BY25*VLOOKUP('Données projet'!$B$12,Paramètres!$A$1:$I$89,3,0)*VLOOKUP('Données projet'!$B$12,Paramètres!$A$1:$I$89,5,0)</f>
        <v>22.044491236286191</v>
      </c>
      <c r="CA25" s="14">
        <f t="shared" si="39"/>
        <v>7.0874827640823872</v>
      </c>
      <c r="CB25" s="22">
        <f t="shared" si="10"/>
        <v>50.738188050641945</v>
      </c>
      <c r="CC25" s="62">
        <f t="shared" si="11"/>
        <v>334.29374360619749</v>
      </c>
      <c r="CD25" s="62">
        <f ca="1">AVERAGE(OFFSET($CC$3,0,0,'Données projet'!$E$12+1,1))-AVERAGE(OFFSET($H$3,0,0,'Données projet'!$E$12+1,1))</f>
        <v>347.72886258008998</v>
      </c>
      <c r="CE25" s="62">
        <f t="shared" si="40"/>
        <v>176.81257896138806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3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9.1999999999999993</v>
      </c>
      <c r="N26" s="14">
        <f>IF('Données projet'!$A$36&gt;35,N25+M26-V25,IF(A26&lt;'Données projet'!$A$36,$K$205^A26,IF(A26='Données projet'!$A$36,'Données projet'!$B$36,N25+M26-V25)))</f>
        <v>150.59999999999997</v>
      </c>
      <c r="O26" s="14">
        <f>N26*VLOOKUP('Données projet'!$B$9,Paramètres!$A$1:$I$89,3,0)*VLOOKUP('Données projet'!$B$9,Paramètres!$A$1:$I$89,5,0)</f>
        <v>70.480799999999988</v>
      </c>
      <c r="P26" s="14">
        <f t="shared" si="33"/>
        <v>19.792809548371892</v>
      </c>
      <c r="Q26" s="22">
        <f t="shared" si="2"/>
        <v>157.226536630081</v>
      </c>
      <c r="R26" s="62">
        <f t="shared" si="0"/>
        <v>442.00431440785877</v>
      </c>
      <c r="S26" s="62">
        <f ca="1">AVERAGE(OFFSET($R$3,0,0,'Données projet'!$E$9+1,1))-AVERAGE(OFFSET($H$3,0,0,'Données projet'!$E$9+1,1))</f>
        <v>172.45217697899039</v>
      </c>
      <c r="T26" s="62">
        <f t="shared" si="34"/>
        <v>223.74038909289629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2.2523317969686256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5.2455910555299159</v>
      </c>
      <c r="AC26" s="24">
        <f t="shared" si="3"/>
        <v>7.497922852498542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5.6</v>
      </c>
      <c r="AI26" s="14">
        <f>IF('Données projet'!$A$62&gt;35,AI25+AH26-AQ25,IF(A26&lt;'Données projet'!$A$62,$AF$205^A26,IF(A26='Données projet'!$A$62,'Données projet'!$B$62,AI25+AH26-AQ25)))</f>
        <v>58.800000000000004</v>
      </c>
      <c r="AJ26" s="14">
        <f>AI26*VLOOKUP('Données projet'!$B$10,Paramètres!$A$1:$I$89,3,0)*VLOOKUP('Données projet'!$B$10,Paramètres!$A$1:$I$89,5,0)</f>
        <v>53.202240000000003</v>
      </c>
      <c r="AK26" s="14">
        <f t="shared" si="35"/>
        <v>15.437740642425908</v>
      </c>
      <c r="AL26" s="22">
        <f t="shared" si="4"/>
        <v>119.54796628555846</v>
      </c>
      <c r="AM26" s="62">
        <f t="shared" si="5"/>
        <v>404.32574406333623</v>
      </c>
      <c r="AN26" s="62">
        <f ca="1">AVERAGE(OFFSET($AM$3,0,0,'Données projet'!$E$10+1,1))-AVERAGE(OFFSET($H$3,0,0,'Données projet'!$E$10+1,1))</f>
        <v>364.3481978218424</v>
      </c>
      <c r="AO26" s="62">
        <f t="shared" si="36"/>
        <v>231.36959598460686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5.6</v>
      </c>
      <c r="BD26" s="13">
        <f>IF('Données projet'!$A$88&gt;35,BD25+BC26-BL25,IF(A26&lt;'Données projet'!$A$88,$BA$205^A26,IF(A26='Données projet'!$A$88,'Données projet'!$B$88,BD25+BC26-BL25)))</f>
        <v>58.800000000000004</v>
      </c>
      <c r="BE26" s="14">
        <f>BD26*VLOOKUP('Données projet'!$B$11,Paramètres!$A$1:$I$89,3,0)*VLOOKUP('Données projet'!$B$11,Paramètres!$A$1:$I$89,5,0)</f>
        <v>59.623200000000011</v>
      </c>
      <c r="BF26" s="14">
        <f t="shared" si="37"/>
        <v>17.072967249098898</v>
      </c>
      <c r="BG26" s="22">
        <f t="shared" si="7"/>
        <v>133.57915795884725</v>
      </c>
      <c r="BH26" s="62">
        <f t="shared" si="8"/>
        <v>418.35693573662502</v>
      </c>
      <c r="BI26" s="62">
        <f ca="1">AVERAGE(OFFSET($BH$3,0,0,'Données projet'!$E$11+1,1))-AVERAGE(OFFSET($H$3,0,0,'Données projet'!$E$11+1,1))</f>
        <v>403.50418598112844</v>
      </c>
      <c r="BJ26" s="62">
        <f t="shared" si="38"/>
        <v>254.25036207346591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1.6</v>
      </c>
      <c r="BY26" s="13">
        <f>IF('Données projet'!$A$114&gt;35,BY25+BX26-CG25,IF(A26&lt;'Données projet'!$A$114,$BV$205^A26,IF(A26='Données projet'!$A$114,'Données projet'!$B$114,BY25+BX26-CG25)))</f>
        <v>29.777977129059437</v>
      </c>
      <c r="BZ26" s="14">
        <f>BY26*VLOOKUP('Données projet'!$B$12,Paramètres!$A$1:$I$89,3,0)*VLOOKUP('Données projet'!$B$12,Paramètres!$A$1:$I$89,5,0)</f>
        <v>25.549504376733001</v>
      </c>
      <c r="CA26" s="14">
        <f t="shared" si="39"/>
        <v>8.074492288166871</v>
      </c>
      <c r="CB26" s="22">
        <f t="shared" si="10"/>
        <v>58.561794191367277</v>
      </c>
      <c r="CC26" s="62">
        <f t="shared" si="11"/>
        <v>343.33957196914503</v>
      </c>
      <c r="CD26" s="62">
        <f ca="1">AVERAGE(OFFSET($CC$3,0,0,'Données projet'!$E$12+1,1))-AVERAGE(OFFSET($H$3,0,0,'Données projet'!$E$12+1,1))</f>
        <v>347.72886258008998</v>
      </c>
      <c r="CE26" s="62">
        <f t="shared" si="40"/>
        <v>176.81257896138806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3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9.1999999999999993</v>
      </c>
      <c r="N27" s="14">
        <f>IF('Données projet'!$A$36&gt;35,N26+M27-V26,IF(A27&lt;'Données projet'!$A$36,$K$205^A27,IF(A27='Données projet'!$A$36,'Données projet'!$B$36,N26+M27-V26)))</f>
        <v>159.79999999999995</v>
      </c>
      <c r="O27" s="14">
        <f>N27*VLOOKUP('Données projet'!$B$9,Paramètres!$A$1:$I$89,3,0)*VLOOKUP('Données projet'!$B$9,Paramètres!$A$1:$I$89,5,0)</f>
        <v>74.786399999999986</v>
      </c>
      <c r="P27" s="14">
        <f t="shared" si="33"/>
        <v>20.857475351088951</v>
      </c>
      <c r="Q27" s="22">
        <f t="shared" si="2"/>
        <v>166.57974956981323</v>
      </c>
      <c r="R27" s="62">
        <f t="shared" si="0"/>
        <v>452.5797495698132</v>
      </c>
      <c r="S27" s="62">
        <f ca="1">AVERAGE(OFFSET($R$3,0,0,'Données projet'!$E$9+1,1))-AVERAGE(OFFSET($H$3,0,0,'Données projet'!$E$9+1,1))</f>
        <v>172.45217697899039</v>
      </c>
      <c r="T27" s="62">
        <f t="shared" si="34"/>
        <v>223.74038909289629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2.2081649442168167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3.7091930066967032</v>
      </c>
      <c r="AC27" s="24">
        <f t="shared" si="3"/>
        <v>5.9173579509135195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5.6</v>
      </c>
      <c r="AI27" s="14">
        <f>IF('Données projet'!$A$62&gt;35,AI26+AH27-AQ26,IF(A27&lt;'Données projet'!$A$62,$AF$205^A27,IF(A27='Données projet'!$A$62,'Données projet'!$B$62,AI26+AH27-AQ26)))</f>
        <v>64.400000000000006</v>
      </c>
      <c r="AJ27" s="14">
        <f>AI27*VLOOKUP('Données projet'!$B$10,Paramètres!$A$1:$I$89,3,0)*VLOOKUP('Données projet'!$B$10,Paramètres!$A$1:$I$89,5,0)</f>
        <v>58.269120000000008</v>
      </c>
      <c r="AK27" s="14">
        <f t="shared" si="35"/>
        <v>16.729905486873804</v>
      </c>
      <c r="AL27" s="22">
        <f t="shared" si="4"/>
        <v>130.62330272297189</v>
      </c>
      <c r="AM27" s="62">
        <f t="shared" si="5"/>
        <v>416.62330272297186</v>
      </c>
      <c r="AN27" s="62">
        <f ca="1">AVERAGE(OFFSET($AM$3,0,0,'Données projet'!$E$10+1,1))-AVERAGE(OFFSET($H$3,0,0,'Données projet'!$E$10+1,1))</f>
        <v>364.3481978218424</v>
      </c>
      <c r="AO27" s="62">
        <f t="shared" si="36"/>
        <v>231.36959598460686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5.6</v>
      </c>
      <c r="BD27" s="13">
        <f>IF('Données projet'!$A$88&gt;35,BD26+BC27-BL26,IF(A27&lt;'Données projet'!$A$88,$BA$205^A27,IF(A27='Données projet'!$A$88,'Données projet'!$B$88,BD26+BC27-BL26)))</f>
        <v>64.400000000000006</v>
      </c>
      <c r="BE27" s="14">
        <f>BD27*VLOOKUP('Données projet'!$B$11,Paramètres!$A$1:$I$89,3,0)*VLOOKUP('Données projet'!$B$11,Paramètres!$A$1:$I$89,5,0)</f>
        <v>65.301600000000008</v>
      </c>
      <c r="BF27" s="14">
        <f t="shared" si="37"/>
        <v>18.502003309535596</v>
      </c>
      <c r="BG27" s="22">
        <f t="shared" si="7"/>
        <v>145.95794243077449</v>
      </c>
      <c r="BH27" s="62">
        <f t="shared" si="8"/>
        <v>431.95794243077449</v>
      </c>
      <c r="BI27" s="62">
        <f ca="1">AVERAGE(OFFSET($BH$3,0,0,'Données projet'!$E$11+1,1))-AVERAGE(OFFSET($H$3,0,0,'Données projet'!$E$11+1,1))</f>
        <v>403.50418598112844</v>
      </c>
      <c r="BJ27" s="62">
        <f t="shared" si="38"/>
        <v>254.25036207346591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1.6</v>
      </c>
      <c r="BY27" s="13">
        <f>IF('Données projet'!$A$114&gt;35,BY26+BX27-CG26,IF(A27&lt;'Données projet'!$A$114,$BV$205^A27,IF(A27='Données projet'!$A$114,'Données projet'!$B$114,BY26+BX27-CG26)))</f>
        <v>34.5125931387715</v>
      </c>
      <c r="BZ27" s="14">
        <f>BY27*VLOOKUP('Données projet'!$B$12,Paramètres!$A$1:$I$89,3,0)*VLOOKUP('Données projet'!$B$12,Paramètres!$A$1:$I$89,5,0)</f>
        <v>29.611804913065949</v>
      </c>
      <c r="CA27" s="14">
        <f t="shared" si="39"/>
        <v>9.1989536880527911</v>
      </c>
      <c r="CB27" s="22">
        <f t="shared" si="10"/>
        <v>67.595404563615133</v>
      </c>
      <c r="CC27" s="62">
        <f t="shared" si="11"/>
        <v>353.59540456361515</v>
      </c>
      <c r="CD27" s="62">
        <f ca="1">AVERAGE(OFFSET($CC$3,0,0,'Données projet'!$E$12+1,1))-AVERAGE(OFFSET($H$3,0,0,'Données projet'!$E$12+1,1))</f>
        <v>347.72886258008998</v>
      </c>
      <c r="CE27" s="62">
        <f t="shared" si="40"/>
        <v>176.81257896138806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3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169</v>
      </c>
      <c r="L28" s="13">
        <f>VLOOKUP(A28,'Données projet'!$A$35:$I$55,9,0)</f>
        <v>9.1999999999999993</v>
      </c>
      <c r="M28" s="13">
        <f t="array" ref="M28">INDEX(L:L,MIN(IF(ISNUMBER(L28:L224),ROW(L28:L224),"")))</f>
        <v>9.1999999999999993</v>
      </c>
      <c r="N28" s="14">
        <f>IF('Données projet'!$A$36&gt;35,N27+M28-V27,IF(A28&lt;'Données projet'!$A$36,$K$205^A28,IF(A28='Données projet'!$A$36,'Données projet'!$B$36,N27+M28-V27)))</f>
        <v>168.99999999999994</v>
      </c>
      <c r="O28" s="14">
        <f>N28*VLOOKUP('Données projet'!$B$9,Paramètres!$A$1:$I$89,3,0)*VLOOKUP('Données projet'!$B$9,Paramètres!$A$1:$I$89,5,0)</f>
        <v>79.09199999999997</v>
      </c>
      <c r="P28" s="14">
        <f t="shared" si="33"/>
        <v>21.915026131449999</v>
      </c>
      <c r="Q28" s="22">
        <f t="shared" si="2"/>
        <v>175.92057051227536</v>
      </c>
      <c r="R28" s="62">
        <f t="shared" si="0"/>
        <v>463.14279273449756</v>
      </c>
      <c r="S28" s="62">
        <f ca="1">AVERAGE(OFFSET($R$3,0,0,'Données projet'!$E$9+1,1))-AVERAGE(OFFSET($H$3,0,0,'Données projet'!$E$9+1,1))</f>
        <v>172.45217697899039</v>
      </c>
      <c r="T28" s="62">
        <f t="shared" si="34"/>
        <v>223.74038909289629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35</v>
      </c>
      <c r="W28" s="17">
        <f>IF(ISNA(VLOOKUP(A28,'Données projet'!$A$35:$I$55,5,0)),0%,VLOOKUP(A28,'Données projet'!$A$35:$I$55,5,0)*VLOOKUP('Données projet'!$B$9,Paramètres!$A$1:$I$89,7,0))</f>
        <v>0.24750000000000003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0.55000000000000004</v>
      </c>
      <c r="Z28" s="23">
        <f>EXP(-LN(2)/35)*Z27+(1-EXP(-LN(2)/35))/(LN(2)/35)*V28*W28*VLOOKUP('Données projet'!$B$9,Paramètres!$A$1:$I$89,3,0)*0.475*44/12</f>
        <v>7.5428228070830192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12.82307629618089</v>
      </c>
      <c r="AC28" s="24">
        <f t="shared" si="3"/>
        <v>20.36589910326391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70</v>
      </c>
      <c r="AG28" s="13">
        <f>VLOOKUP(A28,'Données projet'!$A$61:$I$81,9,0)</f>
        <v>5.6</v>
      </c>
      <c r="AH28" s="13">
        <f t="array" ref="AH28">INDEX(AG:AG,MIN(IF(ISNUMBER(AG28:AG224),ROW(AG28:AG224),"")))</f>
        <v>5.6</v>
      </c>
      <c r="AI28" s="14">
        <f>IF('Données projet'!$A$62&gt;35,AI27+AH28-AQ27,IF(A28&lt;'Données projet'!$A$62,$AF$205^A28,IF(A28='Données projet'!$A$62,'Données projet'!$B$62,AI27+AH28-AQ27)))</f>
        <v>70</v>
      </c>
      <c r="AJ28" s="14">
        <f>AI28*VLOOKUP('Données projet'!$B$10,Paramètres!$A$1:$I$89,3,0)*VLOOKUP('Données projet'!$B$10,Paramètres!$A$1:$I$89,5,0)</f>
        <v>63.335999999999991</v>
      </c>
      <c r="AK28" s="14">
        <f t="shared" si="35"/>
        <v>18.009040022946227</v>
      </c>
      <c r="AL28" s="22">
        <f t="shared" si="4"/>
        <v>141.67594470663133</v>
      </c>
      <c r="AM28" s="62">
        <f t="shared" si="5"/>
        <v>428.89816692885358</v>
      </c>
      <c r="AN28" s="62">
        <f ca="1">AVERAGE(OFFSET($AM$3,0,0,'Données projet'!$E$10+1,1))-AVERAGE(OFFSET($H$3,0,0,'Données projet'!$E$10+1,1))</f>
        <v>364.3481978218424</v>
      </c>
      <c r="AO28" s="62">
        <f t="shared" si="36"/>
        <v>231.36959598460686</v>
      </c>
      <c r="AP28" s="16">
        <f>IF(ISNA(VLOOKUP(A28,'Données projet'!$A$61:$I$81,3,0)),0,VLOOKUP(A28,'Données projet'!$A$61:$I$81,3,0))</f>
        <v>2</v>
      </c>
      <c r="AQ28" s="16">
        <f>IF(ISNA(VLOOKUP(A28,'Données projet'!$A$61:$I$81,4,0)),0,VLOOKUP(A28,'Données projet'!$A$61:$I$81,4,0))</f>
        <v>8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5.6</v>
      </c>
      <c r="BC28" s="13">
        <f t="array" ref="BC28">INDEX(BB:BB,MIN(IF(ISNUMBER(BB28:BB224),ROW(BB28:BB224),"")))</f>
        <v>5.6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2">
        <f t="shared" si="8"/>
        <v>445.53385078478129</v>
      </c>
      <c r="BI28" s="62">
        <f ca="1">AVERAGE(OFFSET($BH$3,0,0,'Données projet'!$E$11+1,1))-AVERAGE(OFFSET($H$3,0,0,'Données projet'!$E$11+1,1))</f>
        <v>403.50418598112844</v>
      </c>
      <c r="BJ28" s="62">
        <f t="shared" si="38"/>
        <v>254.25036207346591</v>
      </c>
      <c r="BK28" s="16">
        <f>IF(ISNA(VLOOKUP(A28,'Données projet'!$A$87:$I$107,3,0)),0,VLOOKUP(A28,'Données projet'!$A$87:$I$107,3,0))</f>
        <v>2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>
        <f>VLOOKUP(A28,'Données projet'!$A$113:$I$133,2,0)</f>
        <v>40</v>
      </c>
      <c r="BW28" s="13">
        <f>VLOOKUP(A28,'Données projet'!$A$113:$I$133,9,0)</f>
        <v>1.6</v>
      </c>
      <c r="BX28" s="13">
        <f t="array" ref="BX28">INDEX(BW:BW,MIN(IF(ISNUMBER(BW28:BW224),ROW(BW28:BW224),"")))</f>
        <v>1.6</v>
      </c>
      <c r="BY28" s="13">
        <f>IF('Données projet'!$A$114&gt;35,BY27+BX28-CG27,IF(A28&lt;'Données projet'!$A$114,$BV$205^A28,IF(A28='Données projet'!$A$114,'Données projet'!$B$114,BY27+BX28-CG27)))</f>
        <v>40</v>
      </c>
      <c r="BZ28" s="14">
        <f>BY28*VLOOKUP('Données projet'!$B$12,Paramètres!$A$1:$I$89,3,0)*VLOOKUP('Données projet'!$B$12,Paramètres!$A$1:$I$89,5,0)</f>
        <v>34.32</v>
      </c>
      <c r="CA28" s="14">
        <f t="shared" si="39"/>
        <v>10.480008641404153</v>
      </c>
      <c r="CB28" s="22">
        <f t="shared" si="10"/>
        <v>78.026681717112226</v>
      </c>
      <c r="CC28" s="62">
        <f t="shared" si="11"/>
        <v>365.24890393933447</v>
      </c>
      <c r="CD28" s="62">
        <f ca="1">AVERAGE(OFFSET($CC$3,0,0,'Données projet'!$E$12+1,1))-AVERAGE(OFFSET($H$3,0,0,'Données projet'!$E$12+1,1))</f>
        <v>347.72886258008998</v>
      </c>
      <c r="CE28" s="62">
        <f t="shared" si="40"/>
        <v>176.81257896138806</v>
      </c>
      <c r="CF28" s="16">
        <f>IF(ISNA(VLOOKUP(A28,'Données projet'!$A$113:$I$133,3,0)),0,VLOOKUP(A28,'Données projet'!$A$113:$I$133,3,0))</f>
        <v>1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3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9.1999999999999993</v>
      </c>
      <c r="N29" s="14">
        <f>IF('Données projet'!$A$36&gt;35,N28+M29-V28,IF(A29&lt;'Données projet'!$A$36,$K$205^A29,IF(A29='Données projet'!$A$36,'Données projet'!$B$36,N28+M29-V28)))</f>
        <v>143.19999999999993</v>
      </c>
      <c r="O29" s="14">
        <f>N29*VLOOKUP('Données projet'!$B$9,Paramètres!$A$1:$I$89,3,0)*VLOOKUP('Données projet'!$B$9,Paramètres!$A$1:$I$89,5,0)</f>
        <v>67.017599999999959</v>
      </c>
      <c r="P29" s="14">
        <f t="shared" si="33"/>
        <v>18.93095622847579</v>
      </c>
      <c r="Q29" s="22">
        <f t="shared" si="2"/>
        <v>149.69373543126193</v>
      </c>
      <c r="R29" s="62">
        <f t="shared" si="0"/>
        <v>438.13817987570638</v>
      </c>
      <c r="S29" s="62">
        <f ca="1">AVERAGE(OFFSET($R$3,0,0,'Données projet'!$E$9+1,1))-AVERAGE(OFFSET($H$3,0,0,'Données projet'!$E$9+1,1))</f>
        <v>172.45217697899039</v>
      </c>
      <c r="T29" s="62">
        <f t="shared" si="34"/>
        <v>223.74038909289629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7.3949126525037556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9.0672842047019859</v>
      </c>
      <c r="AC29" s="24">
        <f t="shared" si="3"/>
        <v>16.46219685720574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7</v>
      </c>
      <c r="AI29" s="14">
        <f>IF('Données projet'!$A$62&gt;35,AI28+AH29-AQ28,IF(A29&lt;'Données projet'!$A$62,$AF$205^A29,IF(A29='Données projet'!$A$62,'Données projet'!$B$62,AI28+AH29-AQ28)))</f>
        <v>69</v>
      </c>
      <c r="AJ29" s="14">
        <f>AI29*VLOOKUP('Données projet'!$B$10,Paramètres!$A$1:$I$89,3,0)*VLOOKUP('Données projet'!$B$10,Paramètres!$A$1:$I$89,5,0)</f>
        <v>62.431199999999997</v>
      </c>
      <c r="AK29" s="14">
        <f t="shared" si="35"/>
        <v>17.781524466058684</v>
      </c>
      <c r="AL29" s="22">
        <f t="shared" si="4"/>
        <v>139.70382844505221</v>
      </c>
      <c r="AM29" s="62">
        <f t="shared" si="5"/>
        <v>428.14827288949664</v>
      </c>
      <c r="AN29" s="62">
        <f ca="1">AVERAGE(OFFSET($AM$3,0,0,'Données projet'!$E$10+1,1))-AVERAGE(OFFSET($H$3,0,0,'Données projet'!$E$10+1,1))</f>
        <v>364.3481978218424</v>
      </c>
      <c r="AO29" s="62">
        <f t="shared" si="36"/>
        <v>231.36959598460686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69.966000000000008</v>
      </c>
      <c r="BF29" s="14">
        <f t="shared" si="37"/>
        <v>19.665013934342461</v>
      </c>
      <c r="BG29" s="22">
        <f t="shared" si="7"/>
        <v>156.10734926897979</v>
      </c>
      <c r="BH29" s="62">
        <f t="shared" si="8"/>
        <v>444.55179371342422</v>
      </c>
      <c r="BI29" s="62">
        <f ca="1">AVERAGE(OFFSET($BH$3,0,0,'Données projet'!$E$11+1,1))-AVERAGE(OFFSET($H$3,0,0,'Données projet'!$E$11+1,1))</f>
        <v>403.50418598112844</v>
      </c>
      <c r="BJ29" s="62">
        <f t="shared" si="38"/>
        <v>254.25036207346591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6.6</v>
      </c>
      <c r="BY29" s="13">
        <f>IF('Données projet'!$A$114&gt;35,BY28+BX29-CG28,IF(A29&lt;'Données projet'!$A$114,$BV$205^A29,IF(A29='Données projet'!$A$114,'Données projet'!$B$114,BY28+BX29-CG28)))</f>
        <v>46.6</v>
      </c>
      <c r="BZ29" s="14">
        <f>BY29*VLOOKUP('Données projet'!$B$12,Paramètres!$A$1:$I$89,3,0)*VLOOKUP('Données projet'!$B$12,Paramètres!$A$1:$I$89,5,0)</f>
        <v>39.982800000000005</v>
      </c>
      <c r="CA29" s="14">
        <f t="shared" si="39"/>
        <v>11.994087930693277</v>
      </c>
      <c r="CB29" s="22">
        <f t="shared" si="10"/>
        <v>90.526413145957463</v>
      </c>
      <c r="CC29" s="62">
        <f t="shared" si="11"/>
        <v>378.97085759040192</v>
      </c>
      <c r="CD29" s="62">
        <f ca="1">AVERAGE(OFFSET($CC$3,0,0,'Données projet'!$E$12+1,1))-AVERAGE(OFFSET($H$3,0,0,'Données projet'!$E$12+1,1))</f>
        <v>347.72886258008998</v>
      </c>
      <c r="CE29" s="62">
        <f t="shared" si="40"/>
        <v>176.81257896138806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3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9.1999999999999993</v>
      </c>
      <c r="N30" s="14">
        <f>IF('Données projet'!$A$36&gt;35,N29+M30-V29,IF(A30&lt;'Données projet'!$A$36,$K$205^A30,IF(A30='Données projet'!$A$36,'Données projet'!$B$36,N29+M30-V29)))</f>
        <v>152.39999999999992</v>
      </c>
      <c r="O30" s="14">
        <f>N30*VLOOKUP('Données projet'!$B$9,Paramètres!$A$1:$I$89,3,0)*VLOOKUP('Données projet'!$B$9,Paramètres!$A$1:$I$89,5,0)</f>
        <v>71.323199999999957</v>
      </c>
      <c r="P30" s="14">
        <f t="shared" si="33"/>
        <v>20.001695779651133</v>
      </c>
      <c r="Q30" s="22">
        <f t="shared" si="2"/>
        <v>159.05752681622565</v>
      </c>
      <c r="R30" s="62">
        <f t="shared" si="0"/>
        <v>448.72419348289236</v>
      </c>
      <c r="S30" s="62">
        <f ca="1">AVERAGE(OFFSET($R$3,0,0,'Données projet'!$E$9+1,1))-AVERAGE(OFFSET($H$3,0,0,'Données projet'!$E$9+1,1))</f>
        <v>172.45217697899039</v>
      </c>
      <c r="T30" s="62">
        <f t="shared" si="34"/>
        <v>223.74038909289629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7.2499029258395051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6.4115381480904459</v>
      </c>
      <c r="AC30" s="24">
        <f t="shared" si="3"/>
        <v>13.66144107392995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7</v>
      </c>
      <c r="AI30" s="14">
        <f>IF('Données projet'!$A$62&gt;35,AI29+AH30-AQ29,IF(A30&lt;'Données projet'!$A$62,$AF$205^A30,IF(A30='Données projet'!$A$62,'Données projet'!$B$62,AI29+AH30-AQ29)))</f>
        <v>76</v>
      </c>
      <c r="AJ30" s="14">
        <f>AI30*VLOOKUP('Données projet'!$B$10,Paramètres!$A$1:$I$89,3,0)*VLOOKUP('Données projet'!$B$10,Paramètres!$A$1:$I$89,5,0)</f>
        <v>68.764799999999994</v>
      </c>
      <c r="AK30" s="14">
        <f t="shared" si="35"/>
        <v>19.366396769521369</v>
      </c>
      <c r="AL30" s="22">
        <f t="shared" si="4"/>
        <v>153.49516770691636</v>
      </c>
      <c r="AM30" s="62">
        <f t="shared" si="5"/>
        <v>443.16183437358302</v>
      </c>
      <c r="AN30" s="62">
        <f ca="1">AVERAGE(OFFSET($AM$3,0,0,'Données projet'!$E$10+1,1))-AVERAGE(OFFSET($H$3,0,0,'Données projet'!$E$10+1,1))</f>
        <v>364.3481978218424</v>
      </c>
      <c r="AO30" s="62">
        <f t="shared" si="36"/>
        <v>231.36959598460686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77.064000000000007</v>
      </c>
      <c r="BF30" s="14">
        <f t="shared" si="37"/>
        <v>21.417762186678065</v>
      </c>
      <c r="BG30" s="22">
        <f t="shared" si="7"/>
        <v>171.52240247513097</v>
      </c>
      <c r="BH30" s="62">
        <f t="shared" si="8"/>
        <v>461.18906914179763</v>
      </c>
      <c r="BI30" s="62">
        <f ca="1">AVERAGE(OFFSET($BH$3,0,0,'Données projet'!$E$11+1,1))-AVERAGE(OFFSET($H$3,0,0,'Données projet'!$E$11+1,1))</f>
        <v>403.50418598112844</v>
      </c>
      <c r="BJ30" s="62">
        <f t="shared" si="38"/>
        <v>254.25036207346591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6.6</v>
      </c>
      <c r="BY30" s="13">
        <f>IF('Données projet'!$A$114&gt;35,BY29+BX30-CG29,IF(A30&lt;'Données projet'!$A$114,$BV$205^A30,IF(A30='Données projet'!$A$114,'Données projet'!$B$114,BY29+BX30-CG29)))</f>
        <v>53.2</v>
      </c>
      <c r="BZ30" s="14">
        <f>BY30*VLOOKUP('Données projet'!$B$12,Paramètres!$A$1:$I$89,3,0)*VLOOKUP('Données projet'!$B$12,Paramètres!$A$1:$I$89,5,0)</f>
        <v>45.645600000000009</v>
      </c>
      <c r="CA30" s="14">
        <f t="shared" si="39"/>
        <v>13.483323382303894</v>
      </c>
      <c r="CB30" s="22">
        <f t="shared" si="10"/>
        <v>102.98287489084596</v>
      </c>
      <c r="CC30" s="62">
        <f t="shared" si="11"/>
        <v>392.64954155751263</v>
      </c>
      <c r="CD30" s="62">
        <f ca="1">AVERAGE(OFFSET($CC$3,0,0,'Données projet'!$E$12+1,1))-AVERAGE(OFFSET($H$3,0,0,'Données projet'!$E$12+1,1))</f>
        <v>347.72886258008998</v>
      </c>
      <c r="CE30" s="62">
        <f t="shared" si="40"/>
        <v>176.81257896138806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3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9.1999999999999993</v>
      </c>
      <c r="N31" s="14">
        <f>IF('Données projet'!$A$36&gt;35,N30+M31-V30,IF(A31&lt;'Données projet'!$A$36,$K$205^A31,IF(A31='Données projet'!$A$36,'Données projet'!$B$36,N30+M31-V30)))</f>
        <v>161.59999999999991</v>
      </c>
      <c r="O31" s="14">
        <f>N31*VLOOKUP('Données projet'!$B$9,Paramètres!$A$1:$I$89,3,0)*VLOOKUP('Données projet'!$B$9,Paramètres!$A$1:$I$89,5,0)</f>
        <v>75.628799999999956</v>
      </c>
      <c r="P31" s="14">
        <f t="shared" si="33"/>
        <v>21.064933051654201</v>
      </c>
      <c r="Q31" s="22">
        <f t="shared" si="2"/>
        <v>168.408251731631</v>
      </c>
      <c r="R31" s="62">
        <f t="shared" si="0"/>
        <v>459.29714062051983</v>
      </c>
      <c r="S31" s="62">
        <f ca="1">AVERAGE(OFFSET($R$3,0,0,'Données projet'!$E$9+1,1))-AVERAGE(OFFSET($H$3,0,0,'Données projet'!$E$9+1,1))</f>
        <v>172.45217697899039</v>
      </c>
      <c r="T31" s="62">
        <f t="shared" si="34"/>
        <v>223.74038909289629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7.1077367514679404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4.533642102350993</v>
      </c>
      <c r="AC31" s="24">
        <f t="shared" si="3"/>
        <v>11.641378853818933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7</v>
      </c>
      <c r="AI31" s="14">
        <f>IF('Données projet'!$A$62&gt;35,AI30+AH31-AQ30,IF(A31&lt;'Données projet'!$A$62,$AF$205^A31,IF(A31='Données projet'!$A$62,'Données projet'!$B$62,AI30+AH31-AQ30)))</f>
        <v>83</v>
      </c>
      <c r="AJ31" s="14">
        <f>AI31*VLOOKUP('Données projet'!$B$10,Paramètres!$A$1:$I$89,3,0)*VLOOKUP('Données projet'!$B$10,Paramètres!$A$1:$I$89,5,0)</f>
        <v>75.098399999999998</v>
      </c>
      <c r="AK31" s="14">
        <f t="shared" si="35"/>
        <v>20.934343091450742</v>
      </c>
      <c r="AL31" s="22">
        <f t="shared" si="4"/>
        <v>167.25702755094335</v>
      </c>
      <c r="AM31" s="62">
        <f t="shared" si="5"/>
        <v>458.14591643983221</v>
      </c>
      <c r="AN31" s="62">
        <f ca="1">AVERAGE(OFFSET($AM$3,0,0,'Données projet'!$E$10+1,1))-AVERAGE(OFFSET($H$3,0,0,'Données projet'!$E$10+1,1))</f>
        <v>364.3481978218424</v>
      </c>
      <c r="AO31" s="62">
        <f t="shared" si="36"/>
        <v>231.36959598460686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84.162000000000006</v>
      </c>
      <c r="BF31" s="14">
        <f t="shared" si="37"/>
        <v>23.151791590506594</v>
      </c>
      <c r="BG31" s="22">
        <f t="shared" si="7"/>
        <v>186.90485368679899</v>
      </c>
      <c r="BH31" s="62">
        <f t="shared" si="8"/>
        <v>477.79374257568782</v>
      </c>
      <c r="BI31" s="62">
        <f ca="1">AVERAGE(OFFSET($BH$3,0,0,'Données projet'!$E$11+1,1))-AVERAGE(OFFSET($H$3,0,0,'Données projet'!$E$11+1,1))</f>
        <v>403.50418598112844</v>
      </c>
      <c r="BJ31" s="62">
        <f t="shared" si="38"/>
        <v>254.25036207346591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6.6</v>
      </c>
      <c r="BY31" s="13">
        <f>IF('Données projet'!$A$114&gt;35,BY30+BX31-CG30,IF(A31&lt;'Données projet'!$A$114,$BV$205^A31,IF(A31='Données projet'!$A$114,'Données projet'!$B$114,BY30+BX31-CG30)))</f>
        <v>59.800000000000004</v>
      </c>
      <c r="BZ31" s="14">
        <f>BY31*VLOOKUP('Données projet'!$B$12,Paramètres!$A$1:$I$89,3,0)*VLOOKUP('Données projet'!$B$12,Paramètres!$A$1:$I$89,5,0)</f>
        <v>51.308400000000013</v>
      </c>
      <c r="CA31" s="14">
        <f t="shared" si="39"/>
        <v>14.95114999798154</v>
      </c>
      <c r="CB31" s="22">
        <f t="shared" si="10"/>
        <v>115.40204957981786</v>
      </c>
      <c r="CC31" s="62">
        <f t="shared" si="11"/>
        <v>406.29093846870671</v>
      </c>
      <c r="CD31" s="62">
        <f ca="1">AVERAGE(OFFSET($CC$3,0,0,'Données projet'!$E$12+1,1))-AVERAGE(OFFSET($H$3,0,0,'Données projet'!$E$12+1,1))</f>
        <v>347.72886258008998</v>
      </c>
      <c r="CE31" s="62">
        <f t="shared" si="40"/>
        <v>176.81257896138806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3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9.1999999999999993</v>
      </c>
      <c r="N32" s="14">
        <f>IF('Données projet'!$A$36&gt;35,N31+M32-V31,IF(A32&lt;'Données projet'!$A$36,$K$205^A32,IF(A32='Données projet'!$A$36,'Données projet'!$B$36,N31+M32-V31)))</f>
        <v>170.7999999999999</v>
      </c>
      <c r="O32" s="14">
        <f>N32*VLOOKUP('Données projet'!$B$9,Paramètres!$A$1:$I$89,3,0)*VLOOKUP('Données projet'!$B$9,Paramètres!$A$1:$I$89,5,0)</f>
        <v>79.934399999999954</v>
      </c>
      <c r="P32" s="14">
        <f t="shared" si="33"/>
        <v>22.121143821921795</v>
      </c>
      <c r="Q32" s="22">
        <f t="shared" si="2"/>
        <v>177.74673882318038</v>
      </c>
      <c r="R32" s="62">
        <f t="shared" si="0"/>
        <v>469.85784993429149</v>
      </c>
      <c r="S32" s="62">
        <f ca="1">AVERAGE(OFFSET($R$3,0,0,'Données projet'!$E$9+1,1))-AVERAGE(OFFSET($H$3,0,0,'Données projet'!$E$9+1,1))</f>
        <v>172.45217697899039</v>
      </c>
      <c r="T32" s="62">
        <f t="shared" si="34"/>
        <v>223.74038909289629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6.9683583690629982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3.2057690740452229</v>
      </c>
      <c r="AC32" s="24">
        <f t="shared" si="3"/>
        <v>10.174127443108221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7</v>
      </c>
      <c r="AI32" s="14">
        <f>IF('Données projet'!$A$62&gt;35,AI31+AH32-AQ31,IF(A32&lt;'Données projet'!$A$62,$AF$205^A32,IF(A32='Données projet'!$A$62,'Données projet'!$B$62,AI31+AH32-AQ31)))</f>
        <v>90</v>
      </c>
      <c r="AJ32" s="14">
        <f>AI32*VLOOKUP('Données projet'!$B$10,Paramètres!$A$1:$I$89,3,0)*VLOOKUP('Données projet'!$B$10,Paramètres!$A$1:$I$89,5,0)</f>
        <v>81.432000000000002</v>
      </c>
      <c r="AK32" s="14">
        <f t="shared" si="35"/>
        <v>22.486953220240881</v>
      </c>
      <c r="AL32" s="22">
        <f t="shared" si="4"/>
        <v>180.99217685858619</v>
      </c>
      <c r="AM32" s="62">
        <f t="shared" si="5"/>
        <v>473.10328796969736</v>
      </c>
      <c r="AN32" s="62">
        <f ca="1">AVERAGE(OFFSET($AM$3,0,0,'Données projet'!$E$10+1,1))-AVERAGE(OFFSET($H$3,0,0,'Données projet'!$E$10+1,1))</f>
        <v>364.3481978218424</v>
      </c>
      <c r="AO32" s="62">
        <f t="shared" si="36"/>
        <v>231.36959598460686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91.26</v>
      </c>
      <c r="BF32" s="14">
        <f t="shared" si="37"/>
        <v>24.868860330902777</v>
      </c>
      <c r="BG32" s="22">
        <f t="shared" si="7"/>
        <v>202.25776507632233</v>
      </c>
      <c r="BH32" s="62">
        <f t="shared" si="8"/>
        <v>494.36887618743344</v>
      </c>
      <c r="BI32" s="62">
        <f ca="1">AVERAGE(OFFSET($BH$3,0,0,'Données projet'!$E$11+1,1))-AVERAGE(OFFSET($H$3,0,0,'Données projet'!$E$11+1,1))</f>
        <v>403.50418598112844</v>
      </c>
      <c r="BJ32" s="62">
        <f t="shared" si="38"/>
        <v>254.25036207346591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6.6</v>
      </c>
      <c r="BY32" s="13">
        <f>IF('Données projet'!$A$114&gt;35,BY31+BX32-CG31,IF(A32&lt;'Données projet'!$A$114,$BV$205^A32,IF(A32='Données projet'!$A$114,'Données projet'!$B$114,BY31+BX32-CG31)))</f>
        <v>66.400000000000006</v>
      </c>
      <c r="BZ32" s="14">
        <f>BY32*VLOOKUP('Données projet'!$B$12,Paramètres!$A$1:$I$89,3,0)*VLOOKUP('Données projet'!$B$12,Paramètres!$A$1:$I$89,5,0)</f>
        <v>56.97120000000001</v>
      </c>
      <c r="CA32" s="14">
        <f t="shared" si="39"/>
        <v>16.400200115277677</v>
      </c>
      <c r="CB32" s="22">
        <f t="shared" si="10"/>
        <v>127.78852186744196</v>
      </c>
      <c r="CC32" s="62">
        <f t="shared" si="11"/>
        <v>419.89963297855309</v>
      </c>
      <c r="CD32" s="62">
        <f ca="1">AVERAGE(OFFSET($CC$3,0,0,'Données projet'!$E$12+1,1))-AVERAGE(OFFSET($H$3,0,0,'Données projet'!$E$12+1,1))</f>
        <v>347.72886258008998</v>
      </c>
      <c r="CE32" s="62">
        <f t="shared" si="40"/>
        <v>176.81257896138806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3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180</v>
      </c>
      <c r="L33" s="13">
        <f>VLOOKUP(A33,'Données projet'!$A$35:$I$55,9,0)</f>
        <v>9.1999999999999993</v>
      </c>
      <c r="M33" s="13">
        <f t="array" ref="M33">INDEX(L:L,MIN(IF(ISNUMBER(L33:L229),ROW(L33:L229),"")))</f>
        <v>9.1999999999999993</v>
      </c>
      <c r="N33" s="14">
        <f>IF('Données projet'!$A$36&gt;35,N32+M33-V32,IF(A33&lt;'Données projet'!$A$36,$K$205^A33,IF(A33='Données projet'!$A$36,'Données projet'!$B$36,N32+M33-V32)))</f>
        <v>179.99999999999989</v>
      </c>
      <c r="O33" s="14">
        <f>N33*VLOOKUP('Données projet'!$B$9,Paramètres!$A$1:$I$89,3,0)*VLOOKUP('Données projet'!$B$9,Paramètres!$A$1:$I$89,5,0)</f>
        <v>84.239999999999938</v>
      </c>
      <c r="P33" s="14">
        <f t="shared" si="33"/>
        <v>23.170749718409446</v>
      </c>
      <c r="Q33" s="22">
        <f t="shared" si="2"/>
        <v>187.07372242622966</v>
      </c>
      <c r="R33" s="62">
        <f t="shared" si="0"/>
        <v>480.40705575956298</v>
      </c>
      <c r="S33" s="62">
        <f ca="1">AVERAGE(OFFSET($R$3,0,0,'Données projet'!$E$9+1,1))-AVERAGE(OFFSET($H$3,0,0,'Données projet'!$E$9+1,1))</f>
        <v>172.45217697899039</v>
      </c>
      <c r="T33" s="62">
        <f t="shared" si="34"/>
        <v>223.74038909289629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50</v>
      </c>
      <c r="W33" s="17">
        <f>IF(ISNA(VLOOKUP(A33,'Données projet'!$A$35:$I$55,5,0)),0%,VLOOKUP(A33,'Données projet'!$A$35:$I$55,5,0)*VLOOKUP('Données projet'!$B$9,Paramètres!$A$1:$I$89,7,0))</f>
        <v>0.27500000000000002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0.5</v>
      </c>
      <c r="Z33" s="23">
        <f>EXP(-LN(2)/35)*Z32+(1-EXP(-LN(2)/35))/(LN(2)/35)*V33*W33*VLOOKUP('Données projet'!$B$9,Paramètres!$A$1:$I$89,3,0)*0.475*44/12</f>
        <v>15.36815538247804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15.513938932235146</v>
      </c>
      <c r="AC33" s="24">
        <f t="shared" si="3"/>
        <v>30.882094314713186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97</v>
      </c>
      <c r="AG33" s="13">
        <f>VLOOKUP(A33,'Données projet'!$A$61:$I$81,9,0)</f>
        <v>7</v>
      </c>
      <c r="AH33" s="13">
        <f t="array" ref="AH33">INDEX(AG:AG,MIN(IF(ISNUMBER(AG33:AG229),ROW(AG33:AG229),"")))</f>
        <v>7</v>
      </c>
      <c r="AI33" s="14">
        <f>IF('Données projet'!$A$62&gt;35,AI32+AH33-AQ32,IF(A33&lt;'Données projet'!$A$62,$AF$205^A33,IF(A33='Données projet'!$A$62,'Données projet'!$B$62,AI32+AH33-AQ32)))</f>
        <v>97</v>
      </c>
      <c r="AJ33" s="14">
        <f>AI33*VLOOKUP('Données projet'!$B$10,Paramètres!$A$1:$I$89,3,0)*VLOOKUP('Données projet'!$B$10,Paramètres!$A$1:$I$89,5,0)</f>
        <v>87.765600000000006</v>
      </c>
      <c r="AK33" s="14">
        <f t="shared" si="35"/>
        <v>24.025555589247954</v>
      </c>
      <c r="AL33" s="22">
        <f t="shared" si="4"/>
        <v>194.7029293179402</v>
      </c>
      <c r="AM33" s="62">
        <f t="shared" si="5"/>
        <v>488.03626265127355</v>
      </c>
      <c r="AN33" s="62">
        <f ca="1">AVERAGE(OFFSET($AM$3,0,0,'Données projet'!$E$10+1,1))-AVERAGE(OFFSET($H$3,0,0,'Données projet'!$E$10+1,1))</f>
        <v>364.3481978218424</v>
      </c>
      <c r="AO33" s="62">
        <f t="shared" si="36"/>
        <v>231.36959598460686</v>
      </c>
      <c r="AP33" s="16">
        <f>IF(ISNA(VLOOKUP(A33,'Données projet'!$A$61:$I$81,3,0)),0,VLOOKUP(A33,'Données projet'!$A$61:$I$81,3,0))</f>
        <v>3</v>
      </c>
      <c r="AQ33" s="16">
        <f>IF(ISNA(VLOOKUP(A33,'Données projet'!$A$61:$I$81,4,0)),0,VLOOKUP(A33,'Données projet'!$A$61:$I$81,4,0))</f>
        <v>21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98.358000000000004</v>
      </c>
      <c r="BF33" s="14">
        <f t="shared" si="37"/>
        <v>26.570437554143126</v>
      </c>
      <c r="BG33" s="22">
        <f t="shared" si="7"/>
        <v>217.58369540679928</v>
      </c>
      <c r="BH33" s="62">
        <f t="shared" si="8"/>
        <v>510.91702874013259</v>
      </c>
      <c r="BI33" s="62">
        <f ca="1">AVERAGE(OFFSET($BH$3,0,0,'Données projet'!$E$11+1,1))-AVERAGE(OFFSET($H$3,0,0,'Données projet'!$E$11+1,1))</f>
        <v>403.50418598112844</v>
      </c>
      <c r="BJ33" s="62">
        <f t="shared" si="38"/>
        <v>254.25036207346591</v>
      </c>
      <c r="BK33" s="16">
        <f>IF(ISNA(VLOOKUP(A33,'Données projet'!$A$87:$I$107,3,0)),0,VLOOKUP(A33,'Données projet'!$A$87:$I$107,3,0))</f>
        <v>3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73</v>
      </c>
      <c r="BW33" s="13">
        <f>VLOOKUP(A33,'Données projet'!$A$113:$I$133,9,0)</f>
        <v>6.6</v>
      </c>
      <c r="BX33" s="13">
        <f t="array" ref="BX33">INDEX(BW:BW,MIN(IF(ISNUMBER(BW33:BW229),ROW(BW33:BW229),"")))</f>
        <v>6.6</v>
      </c>
      <c r="BY33" s="13">
        <f>IF('Données projet'!$A$114&gt;35,BY32+BX33-CG32,IF(A33&lt;'Données projet'!$A$114,$BV$205^A33,IF(A33='Données projet'!$A$114,'Données projet'!$B$114,BY32+BX33-CG32)))</f>
        <v>73</v>
      </c>
      <c r="BZ33" s="14">
        <f>BY33*VLOOKUP('Données projet'!$B$12,Paramètres!$A$1:$I$89,3,0)*VLOOKUP('Données projet'!$B$12,Paramètres!$A$1:$I$89,5,0)</f>
        <v>62.634000000000015</v>
      </c>
      <c r="CA33" s="14">
        <f t="shared" si="39"/>
        <v>17.832552513715669</v>
      </c>
      <c r="CB33" s="22">
        <f t="shared" si="10"/>
        <v>140.14591229472146</v>
      </c>
      <c r="CC33" s="62">
        <f t="shared" si="11"/>
        <v>433.47924562805474</v>
      </c>
      <c r="CD33" s="62">
        <f ca="1">AVERAGE(OFFSET($CC$3,0,0,'Données projet'!$E$12+1,1))-AVERAGE(OFFSET($H$3,0,0,'Données projet'!$E$12+1,1))</f>
        <v>347.72886258008998</v>
      </c>
      <c r="CE33" s="62">
        <f t="shared" si="40"/>
        <v>176.81257896138806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12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0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0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3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10</v>
      </c>
      <c r="N34" s="14">
        <f>IF('Données projet'!$A$36&gt;35,N33+M34-V33,IF(A34&lt;'Données projet'!$A$36,$K$205^A34,IF(A34='Données projet'!$A$36,'Données projet'!$B$36,N33+M34-V33)))</f>
        <v>139.99999999999989</v>
      </c>
      <c r="O34" s="14">
        <f>N34*VLOOKUP('Données projet'!$B$9,Paramètres!$A$1:$I$89,3,0)*VLOOKUP('Données projet'!$B$9,Paramètres!$A$1:$I$89,5,0)</f>
        <v>65.519999999999939</v>
      </c>
      <c r="P34" s="14">
        <f t="shared" si="33"/>
        <v>18.556669503136707</v>
      </c>
      <c r="Q34" s="22">
        <f t="shared" si="2"/>
        <v>146.43353271796298</v>
      </c>
      <c r="R34" s="62">
        <f t="shared" si="0"/>
        <v>439.76686605129629</v>
      </c>
      <c r="S34" s="62">
        <f ca="1">AVERAGE(OFFSET($R$3,0,0,'Données projet'!$E$9+1,1))-AVERAGE(OFFSET($H$3,0,0,'Données projet'!$E$9+1,1))</f>
        <v>172.45217697899039</v>
      </c>
      <c r="T34" s="62">
        <f t="shared" si="34"/>
        <v>223.74038909289629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15.066795229076858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10.970011421897459</v>
      </c>
      <c r="AC34" s="24">
        <f t="shared" si="3"/>
        <v>26.036806650974317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8</v>
      </c>
      <c r="AI34" s="14">
        <f>IF('Données projet'!$A$62&gt;35,AI33+AH34-AQ33,IF(A34&lt;'Données projet'!$A$62,$AF$205^A34,IF(A34='Données projet'!$A$62,'Données projet'!$B$62,AI33+AH34-AQ33)))</f>
        <v>84</v>
      </c>
      <c r="AJ34" s="14">
        <f>AI34*VLOOKUP('Données projet'!$B$10,Paramètres!$A$1:$I$89,3,0)*VLOOKUP('Données projet'!$B$10,Paramètres!$A$1:$I$89,5,0)</f>
        <v>76.003200000000007</v>
      </c>
      <c r="AK34" s="14">
        <f t="shared" si="35"/>
        <v>21.157049992000456</v>
      </c>
      <c r="AL34" s="22">
        <f t="shared" si="4"/>
        <v>169.22076873606747</v>
      </c>
      <c r="AM34" s="62">
        <f t="shared" si="5"/>
        <v>462.55410206940076</v>
      </c>
      <c r="AN34" s="62">
        <f ca="1">AVERAGE(OFFSET($AM$3,0,0,'Données projet'!$E$10+1,1))-AVERAGE(OFFSET($H$3,0,0,'Données projet'!$E$10+1,1))</f>
        <v>364.3481978218424</v>
      </c>
      <c r="AO34" s="62">
        <f t="shared" si="36"/>
        <v>231.36959598460686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2">
        <f t="shared" si="8"/>
        <v>482.4332041160016</v>
      </c>
      <c r="BI34" s="62">
        <f ca="1">AVERAGE(OFFSET($BH$3,0,0,'Données projet'!$E$11+1,1))-AVERAGE(OFFSET($H$3,0,0,'Données projet'!$E$11+1,1))</f>
        <v>403.50418598112844</v>
      </c>
      <c r="BJ34" s="62">
        <f t="shared" si="38"/>
        <v>254.25036207346591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7.2</v>
      </c>
      <c r="BY34" s="13">
        <f>IF('Données projet'!$A$114&gt;35,BY33+BX34-CG33,IF(A34&lt;'Données projet'!$A$114,$BV$205^A34,IF(A34='Données projet'!$A$114,'Données projet'!$B$114,BY33+BX34-CG33)))</f>
        <v>68.2</v>
      </c>
      <c r="BZ34" s="14">
        <f>BY34*VLOOKUP('Données projet'!$B$12,Paramètres!$A$1:$I$89,3,0)*VLOOKUP('Données projet'!$B$12,Paramètres!$A$1:$I$89,5,0)</f>
        <v>58.515600000000013</v>
      </c>
      <c r="CA34" s="14">
        <f t="shared" si="39"/>
        <v>16.792420691577682</v>
      </c>
      <c r="CB34" s="22">
        <f t="shared" si="10"/>
        <v>131.16146937116449</v>
      </c>
      <c r="CC34" s="62">
        <f t="shared" si="11"/>
        <v>424.49480270449783</v>
      </c>
      <c r="CD34" s="62">
        <f ca="1">AVERAGE(OFFSET($CC$3,0,0,'Données projet'!$E$12+1,1))-AVERAGE(OFFSET($H$3,0,0,'Données projet'!$E$12+1,1))</f>
        <v>347.72886258008998</v>
      </c>
      <c r="CE34" s="62">
        <f t="shared" si="40"/>
        <v>176.81257896138806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0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0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3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10</v>
      </c>
      <c r="N35" s="14">
        <f>IF('Données projet'!$A$36&gt;35,N34+M35-V34,IF(A35&lt;'Données projet'!$A$36,$K$205^A35,IF(A35='Données projet'!$A$36,'Données projet'!$B$36,N34+M35-V34)))</f>
        <v>149.99999999999989</v>
      </c>
      <c r="O35" s="14">
        <f>N35*VLOOKUP('Données projet'!$B$9,Paramètres!$A$1:$I$89,3,0)*VLOOKUP('Données projet'!$B$9,Paramètres!$A$1:$I$89,5,0)</f>
        <v>70.199999999999946</v>
      </c>
      <c r="P35" s="14">
        <f t="shared" si="33"/>
        <v>19.723116370112184</v>
      </c>
      <c r="Q35" s="22">
        <f t="shared" ref="Q35:Q66" si="53">(O35+P35)*0.475*44/12</f>
        <v>156.61609434461192</v>
      </c>
      <c r="R35" s="62">
        <f t="shared" si="0"/>
        <v>449.94942767794521</v>
      </c>
      <c r="S35" s="62">
        <f ca="1">AVERAGE(OFFSET($R$3,0,0,'Données projet'!$E$9+1,1))-AVERAGE(OFFSET($H$3,0,0,'Données projet'!$E$9+1,1))</f>
        <v>172.45217697899039</v>
      </c>
      <c r="T35" s="62">
        <f t="shared" si="34"/>
        <v>223.74038909289629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14.771344564472329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7.7569694661175737</v>
      </c>
      <c r="AC35" s="24">
        <f t="shared" si="3"/>
        <v>22.528314030589904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8</v>
      </c>
      <c r="AI35" s="14">
        <f>IF('Données projet'!$A$62&gt;35,AI34+AH35-AQ34,IF(A35&lt;'Données projet'!$A$62,$AF$205^A35,IF(A35='Données projet'!$A$62,'Données projet'!$B$62,AI34+AH35-AQ34)))</f>
        <v>92</v>
      </c>
      <c r="AJ35" s="14">
        <f>AI35*VLOOKUP('Données projet'!$B$10,Paramètres!$A$1:$I$89,3,0)*VLOOKUP('Données projet'!$B$10,Paramètres!$A$1:$I$89,5,0)</f>
        <v>83.241600000000005</v>
      </c>
      <c r="AK35" s="14">
        <f t="shared" si="35"/>
        <v>22.927930643846508</v>
      </c>
      <c r="AL35" s="22">
        <f t="shared" si="4"/>
        <v>184.91193253803269</v>
      </c>
      <c r="AM35" s="62">
        <f t="shared" si="5"/>
        <v>478.24526587136597</v>
      </c>
      <c r="AN35" s="62">
        <f ca="1">AVERAGE(OFFSET($AM$3,0,0,'Données projet'!$E$10+1,1))-AVERAGE(OFFSET($H$3,0,0,'Données projet'!$E$10+1,1))</f>
        <v>364.3481978218424</v>
      </c>
      <c r="AO35" s="62">
        <f t="shared" si="36"/>
        <v>231.36959598460686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2">
        <f t="shared" si="8"/>
        <v>499.97258746891305</v>
      </c>
      <c r="BI35" s="62">
        <f ca="1">AVERAGE(OFFSET($BH$3,0,0,'Données projet'!$E$11+1,1))-AVERAGE(OFFSET($H$3,0,0,'Données projet'!$E$11+1,1))</f>
        <v>403.50418598112844</v>
      </c>
      <c r="BJ35" s="62">
        <f t="shared" si="38"/>
        <v>254.25036207346591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7.2</v>
      </c>
      <c r="BY35" s="13">
        <f>IF('Données projet'!$A$114&gt;35,BY34+BX35-CG34,IF(A35&lt;'Données projet'!$A$114,$BV$205^A35,IF(A35='Données projet'!$A$114,'Données projet'!$B$114,BY34+BX35-CG34)))</f>
        <v>75.400000000000006</v>
      </c>
      <c r="BZ35" s="14">
        <f>BY35*VLOOKUP('Données projet'!$B$12,Paramètres!$A$1:$I$89,3,0)*VLOOKUP('Données projet'!$B$12,Paramètres!$A$1:$I$89,5,0)</f>
        <v>64.693200000000004</v>
      </c>
      <c r="CA35" s="14">
        <f t="shared" si="39"/>
        <v>18.349606424257921</v>
      </c>
      <c r="CB35" s="22">
        <f t="shared" si="10"/>
        <v>144.63288785558254</v>
      </c>
      <c r="CC35" s="62">
        <f t="shared" si="11"/>
        <v>437.96622118891582</v>
      </c>
      <c r="CD35" s="62">
        <f ca="1">AVERAGE(OFFSET($CC$3,0,0,'Données projet'!$E$12+1,1))-AVERAGE(OFFSET($H$3,0,0,'Données projet'!$E$12+1,1))</f>
        <v>347.72886258008998</v>
      </c>
      <c r="CE35" s="62">
        <f t="shared" si="40"/>
        <v>176.81257896138806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0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0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3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10</v>
      </c>
      <c r="N36" s="14">
        <f>IF('Données projet'!$A$36&gt;35,N35+M36-V35,IF(A36&lt;'Données projet'!$A$36,$K$205^A36,IF(A36='Données projet'!$A$36,'Données projet'!$B$36,N35+M36-V35)))</f>
        <v>159.99999999999989</v>
      </c>
      <c r="O36" s="14">
        <f>N36*VLOOKUP('Données projet'!$B$9,Paramètres!$A$1:$I$89,3,0)*VLOOKUP('Données projet'!$B$9,Paramètres!$A$1:$I$89,5,0)</f>
        <v>74.879999999999953</v>
      </c>
      <c r="P36" s="14">
        <f t="shared" si="33"/>
        <v>20.880539585643213</v>
      </c>
      <c r="Q36" s="22">
        <f t="shared" si="53"/>
        <v>166.78293977832848</v>
      </c>
      <c r="R36" s="62">
        <f t="shared" si="0"/>
        <v>460.11627311166183</v>
      </c>
      <c r="S36" s="62">
        <f ca="1">AVERAGE(OFFSET($R$3,0,0,'Données projet'!$E$9+1,1))-AVERAGE(OFFSET($H$3,0,0,'Données projet'!$E$9+1,1))</f>
        <v>172.45217697899039</v>
      </c>
      <c r="T36" s="62">
        <f t="shared" si="34"/>
        <v>223.74038909289629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14.481687507193584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5.4850057109487302</v>
      </c>
      <c r="AC36" s="24">
        <f t="shared" si="3"/>
        <v>19.966693218142314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8</v>
      </c>
      <c r="AI36" s="14">
        <f>IF('Données projet'!$A$62&gt;35,AI35+AH36-AQ35,IF(A36&lt;'Données projet'!$A$62,$AF$205^A36,IF(A36='Données projet'!$A$62,'Données projet'!$B$62,AI35+AH36-AQ35)))</f>
        <v>100</v>
      </c>
      <c r="AJ36" s="14">
        <f>AI36*VLOOKUP('Données projet'!$B$10,Paramètres!$A$1:$I$89,3,0)*VLOOKUP('Données projet'!$B$10,Paramètres!$A$1:$I$89,5,0)</f>
        <v>90.47999999999999</v>
      </c>
      <c r="AK36" s="14">
        <f t="shared" si="35"/>
        <v>24.680953573367994</v>
      </c>
      <c r="AL36" s="22">
        <f t="shared" si="4"/>
        <v>200.57199414028256</v>
      </c>
      <c r="AM36" s="62">
        <f t="shared" si="5"/>
        <v>493.9053274736159</v>
      </c>
      <c r="AN36" s="62">
        <f ca="1">AVERAGE(OFFSET($AM$3,0,0,'Données projet'!$E$10+1,1))-AVERAGE(OFFSET($H$3,0,0,'Données projet'!$E$10+1,1))</f>
        <v>364.3481978218424</v>
      </c>
      <c r="AO36" s="62">
        <f t="shared" si="36"/>
        <v>231.36959598460686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2">
        <f t="shared" si="8"/>
        <v>517.477574153982</v>
      </c>
      <c r="BI36" s="62">
        <f ca="1">AVERAGE(OFFSET($BH$3,0,0,'Données projet'!$E$11+1,1))-AVERAGE(OFFSET($H$3,0,0,'Données projet'!$E$11+1,1))</f>
        <v>403.50418598112844</v>
      </c>
      <c r="BJ36" s="62">
        <f t="shared" si="38"/>
        <v>254.25036207346591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7.2</v>
      </c>
      <c r="BY36" s="13">
        <f>IF('Données projet'!$A$114&gt;35,BY35+BX36-CG35,IF(A36&lt;'Données projet'!$A$114,$BV$205^A36,IF(A36='Données projet'!$A$114,'Données projet'!$B$114,BY35+BX36-CG35)))</f>
        <v>82.600000000000009</v>
      </c>
      <c r="BZ36" s="14">
        <f>BY36*VLOOKUP('Données projet'!$B$12,Paramètres!$A$1:$I$89,3,0)*VLOOKUP('Données projet'!$B$12,Paramètres!$A$1:$I$89,5,0)</f>
        <v>70.870800000000017</v>
      </c>
      <c r="CA36" s="14">
        <f t="shared" si="39"/>
        <v>19.88955205532633</v>
      </c>
      <c r="CB36" s="22">
        <f t="shared" si="10"/>
        <v>158.07427982969338</v>
      </c>
      <c r="CC36" s="62">
        <f t="shared" si="11"/>
        <v>451.40761316302667</v>
      </c>
      <c r="CD36" s="62">
        <f ca="1">AVERAGE(OFFSET($CC$3,0,0,'Données projet'!$E$12+1,1))-AVERAGE(OFFSET($H$3,0,0,'Données projet'!$E$12+1,1))</f>
        <v>347.72886258008998</v>
      </c>
      <c r="CE36" s="62">
        <f t="shared" si="40"/>
        <v>176.81257896138806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0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0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3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10</v>
      </c>
      <c r="N37" s="14">
        <f>IF('Données projet'!$A$36&gt;35,N36+M37-V36,IF(A37&lt;'Données projet'!$A$36,$K$205^A37,IF(A37='Données projet'!$A$36,'Données projet'!$B$36,N36+M37-V36)))</f>
        <v>169.99999999999989</v>
      </c>
      <c r="O37" s="14">
        <f>N37*VLOOKUP('Données projet'!$B$9,Paramètres!$A$1:$I$89,3,0)*VLOOKUP('Données projet'!$B$9,Paramètres!$A$1:$I$89,5,0)</f>
        <v>79.559999999999945</v>
      </c>
      <c r="P37" s="14">
        <f t="shared" si="33"/>
        <v>22.029567333453301</v>
      </c>
      <c r="Q37" s="22">
        <f t="shared" si="53"/>
        <v>176.93516310576442</v>
      </c>
      <c r="R37" s="62">
        <f t="shared" si="0"/>
        <v>470.2684964390977</v>
      </c>
      <c r="S37" s="62">
        <f ca="1">AVERAGE(OFFSET($R$3,0,0,'Données projet'!$E$9+1,1))-AVERAGE(OFFSET($H$3,0,0,'Données projet'!$E$9+1,1))</f>
        <v>172.45217697899039</v>
      </c>
      <c r="T37" s="62">
        <f t="shared" si="34"/>
        <v>223.74038909289629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14.197710448134716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3.8784847330587877</v>
      </c>
      <c r="AC37" s="24">
        <f t="shared" si="3"/>
        <v>18.076195181193505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8</v>
      </c>
      <c r="AI37" s="14">
        <f>IF('Données projet'!$A$62&gt;35,AI36+AH37-AQ36,IF(A37&lt;'Données projet'!$A$62,$AF$205^A37,IF(A37='Données projet'!$A$62,'Données projet'!$B$62,AI36+AH37-AQ36)))</f>
        <v>108</v>
      </c>
      <c r="AJ37" s="14">
        <f>AI37*VLOOKUP('Données projet'!$B$10,Paramètres!$A$1:$I$89,3,0)*VLOOKUP('Données projet'!$B$10,Paramètres!$A$1:$I$89,5,0)</f>
        <v>97.718399999999988</v>
      </c>
      <c r="AK37" s="14">
        <f t="shared" si="35"/>
        <v>26.417709819192194</v>
      </c>
      <c r="AL37" s="22">
        <f t="shared" si="4"/>
        <v>216.20372460175972</v>
      </c>
      <c r="AM37" s="62">
        <f t="shared" si="5"/>
        <v>509.537057935093</v>
      </c>
      <c r="AN37" s="62">
        <f ca="1">AVERAGE(OFFSET($AM$3,0,0,'Données projet'!$E$10+1,1))-AVERAGE(OFFSET($H$3,0,0,'Données projet'!$E$10+1,1))</f>
        <v>364.3481978218424</v>
      </c>
      <c r="AO37" s="62">
        <f t="shared" si="36"/>
        <v>231.36959598460686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2">
        <f t="shared" si="8"/>
        <v>534.95122875168499</v>
      </c>
      <c r="BI37" s="62">
        <f ca="1">AVERAGE(OFFSET($BH$3,0,0,'Données projet'!$E$11+1,1))-AVERAGE(OFFSET($H$3,0,0,'Données projet'!$E$11+1,1))</f>
        <v>403.50418598112844</v>
      </c>
      <c r="BJ37" s="62">
        <f t="shared" si="38"/>
        <v>254.25036207346591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7.2</v>
      </c>
      <c r="BY37" s="13">
        <f>IF('Données projet'!$A$114&gt;35,BY36+BX37-CG36,IF(A37&lt;'Données projet'!$A$114,$BV$205^A37,IF(A37='Données projet'!$A$114,'Données projet'!$B$114,BY36+BX37-CG36)))</f>
        <v>89.800000000000011</v>
      </c>
      <c r="BZ37" s="14">
        <f>BY37*VLOOKUP('Données projet'!$B$12,Paramètres!$A$1:$I$89,3,0)*VLOOKUP('Données projet'!$B$12,Paramètres!$A$1:$I$89,5,0)</f>
        <v>77.048400000000015</v>
      </c>
      <c r="CA37" s="14">
        <f t="shared" si="39"/>
        <v>21.413931223592172</v>
      </c>
      <c r="CB37" s="22">
        <f t="shared" si="10"/>
        <v>171.48856021442305</v>
      </c>
      <c r="CC37" s="62">
        <f t="shared" si="11"/>
        <v>464.82189354775636</v>
      </c>
      <c r="CD37" s="62">
        <f ca="1">AVERAGE(OFFSET($CC$3,0,0,'Données projet'!$E$12+1,1))-AVERAGE(OFFSET($H$3,0,0,'Données projet'!$E$12+1,1))</f>
        <v>347.72886258008998</v>
      </c>
      <c r="CE37" s="62">
        <f t="shared" si="40"/>
        <v>176.81257896138806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0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0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3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10</v>
      </c>
      <c r="N38" s="14">
        <f>IF('Données projet'!$A$36&gt;35,N37+M38-V37,IF(A38&lt;'Données projet'!$A$36,$K$205^A38,IF(A38='Données projet'!$A$36,'Données projet'!$B$36,N37+M38-V37)))</f>
        <v>179.99999999999989</v>
      </c>
      <c r="O38" s="14">
        <f>N38*VLOOKUP('Données projet'!$B$9,Paramètres!$A$1:$I$89,3,0)*VLOOKUP('Données projet'!$B$9,Paramètres!$A$1:$I$89,5,0)</f>
        <v>84.239999999999938</v>
      </c>
      <c r="P38" s="14">
        <f t="shared" si="33"/>
        <v>23.170749718409446</v>
      </c>
      <c r="Q38" s="22">
        <f t="shared" si="53"/>
        <v>187.07372242622966</v>
      </c>
      <c r="R38" s="62">
        <f t="shared" si="0"/>
        <v>480.40705575956298</v>
      </c>
      <c r="S38" s="62">
        <f ca="1">AVERAGE(OFFSET($R$3,0,0,'Données projet'!$E$9+1,1))-AVERAGE(OFFSET($H$3,0,0,'Données projet'!$E$9+1,1))</f>
        <v>172.45217697899039</v>
      </c>
      <c r="T38" s="62">
        <f t="shared" si="34"/>
        <v>223.74038909289629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13.919302005995089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2.7425028554743656</v>
      </c>
      <c r="AC38" s="24">
        <f t="shared" si="3"/>
        <v>16.661804861469456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116</v>
      </c>
      <c r="AG38" s="13">
        <f>VLOOKUP(A38,'Données projet'!$A$61:$I$81,9,0)</f>
        <v>8</v>
      </c>
      <c r="AH38" s="13">
        <f t="array" ref="AH38">INDEX(AG:AG,MIN(IF(ISNUMBER(AG38:AG234),ROW(AG38:AG234),"")))</f>
        <v>8</v>
      </c>
      <c r="AI38" s="14">
        <f>IF('Données projet'!$A$62&gt;35,AI37+AH38-AQ37,IF(A38&lt;'Données projet'!$A$62,$AF$205^A38,IF(A38='Données projet'!$A$62,'Données projet'!$B$62,AI37+AH38-AQ37)))</f>
        <v>116</v>
      </c>
      <c r="AJ38" s="14">
        <f>AI38*VLOOKUP('Données projet'!$B$10,Paramètres!$A$1:$I$89,3,0)*VLOOKUP('Données projet'!$B$10,Paramètres!$A$1:$I$89,5,0)</f>
        <v>104.9568</v>
      </c>
      <c r="AK38" s="14">
        <f t="shared" si="35"/>
        <v>28.139541339232373</v>
      </c>
      <c r="AL38" s="22">
        <f t="shared" si="4"/>
        <v>231.8094611658297</v>
      </c>
      <c r="AM38" s="62">
        <f t="shared" si="5"/>
        <v>525.14279449916307</v>
      </c>
      <c r="AN38" s="62">
        <f ca="1">AVERAGE(OFFSET($AM$3,0,0,'Données projet'!$E$10+1,1))-AVERAGE(OFFSET($H$3,0,0,'Données projet'!$E$10+1,1))</f>
        <v>364.3481978218424</v>
      </c>
      <c r="AO38" s="62">
        <f t="shared" si="36"/>
        <v>231.36959598460686</v>
      </c>
      <c r="AP38" s="16">
        <f>IF(ISNA(VLOOKUP(A38,'Données projet'!$A$61:$I$81,3,0)),0,VLOOKUP(A38,'Données projet'!$A$61:$I$81,3,0))</f>
        <v>4</v>
      </c>
      <c r="AQ38" s="16">
        <f>IF(ISNA(VLOOKUP(A38,'Données projet'!$A$61:$I$81,4,0)),0,VLOOKUP(A38,'Données projet'!$A$61:$I$81,4,0))</f>
        <v>21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552.39613607545789</v>
      </c>
      <c r="BI38" s="62">
        <f ca="1">AVERAGE(OFFSET($BH$3,0,0,'Données projet'!$E$11+1,1))-AVERAGE(OFFSET($H$3,0,0,'Données projet'!$E$11+1,1))</f>
        <v>403.50418598112844</v>
      </c>
      <c r="BJ38" s="62">
        <f t="shared" si="38"/>
        <v>254.25036207346591</v>
      </c>
      <c r="BK38" s="16">
        <f>IF(ISNA(VLOOKUP(A38,'Données projet'!$A$87:$I$107,3,0)),0,VLOOKUP(A38,'Données projet'!$A$87:$I$107,3,0))</f>
        <v>4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>
        <f>VLOOKUP(A38,'Données projet'!$A$113:$I$133,2,0)</f>
        <v>97</v>
      </c>
      <c r="BW38" s="13">
        <f>VLOOKUP(A38,'Données projet'!$A$113:$I$133,9,0)</f>
        <v>7.2</v>
      </c>
      <c r="BX38" s="13">
        <f t="array" ref="BX38">INDEX(BW:BW,MIN(IF(ISNUMBER(BW38:BW234),ROW(BW38:BW234),"")))</f>
        <v>7.2</v>
      </c>
      <c r="BY38" s="13">
        <f>IF('Données projet'!$A$114&gt;35,BY37+BX38-CG37,IF(A38&lt;'Données projet'!$A$114,$BV$205^A38,IF(A38='Données projet'!$A$114,'Données projet'!$B$114,BY37+BX38-CG37)))</f>
        <v>97.000000000000014</v>
      </c>
      <c r="BZ38" s="14">
        <f>BY38*VLOOKUP('Données projet'!$B$12,Paramètres!$A$1:$I$89,3,0)*VLOOKUP('Données projet'!$B$12,Paramètres!$A$1:$I$89,5,0)</f>
        <v>83.226000000000028</v>
      </c>
      <c r="CA38" s="14">
        <f t="shared" si="39"/>
        <v>22.924133915866854</v>
      </c>
      <c r="CB38" s="22">
        <f t="shared" si="10"/>
        <v>184.87814990346817</v>
      </c>
      <c r="CC38" s="62">
        <f t="shared" si="11"/>
        <v>478.21148323680148</v>
      </c>
      <c r="CD38" s="62">
        <f ca="1">AVERAGE(OFFSET($CC$3,0,0,'Données projet'!$E$12+1,1))-AVERAGE(OFFSET($H$3,0,0,'Données projet'!$E$12+1,1))</f>
        <v>347.72886258008998</v>
      </c>
      <c r="CE38" s="62">
        <f t="shared" si="40"/>
        <v>176.81257896138806</v>
      </c>
      <c r="CF38" s="16">
        <f>IF(ISNA(VLOOKUP(A38,'Données projet'!$A$113:$I$133,3,0)),0,VLOOKUP(A38,'Données projet'!$A$113:$I$133,3,0))</f>
        <v>3</v>
      </c>
      <c r="CG38" s="16">
        <f>IF(ISNA(VLOOKUP(A38,'Données projet'!$A$113:$I$133,4,0)),0,VLOOKUP(A38,'Données projet'!$A$113:$I$133,4,0))</f>
        <v>21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0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0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3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10</v>
      </c>
      <c r="N39" s="14">
        <f>IF('Données projet'!$A$36&gt;35,N38+M39-V38,IF(A39&lt;'Données projet'!$A$36,$K$205^A39,IF(A39='Données projet'!$A$36,'Données projet'!$B$36,N38+M39-V38)))</f>
        <v>189.99999999999989</v>
      </c>
      <c r="O39" s="14">
        <f>N39*VLOOKUP('Données projet'!$B$9,Paramètres!$A$1:$I$89,3,0)*VLOOKUP('Données projet'!$B$9,Paramètres!$A$1:$I$89,5,0)</f>
        <v>88.919999999999959</v>
      </c>
      <c r="P39" s="14">
        <f t="shared" si="33"/>
        <v>24.30457227046648</v>
      </c>
      <c r="Q39" s="22">
        <f t="shared" si="53"/>
        <v>197.19946337106239</v>
      </c>
      <c r="R39" s="62">
        <f t="shared" si="0"/>
        <v>490.53279670439571</v>
      </c>
      <c r="S39" s="62">
        <f ca="1">AVERAGE(OFFSET($R$3,0,0,'Données projet'!$E$9+1,1))-AVERAGE(OFFSET($H$3,0,0,'Données projet'!$E$9+1,1))</f>
        <v>172.45217697899039</v>
      </c>
      <c r="T39" s="62">
        <f t="shared" si="34"/>
        <v>223.74038909289629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13.646352983593438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1.9392423665293941</v>
      </c>
      <c r="AC39" s="24">
        <f t="shared" si="3"/>
        <v>15.585595350122832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8.4</v>
      </c>
      <c r="AI39" s="14">
        <f>IF('Données projet'!$A$62&gt;35,AI38+AH39-AQ38,IF(A39&lt;'Données projet'!$A$62,$AF$205^A39,IF(A39='Données projet'!$A$62,'Données projet'!$B$62,AI38+AH39-AQ38)))</f>
        <v>103.4</v>
      </c>
      <c r="AJ39" s="14">
        <f>AI39*VLOOKUP('Données projet'!$B$10,Paramètres!$A$1:$I$89,3,0)*VLOOKUP('Données projet'!$B$10,Paramètres!$A$1:$I$89,5,0)</f>
        <v>93.556319999999999</v>
      </c>
      <c r="AK39" s="14">
        <f t="shared" si="35"/>
        <v>25.420979659258073</v>
      </c>
      <c r="AL39" s="22">
        <f t="shared" si="4"/>
        <v>207.21879690654114</v>
      </c>
      <c r="AM39" s="62">
        <f t="shared" si="5"/>
        <v>500.55213023987449</v>
      </c>
      <c r="AN39" s="62">
        <f ca="1">AVERAGE(OFFSET($AM$3,0,0,'Données projet'!$E$10+1,1))-AVERAGE(OFFSET($H$3,0,0,'Données projet'!$E$10+1,1))</f>
        <v>364.3481978218424</v>
      </c>
      <c r="AO39" s="62">
        <f t="shared" si="36"/>
        <v>231.36959598460686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104.84760000000001</v>
      </c>
      <c r="BF39" s="14">
        <f t="shared" si="37"/>
        <v>28.113670466115643</v>
      </c>
      <c r="BG39" s="22">
        <f t="shared" si="7"/>
        <v>231.57421272848475</v>
      </c>
      <c r="BH39" s="62">
        <f t="shared" si="8"/>
        <v>524.90754606181804</v>
      </c>
      <c r="BI39" s="62">
        <f ca="1">AVERAGE(OFFSET($BH$3,0,0,'Données projet'!$E$11+1,1))-AVERAGE(OFFSET($H$3,0,0,'Données projet'!$E$11+1,1))</f>
        <v>403.50418598112844</v>
      </c>
      <c r="BJ39" s="62">
        <f t="shared" si="38"/>
        <v>254.25036207346591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7.8</v>
      </c>
      <c r="BY39" s="13">
        <f>IF('Données projet'!$A$114&gt;35,BY38+BX39-CG38,IF(A39&lt;'Données projet'!$A$114,$BV$205^A39,IF(A39='Données projet'!$A$114,'Données projet'!$B$114,BY38+BX39-CG38)))</f>
        <v>83.800000000000011</v>
      </c>
      <c r="BZ39" s="14">
        <f>BY39*VLOOKUP('Données projet'!$B$12,Paramètres!$A$1:$I$89,3,0)*VLOOKUP('Données projet'!$B$12,Paramètres!$A$1:$I$89,5,0)</f>
        <v>71.900400000000019</v>
      </c>
      <c r="CA39" s="14">
        <f t="shared" si="39"/>
        <v>20.144655615547983</v>
      </c>
      <c r="CB39" s="22">
        <f t="shared" si="10"/>
        <v>160.31180519707939</v>
      </c>
      <c r="CC39" s="62">
        <f t="shared" si="11"/>
        <v>453.64513853041274</v>
      </c>
      <c r="CD39" s="62">
        <f ca="1">AVERAGE(OFFSET($CC$3,0,0,'Données projet'!$E$12+1,1))-AVERAGE(OFFSET($H$3,0,0,'Données projet'!$E$12+1,1))</f>
        <v>347.72886258008998</v>
      </c>
      <c r="CE39" s="62">
        <f t="shared" si="40"/>
        <v>176.81257896138806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0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0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3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>
        <f>VLOOKUP(A40,'Données projet'!$A$35:$I$55,2,0)</f>
        <v>200</v>
      </c>
      <c r="L40" s="13">
        <f>VLOOKUP(A40,'Données projet'!$A$35:$I$55,9,0)</f>
        <v>10</v>
      </c>
      <c r="M40" s="13">
        <f t="array" ref="M40">INDEX(L:L,MIN(IF(ISNUMBER(L40:L236),ROW(L40:L236),"")))</f>
        <v>10</v>
      </c>
      <c r="N40" s="14">
        <f>IF('Données projet'!$A$36&gt;35,N39+M40-V39,IF(A40&lt;'Données projet'!$A$36,$K$205^A40,IF(A40='Données projet'!$A$36,'Données projet'!$B$36,N39+M40-V39)))</f>
        <v>199.99999999999989</v>
      </c>
      <c r="O40" s="14">
        <f>N40*VLOOKUP('Données projet'!$B$9,Paramètres!$A$1:$I$89,3,0)*VLOOKUP('Données projet'!$B$9,Paramètres!$A$1:$I$89,5,0)</f>
        <v>93.599999999999952</v>
      </c>
      <c r="P40" s="14">
        <f t="shared" si="33"/>
        <v>25.431466524572915</v>
      </c>
      <c r="Q40" s="22">
        <f t="shared" si="53"/>
        <v>207.31313753029772</v>
      </c>
      <c r="R40" s="62">
        <f t="shared" si="0"/>
        <v>500.64647086363107</v>
      </c>
      <c r="S40" s="62">
        <f ca="1">AVERAGE(OFFSET($R$3,0,0,'Données projet'!$E$9+1,1))-AVERAGE(OFFSET($H$3,0,0,'Données projet'!$E$9+1,1))</f>
        <v>172.45217697899039</v>
      </c>
      <c r="T40" s="62">
        <f t="shared" si="34"/>
        <v>223.74038909289629</v>
      </c>
      <c r="U40" s="16">
        <f>IF(ISNA(VLOOKUP(A40,'Données projet'!$A$35:$I$55,3,0)),0,VLOOKUP(A40,'Données projet'!$A$35:$I$55,3,0))</f>
        <v>4</v>
      </c>
      <c r="V40" s="16">
        <f>IF(ISNA(VLOOKUP(A40,'Données projet'!$A$35:$I$55,4,0)),0,VLOOKUP(A40,'Données projet'!$A$35:$I$55,4,0))</f>
        <v>50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13.378756325038617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1.371251427737183</v>
      </c>
      <c r="AC40" s="24">
        <f t="shared" si="3"/>
        <v>14.750007752775801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8.4</v>
      </c>
      <c r="AI40" s="14">
        <f>IF('Données projet'!$A$62&gt;35,AI39+AH40-AQ39,IF(A40&lt;'Données projet'!$A$62,$AF$205^A40,IF(A40='Données projet'!$A$62,'Données projet'!$B$62,AI39+AH40-AQ39)))</f>
        <v>111.80000000000001</v>
      </c>
      <c r="AJ40" s="14">
        <f>AI40*VLOOKUP('Données projet'!$B$10,Paramètres!$A$1:$I$89,3,0)*VLOOKUP('Données projet'!$B$10,Paramètres!$A$1:$I$89,5,0)</f>
        <v>101.15664000000001</v>
      </c>
      <c r="AK40" s="14">
        <f t="shared" si="35"/>
        <v>27.237366379381644</v>
      </c>
      <c r="AL40" s="22">
        <f t="shared" si="4"/>
        <v>223.61956111075639</v>
      </c>
      <c r="AM40" s="62">
        <f t="shared" si="5"/>
        <v>516.95289444408968</v>
      </c>
      <c r="AN40" s="62">
        <f ca="1">AVERAGE(OFFSET($AM$3,0,0,'Données projet'!$E$10+1,1))-AVERAGE(OFFSET($H$3,0,0,'Données projet'!$E$10+1,1))</f>
        <v>364.3481978218424</v>
      </c>
      <c r="AO40" s="62">
        <f t="shared" si="36"/>
        <v>231.36959598460686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113.36520000000003</v>
      </c>
      <c r="BF40" s="14">
        <f t="shared" si="37"/>
        <v>30.122456058687614</v>
      </c>
      <c r="BG40" s="22">
        <f t="shared" si="7"/>
        <v>249.9076676355476</v>
      </c>
      <c r="BH40" s="62">
        <f t="shared" si="8"/>
        <v>543.24100096888094</v>
      </c>
      <c r="BI40" s="62">
        <f ca="1">AVERAGE(OFFSET($BH$3,0,0,'Données projet'!$E$11+1,1))-AVERAGE(OFFSET($H$3,0,0,'Données projet'!$E$11+1,1))</f>
        <v>403.50418598112844</v>
      </c>
      <c r="BJ40" s="62">
        <f t="shared" si="38"/>
        <v>254.25036207346591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7.8</v>
      </c>
      <c r="BY40" s="13">
        <f>IF('Données projet'!$A$114&gt;35,BY39+BX40-CG39,IF(A40&lt;'Données projet'!$A$114,$BV$205^A40,IF(A40='Données projet'!$A$114,'Données projet'!$B$114,BY39+BX40-CG39)))</f>
        <v>91.600000000000009</v>
      </c>
      <c r="BZ40" s="14">
        <f>BY40*VLOOKUP('Données projet'!$B$12,Paramètres!$A$1:$I$89,3,0)*VLOOKUP('Données projet'!$B$12,Paramètres!$A$1:$I$89,5,0)</f>
        <v>78.592800000000011</v>
      </c>
      <c r="CA40" s="14">
        <f t="shared" si="39"/>
        <v>21.792761850487381</v>
      </c>
      <c r="CB40" s="22">
        <f t="shared" si="10"/>
        <v>174.83818688959886</v>
      </c>
      <c r="CC40" s="62">
        <f t="shared" si="11"/>
        <v>468.17152022293214</v>
      </c>
      <c r="CD40" s="62">
        <f ca="1">AVERAGE(OFFSET($CC$3,0,0,'Données projet'!$E$12+1,1))-AVERAGE(OFFSET($H$3,0,0,'Données projet'!$E$12+1,1))</f>
        <v>347.72886258008998</v>
      </c>
      <c r="CE40" s="62">
        <f t="shared" si="40"/>
        <v>176.81257896138806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0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0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3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10.857142857142858</v>
      </c>
      <c r="N41" s="14">
        <f>IF('Données projet'!$A$36&gt;35,N40+M41-V40,IF(A41&lt;'Données projet'!$A$36,$K$205^A41,IF(A41='Données projet'!$A$36,'Données projet'!$B$36,N40+M41-V40)))</f>
        <v>160.85714285714275</v>
      </c>
      <c r="O41" s="14">
        <f>N41*VLOOKUP('Données projet'!$B$9,Paramètres!$A$1:$I$89,3,0)*VLOOKUP('Données projet'!$B$9,Paramètres!$A$1:$I$89,5,0)</f>
        <v>75.281142857142797</v>
      </c>
      <c r="P41" s="14">
        <f t="shared" si="33"/>
        <v>20.979348355748712</v>
      </c>
      <c r="Q41" s="22">
        <f t="shared" si="53"/>
        <v>167.6536888624527</v>
      </c>
      <c r="R41" s="62">
        <f t="shared" si="0"/>
        <v>460.98702219578604</v>
      </c>
      <c r="S41" s="62">
        <f ca="1">AVERAGE(OFFSET($R$3,0,0,'Données projet'!$E$9+1,1))-AVERAGE(OFFSET($H$3,0,0,'Données projet'!$E$9+1,1))</f>
        <v>172.45217697899039</v>
      </c>
      <c r="T41" s="62">
        <f t="shared" si="34"/>
        <v>223.74038909289629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13.116407073740213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0.96962118326469726</v>
      </c>
      <c r="AC41" s="24">
        <f t="shared" si="3"/>
        <v>14.08602825700491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8.4</v>
      </c>
      <c r="AI41" s="14">
        <f>IF('Données projet'!$A$62&gt;35,AI40+AH41-AQ40,IF(A41&lt;'Données projet'!$A$62,$AF$205^A41,IF(A41='Données projet'!$A$62,'Données projet'!$B$62,AI40+AH41-AQ40)))</f>
        <v>120.20000000000002</v>
      </c>
      <c r="AJ41" s="14">
        <f>AI41*VLOOKUP('Données projet'!$B$10,Paramètres!$A$1:$I$89,3,0)*VLOOKUP('Données projet'!$B$10,Paramètres!$A$1:$I$89,5,0)</f>
        <v>108.75696000000002</v>
      </c>
      <c r="AK41" s="14">
        <f t="shared" si="35"/>
        <v>29.037921223305609</v>
      </c>
      <c r="AL41" s="22">
        <f t="shared" si="4"/>
        <v>239.99275146392395</v>
      </c>
      <c r="AM41" s="62">
        <f t="shared" si="5"/>
        <v>533.32608479725729</v>
      </c>
      <c r="AN41" s="62">
        <f ca="1">AVERAGE(OFFSET($AM$3,0,0,'Données projet'!$E$10+1,1))-AVERAGE(OFFSET($H$3,0,0,'Données projet'!$E$10+1,1))</f>
        <v>364.3481978218424</v>
      </c>
      <c r="AO41" s="62">
        <f t="shared" si="36"/>
        <v>231.36959598460686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121.88280000000002</v>
      </c>
      <c r="BF41" s="14">
        <f t="shared" si="37"/>
        <v>32.113732800054677</v>
      </c>
      <c r="BG41" s="22">
        <f t="shared" si="7"/>
        <v>268.21062796009522</v>
      </c>
      <c r="BH41" s="62">
        <f t="shared" si="8"/>
        <v>561.54396129342854</v>
      </c>
      <c r="BI41" s="62">
        <f ca="1">AVERAGE(OFFSET($BH$3,0,0,'Données projet'!$E$11+1,1))-AVERAGE(OFFSET($H$3,0,0,'Données projet'!$E$11+1,1))</f>
        <v>403.50418598112844</v>
      </c>
      <c r="BJ41" s="62">
        <f t="shared" si="38"/>
        <v>254.25036207346591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7.8</v>
      </c>
      <c r="BY41" s="13">
        <f>IF('Données projet'!$A$114&gt;35,BY40+BX41-CG40,IF(A41&lt;'Données projet'!$A$114,$BV$205^A41,IF(A41='Données projet'!$A$114,'Données projet'!$B$114,BY40+BX41-CG40)))</f>
        <v>99.4</v>
      </c>
      <c r="BZ41" s="14">
        <f>BY41*VLOOKUP('Données projet'!$B$12,Paramètres!$A$1:$I$89,3,0)*VLOOKUP('Données projet'!$B$12,Paramètres!$A$1:$I$89,5,0)</f>
        <v>85.285200000000017</v>
      </c>
      <c r="CA41" s="14">
        <f t="shared" si="39"/>
        <v>23.424592345455938</v>
      </c>
      <c r="CB41" s="22">
        <f t="shared" si="10"/>
        <v>189.33622166833575</v>
      </c>
      <c r="CC41" s="62">
        <f t="shared" si="11"/>
        <v>482.6695550016691</v>
      </c>
      <c r="CD41" s="62">
        <f ca="1">AVERAGE(OFFSET($CC$3,0,0,'Données projet'!$E$12+1,1))-AVERAGE(OFFSET($H$3,0,0,'Données projet'!$E$12+1,1))</f>
        <v>347.72886258008998</v>
      </c>
      <c r="CE41" s="62">
        <f t="shared" si="40"/>
        <v>176.81257896138806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0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0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3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10.857142857142858</v>
      </c>
      <c r="N42" s="14">
        <f>IF('Données projet'!$A$36&gt;35,N41+M42-V41,IF(A42&lt;'Données projet'!$A$36,$K$205^A42,IF(A42='Données projet'!$A$36,'Données projet'!$B$36,N41+M42-V41)))</f>
        <v>171.71428571428561</v>
      </c>
      <c r="O42" s="14">
        <f>N42*VLOOKUP('Données projet'!$B$9,Paramètres!$A$1:$I$89,3,0)*VLOOKUP('Données projet'!$B$9,Paramètres!$A$1:$I$89,5,0)</f>
        <v>80.362285714285662</v>
      </c>
      <c r="P42" s="14">
        <f t="shared" si="33"/>
        <v>22.225741561876685</v>
      </c>
      <c r="Q42" s="22">
        <f t="shared" si="53"/>
        <v>178.67414750598275</v>
      </c>
      <c r="R42" s="62">
        <f t="shared" si="0"/>
        <v>472.00748083931603</v>
      </c>
      <c r="S42" s="62">
        <f ca="1">AVERAGE(OFFSET($R$3,0,0,'Données projet'!$E$9+1,1))-AVERAGE(OFFSET($H$3,0,0,'Données projet'!$E$9+1,1))</f>
        <v>172.45217697899039</v>
      </c>
      <c r="T42" s="62">
        <f t="shared" si="34"/>
        <v>223.74038909289629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12.859202331242527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0.68562571386859161</v>
      </c>
      <c r="AC42" s="24">
        <f t="shared" si="3"/>
        <v>13.544828045111117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8.4</v>
      </c>
      <c r="AI42" s="14">
        <f>IF('Données projet'!$A$62&gt;35,AI41+AH42-AQ41,IF(A42&lt;'Données projet'!$A$62,$AF$205^A42,IF(A42='Données projet'!$A$62,'Données projet'!$B$62,AI41+AH42-AQ41)))</f>
        <v>128.60000000000002</v>
      </c>
      <c r="AJ42" s="14">
        <f>AI42*VLOOKUP('Données projet'!$B$10,Paramètres!$A$1:$I$89,3,0)*VLOOKUP('Données projet'!$B$10,Paramètres!$A$1:$I$89,5,0)</f>
        <v>116.35728000000002</v>
      </c>
      <c r="AK42" s="14">
        <f t="shared" si="35"/>
        <v>30.823876427820704</v>
      </c>
      <c r="AL42" s="22">
        <f t="shared" si="4"/>
        <v>256.34051411178774</v>
      </c>
      <c r="AM42" s="62">
        <f t="shared" si="5"/>
        <v>549.67384744512105</v>
      </c>
      <c r="AN42" s="62">
        <f ca="1">AVERAGE(OFFSET($AM$3,0,0,'Données projet'!$E$10+1,1))-AVERAGE(OFFSET($H$3,0,0,'Données projet'!$E$10+1,1))</f>
        <v>364.3481978218424</v>
      </c>
      <c r="AO42" s="62">
        <f t="shared" si="36"/>
        <v>231.36959598460686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130.40040000000002</v>
      </c>
      <c r="BF42" s="14">
        <f t="shared" si="37"/>
        <v>34.088863450406919</v>
      </c>
      <c r="BG42" s="22">
        <f t="shared" si="7"/>
        <v>286.48546717612544</v>
      </c>
      <c r="BH42" s="62">
        <f t="shared" si="8"/>
        <v>579.8188005094587</v>
      </c>
      <c r="BI42" s="62">
        <f ca="1">AVERAGE(OFFSET($BH$3,0,0,'Données projet'!$E$11+1,1))-AVERAGE(OFFSET($H$3,0,0,'Données projet'!$E$11+1,1))</f>
        <v>403.50418598112844</v>
      </c>
      <c r="BJ42" s="62">
        <f t="shared" si="38"/>
        <v>254.25036207346591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7.8</v>
      </c>
      <c r="BY42" s="13">
        <f>IF('Données projet'!$A$114&gt;35,BY41+BX42-CG41,IF(A42&lt;'Données projet'!$A$114,$BV$205^A42,IF(A42='Données projet'!$A$114,'Données projet'!$B$114,BY41+BX42-CG41)))</f>
        <v>107.2</v>
      </c>
      <c r="BZ42" s="14">
        <f>BY42*VLOOKUP('Données projet'!$B$12,Paramètres!$A$1:$I$89,3,0)*VLOOKUP('Données projet'!$B$12,Paramètres!$A$1:$I$89,5,0)</f>
        <v>91.97760000000001</v>
      </c>
      <c r="CA42" s="14">
        <f t="shared" si="39"/>
        <v>25.041569477819937</v>
      </c>
      <c r="CB42" s="22">
        <f t="shared" si="10"/>
        <v>203.8083868405364</v>
      </c>
      <c r="CC42" s="62">
        <f t="shared" si="11"/>
        <v>497.14172017386971</v>
      </c>
      <c r="CD42" s="62">
        <f ca="1">AVERAGE(OFFSET($CC$3,0,0,'Données projet'!$E$12+1,1))-AVERAGE(OFFSET($H$3,0,0,'Données projet'!$E$12+1,1))</f>
        <v>347.72886258008998</v>
      </c>
      <c r="CE42" s="62">
        <f t="shared" si="40"/>
        <v>176.81257896138806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0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0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3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10.857142857142858</v>
      </c>
      <c r="N43" s="14">
        <f>IF('Données projet'!$A$36&gt;35,N42+M43-V42,IF(A43&lt;'Données projet'!$A$36,$K$205^A43,IF(A43='Données projet'!$A$36,'Données projet'!$B$36,N42+M43-V42)))</f>
        <v>182.57142857142847</v>
      </c>
      <c r="O43" s="14">
        <f>N43*VLOOKUP('Données projet'!$B$9,Paramètres!$A$1:$I$89,3,0)*VLOOKUP('Données projet'!$B$9,Paramètres!$A$1:$I$89,5,0)</f>
        <v>85.443428571428527</v>
      </c>
      <c r="P43" s="14">
        <f t="shared" si="33"/>
        <v>23.462988887975445</v>
      </c>
      <c r="Q43" s="22">
        <f t="shared" si="53"/>
        <v>189.67867707512858</v>
      </c>
      <c r="R43" s="62">
        <f t="shared" si="0"/>
        <v>483.01201040846189</v>
      </c>
      <c r="S43" s="62">
        <f ca="1">AVERAGE(OFFSET($R$3,0,0,'Données projet'!$E$9+1,1))-AVERAGE(OFFSET($H$3,0,0,'Données projet'!$E$9+1,1))</f>
        <v>172.45217697899039</v>
      </c>
      <c r="T43" s="62">
        <f t="shared" si="34"/>
        <v>223.74038909289629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12.607041216865817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0.48481059163234869</v>
      </c>
      <c r="AC43" s="24">
        <f t="shared" si="3"/>
        <v>13.091851808498165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137</v>
      </c>
      <c r="AG43" s="13">
        <f>VLOOKUP(A43,'Données projet'!$A$61:$I$81,9,0)</f>
        <v>8.4</v>
      </c>
      <c r="AH43" s="13">
        <f t="array" ref="AH43">INDEX(AG:AG,MIN(IF(ISNUMBER(AG43:AG239),ROW(AG43:AG239),"")))</f>
        <v>8.4</v>
      </c>
      <c r="AI43" s="14">
        <f>IF('Données projet'!$A$62&gt;35,AI42+AH43-AQ42,IF(A43&lt;'Données projet'!$A$62,$AF$205^A43,IF(A43='Données projet'!$A$62,'Données projet'!$B$62,AI42+AH43-AQ42)))</f>
        <v>137.00000000000003</v>
      </c>
      <c r="AJ43" s="14">
        <f>AI43*VLOOKUP('Données projet'!$B$10,Paramètres!$A$1:$I$89,3,0)*VLOOKUP('Données projet'!$B$10,Paramètres!$A$1:$I$89,5,0)</f>
        <v>123.95760000000001</v>
      </c>
      <c r="AK43" s="14">
        <f t="shared" si="35"/>
        <v>32.59629414926458</v>
      </c>
      <c r="AL43" s="22">
        <f t="shared" si="4"/>
        <v>272.6646989766358</v>
      </c>
      <c r="AM43" s="62">
        <f t="shared" si="5"/>
        <v>565.99803230996918</v>
      </c>
      <c r="AN43" s="62">
        <f ca="1">AVERAGE(OFFSET($AM$3,0,0,'Données projet'!$E$10+1,1))-AVERAGE(OFFSET($H$3,0,0,'Données projet'!$E$10+1,1))</f>
        <v>364.3481978218424</v>
      </c>
      <c r="AO43" s="62">
        <f t="shared" si="36"/>
        <v>231.36959598460686</v>
      </c>
      <c r="AP43" s="16">
        <f>IF(ISNA(VLOOKUP(A43,'Données projet'!$A$61:$I$81,3,0)),0,VLOOKUP(A43,'Données projet'!$A$61:$I$81,3,0))</f>
        <v>5</v>
      </c>
      <c r="AQ43" s="16">
        <f>IF(ISNA(VLOOKUP(A43,'Données projet'!$A$61:$I$81,4,0)),0,VLOOKUP(A43,'Données projet'!$A$61:$I$81,4,0))</f>
        <v>21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138.91800000000003</v>
      </c>
      <c r="BF43" s="14">
        <f t="shared" si="37"/>
        <v>36.049022673886341</v>
      </c>
      <c r="BG43" s="22">
        <f t="shared" si="7"/>
        <v>304.73423115701877</v>
      </c>
      <c r="BH43" s="62">
        <f t="shared" si="8"/>
        <v>598.06756449035208</v>
      </c>
      <c r="BI43" s="62">
        <f ca="1">AVERAGE(OFFSET($BH$3,0,0,'Données projet'!$E$11+1,1))-AVERAGE(OFFSET($H$3,0,0,'Données projet'!$E$11+1,1))</f>
        <v>403.50418598112844</v>
      </c>
      <c r="BJ43" s="62">
        <f t="shared" si="38"/>
        <v>254.25036207346591</v>
      </c>
      <c r="BK43" s="16">
        <f>IF(ISNA(VLOOKUP(A43,'Données projet'!$A$87:$I$107,3,0)),0,VLOOKUP(A43,'Données projet'!$A$87:$I$107,3,0))</f>
        <v>5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115</v>
      </c>
      <c r="BW43" s="13">
        <f>VLOOKUP(A43,'Données projet'!$A$113:$I$133,9,0)</f>
        <v>7.8</v>
      </c>
      <c r="BX43" s="13">
        <f t="array" ref="BX43">INDEX(BW:BW,MIN(IF(ISNUMBER(BW43:BW239),ROW(BW43:BW239),"")))</f>
        <v>7.8</v>
      </c>
      <c r="BY43" s="13">
        <f>IF('Données projet'!$A$114&gt;35,BY42+BX43-CG42,IF(A43&lt;'Données projet'!$A$114,$BV$205^A43,IF(A43='Données projet'!$A$114,'Données projet'!$B$114,BY42+BX43-CG42)))</f>
        <v>115</v>
      </c>
      <c r="BZ43" s="14">
        <f>BY43*VLOOKUP('Données projet'!$B$12,Paramètres!$A$1:$I$89,3,0)*VLOOKUP('Données projet'!$B$12,Paramètres!$A$1:$I$89,5,0)</f>
        <v>98.670000000000016</v>
      </c>
      <c r="CA43" s="14">
        <f t="shared" si="39"/>
        <v>26.644896901954091</v>
      </c>
      <c r="CB43" s="22">
        <f t="shared" si="10"/>
        <v>218.25677877090342</v>
      </c>
      <c r="CC43" s="62">
        <f t="shared" si="11"/>
        <v>511.59011210423671</v>
      </c>
      <c r="CD43" s="62">
        <f ca="1">AVERAGE(OFFSET($CC$3,0,0,'Données projet'!$E$12+1,1))-AVERAGE(OFFSET($H$3,0,0,'Données projet'!$E$12+1,1))</f>
        <v>347.72886258008998</v>
      </c>
      <c r="CE43" s="62">
        <f t="shared" si="40"/>
        <v>176.81257896138806</v>
      </c>
      <c r="CF43" s="16">
        <f>IF(ISNA(VLOOKUP(A43,'Données projet'!$A$113:$I$133,3,0)),0,VLOOKUP(A43,'Données projet'!$A$113:$I$133,3,0))</f>
        <v>4</v>
      </c>
      <c r="CG43" s="16">
        <f>IF(ISNA(VLOOKUP(A43,'Données projet'!$A$113:$I$133,4,0)),0,VLOOKUP(A43,'Données projet'!$A$113:$I$133,4,0))</f>
        <v>21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0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0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3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10.857142857142858</v>
      </c>
      <c r="N44" s="14">
        <f>IF('Données projet'!$A$36&gt;35,N43+M44-V43,IF(A44&lt;'Données projet'!$A$36,$K$205^A44,IF(A44='Données projet'!$A$36,'Données projet'!$B$36,N43+M44-V43)))</f>
        <v>193.42857142857133</v>
      </c>
      <c r="O44" s="14">
        <f>N44*VLOOKUP('Données projet'!$B$9,Paramètres!$A$1:$I$89,3,0)*VLOOKUP('Données projet'!$B$9,Paramètres!$A$1:$I$89,5,0)</f>
        <v>90.524571428571392</v>
      </c>
      <c r="P44" s="14">
        <f t="shared" si="33"/>
        <v>24.691696167188251</v>
      </c>
      <c r="Q44" s="22">
        <f t="shared" si="53"/>
        <v>200.66833272928136</v>
      </c>
      <c r="R44" s="62">
        <f t="shared" si="0"/>
        <v>494.00166606261467</v>
      </c>
      <c r="S44" s="62">
        <f ca="1">AVERAGE(OFFSET($R$3,0,0,'Données projet'!$E$9+1,1))-AVERAGE(OFFSET($H$3,0,0,'Données projet'!$E$9+1,1))</f>
        <v>172.45217697899039</v>
      </c>
      <c r="T44" s="62">
        <f t="shared" si="34"/>
        <v>223.74038909289629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12.359824828138942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0.34281285693429586</v>
      </c>
      <c r="AC44" s="24">
        <f t="shared" si="3"/>
        <v>12.702637685073238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8.4</v>
      </c>
      <c r="AI44" s="14">
        <f>IF('Données projet'!$A$62&gt;35,AI43+AH44-AQ43,IF(A44&lt;'Données projet'!$A$62,$AF$205^A44,IF(A44='Données projet'!$A$62,'Données projet'!$B$62,AI43+AH44-AQ43)))</f>
        <v>124.40000000000003</v>
      </c>
      <c r="AJ44" s="14">
        <f>AI44*VLOOKUP('Données projet'!$B$10,Paramètres!$A$1:$I$89,3,0)*VLOOKUP('Données projet'!$B$10,Paramètres!$A$1:$I$89,5,0)</f>
        <v>112.55712000000003</v>
      </c>
      <c r="AK44" s="14">
        <f t="shared" si="35"/>
        <v>29.932653834140599</v>
      </c>
      <c r="AL44" s="22">
        <f t="shared" si="4"/>
        <v>248.16968942779496</v>
      </c>
      <c r="AM44" s="62">
        <f t="shared" si="5"/>
        <v>541.50302276112825</v>
      </c>
      <c r="AN44" s="62">
        <f ca="1">AVERAGE(OFFSET($AM$3,0,0,'Données projet'!$E$10+1,1))-AVERAGE(OFFSET($H$3,0,0,'Données projet'!$E$10+1,1))</f>
        <v>364.3481978218424</v>
      </c>
      <c r="AO44" s="62">
        <f t="shared" si="36"/>
        <v>231.36959598460686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2">
        <f t="shared" si="8"/>
        <v>570.68476131278635</v>
      </c>
      <c r="BI44" s="62">
        <f ca="1">AVERAGE(OFFSET($BH$3,0,0,'Données projet'!$E$11+1,1))-AVERAGE(OFFSET($H$3,0,0,'Données projet'!$E$11+1,1))</f>
        <v>403.50418598112844</v>
      </c>
      <c r="BJ44" s="62">
        <f t="shared" si="38"/>
        <v>254.25036207346591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</v>
      </c>
      <c r="BY44" s="13">
        <f>IF('Données projet'!$A$114&gt;35,BY43+BX44-CG43,IF(A44&lt;'Données projet'!$A$114,$BV$205^A44,IF(A44='Données projet'!$A$114,'Données projet'!$B$114,BY43+BX44-CG43)))</f>
        <v>102</v>
      </c>
      <c r="BZ44" s="14">
        <f>BY44*VLOOKUP('Données projet'!$B$12,Paramètres!$A$1:$I$89,3,0)*VLOOKUP('Données projet'!$B$12,Paramètres!$A$1:$I$89,5,0)</f>
        <v>87.516000000000005</v>
      </c>
      <c r="CA44" s="14">
        <f t="shared" si="39"/>
        <v>23.965171662037644</v>
      </c>
      <c r="CB44" s="22">
        <f t="shared" si="10"/>
        <v>194.16304064471558</v>
      </c>
      <c r="CC44" s="62">
        <f t="shared" si="11"/>
        <v>487.49637397804889</v>
      </c>
      <c r="CD44" s="62">
        <f ca="1">AVERAGE(OFFSET($CC$3,0,0,'Données projet'!$E$12+1,1))-AVERAGE(OFFSET($H$3,0,0,'Données projet'!$E$12+1,1))</f>
        <v>347.72886258008998</v>
      </c>
      <c r="CE44" s="62">
        <f t="shared" si="40"/>
        <v>176.81257896138806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0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0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3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10.857142857142858</v>
      </c>
      <c r="N45" s="14">
        <f>IF('Données projet'!$A$36&gt;35,N44+M45-V44,IF(A45&lt;'Données projet'!$A$36,$K$205^A45,IF(A45='Données projet'!$A$36,'Données projet'!$B$36,N44+M45-V44)))</f>
        <v>204.28571428571419</v>
      </c>
      <c r="O45" s="14">
        <f>N45*VLOOKUP('Données projet'!$B$9,Paramètres!$A$1:$I$89,3,0)*VLOOKUP('Données projet'!$B$9,Paramètres!$A$1:$I$89,5,0)</f>
        <v>95.605714285714242</v>
      </c>
      <c r="P45" s="14">
        <f t="shared" si="33"/>
        <v>25.912397380593962</v>
      </c>
      <c r="Q45" s="22">
        <f t="shared" si="53"/>
        <v>211.64404448548677</v>
      </c>
      <c r="R45" s="62">
        <f t="shared" si="0"/>
        <v>504.97737781882006</v>
      </c>
      <c r="S45" s="62">
        <f ca="1">AVERAGE(OFFSET($R$3,0,0,'Données projet'!$E$9+1,1))-AVERAGE(OFFSET($H$3,0,0,'Données projet'!$E$9+1,1))</f>
        <v>172.45217697899039</v>
      </c>
      <c r="T45" s="62">
        <f t="shared" si="34"/>
        <v>223.74038909289629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12.117456202007894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0.24240529581617437</v>
      </c>
      <c r="AC45" s="24">
        <f t="shared" si="3"/>
        <v>12.359861497824069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8.4</v>
      </c>
      <c r="AI45" s="14">
        <f>IF('Données projet'!$A$62&gt;35,AI44+AH45-AQ44,IF(A45&lt;'Données projet'!$A$62,$AF$205^A45,IF(A45='Données projet'!$A$62,'Données projet'!$B$62,AI44+AH45-AQ44)))</f>
        <v>132.80000000000004</v>
      </c>
      <c r="AJ45" s="14">
        <f>AI45*VLOOKUP('Données projet'!$B$10,Paramètres!$A$1:$I$89,3,0)*VLOOKUP('Données projet'!$B$10,Paramètres!$A$1:$I$89,5,0)</f>
        <v>120.15744000000002</v>
      </c>
      <c r="AK45" s="14">
        <f t="shared" si="35"/>
        <v>31.711716786129845</v>
      </c>
      <c r="AL45" s="22">
        <f t="shared" si="4"/>
        <v>264.50544806917623</v>
      </c>
      <c r="AM45" s="62">
        <f t="shared" si="5"/>
        <v>557.83878140250954</v>
      </c>
      <c r="AN45" s="62">
        <f ca="1">AVERAGE(OFFSET($AM$3,0,0,'Données projet'!$E$10+1,1))-AVERAGE(OFFSET($H$3,0,0,'Données projet'!$E$10+1,1))</f>
        <v>364.3481978218424</v>
      </c>
      <c r="AO45" s="62">
        <f t="shared" si="36"/>
        <v>231.36959598460686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2">
        <f t="shared" si="8"/>
        <v>588.94632501044362</v>
      </c>
      <c r="BI45" s="62">
        <f ca="1">AVERAGE(OFFSET($BH$3,0,0,'Données projet'!$E$11+1,1))-AVERAGE(OFFSET($H$3,0,0,'Données projet'!$E$11+1,1))</f>
        <v>403.50418598112844</v>
      </c>
      <c r="BJ45" s="62">
        <f t="shared" si="38"/>
        <v>254.25036207346591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</v>
      </c>
      <c r="BY45" s="13">
        <f>IF('Données projet'!$A$114&gt;35,BY44+BX45-CG44,IF(A45&lt;'Données projet'!$A$114,$BV$205^A45,IF(A45='Données projet'!$A$114,'Données projet'!$B$114,BY44+BX45-CG44)))</f>
        <v>110</v>
      </c>
      <c r="BZ45" s="14">
        <f>BY45*VLOOKUP('Données projet'!$B$12,Paramètres!$A$1:$I$89,3,0)*VLOOKUP('Données projet'!$B$12,Paramètres!$A$1:$I$89,5,0)</f>
        <v>94.38000000000001</v>
      </c>
      <c r="CA45" s="14">
        <f t="shared" si="39"/>
        <v>25.618636348883211</v>
      </c>
      <c r="CB45" s="22">
        <f t="shared" si="10"/>
        <v>208.99762497430493</v>
      </c>
      <c r="CC45" s="62">
        <f t="shared" si="11"/>
        <v>502.33095830763824</v>
      </c>
      <c r="CD45" s="62">
        <f ca="1">AVERAGE(OFFSET($CC$3,0,0,'Données projet'!$E$12+1,1))-AVERAGE(OFFSET($H$3,0,0,'Données projet'!$E$12+1,1))</f>
        <v>347.72886258008998</v>
      </c>
      <c r="CE45" s="62">
        <f t="shared" si="40"/>
        <v>176.81257896138806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0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0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3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10.857142857142858</v>
      </c>
      <c r="N46" s="14">
        <f>IF('Données projet'!$A$36&gt;35,N45+M46-V45,IF(A46&lt;'Données projet'!$A$36,$K$205^A46,IF(A46='Données projet'!$A$36,'Données projet'!$B$36,N45+M46-V45)))</f>
        <v>215.14285714285705</v>
      </c>
      <c r="O46" s="14">
        <f>N46*VLOOKUP('Données projet'!$B$9,Paramètres!$A$1:$I$89,3,0)*VLOOKUP('Données projet'!$B$9,Paramètres!$A$1:$I$89,5,0)</f>
        <v>100.68685714285711</v>
      </c>
      <c r="P46" s="14">
        <f t="shared" si="33"/>
        <v>27.125566544771527</v>
      </c>
      <c r="Q46" s="22">
        <f t="shared" si="53"/>
        <v>222.60663792261985</v>
      </c>
      <c r="R46" s="62">
        <f t="shared" si="0"/>
        <v>515.9399712559532</v>
      </c>
      <c r="S46" s="62">
        <f ca="1">AVERAGE(OFFSET($R$3,0,0,'Données projet'!$E$9+1,1))-AVERAGE(OFFSET($H$3,0,0,'Données projet'!$E$9+1,1))</f>
        <v>172.45217697899039</v>
      </c>
      <c r="T46" s="62">
        <f t="shared" si="34"/>
        <v>223.74038909289629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11.879840276805009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0.17140642846714796</v>
      </c>
      <c r="AC46" s="24">
        <f t="shared" si="3"/>
        <v>12.051246705272156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8.4</v>
      </c>
      <c r="AI46" s="14">
        <f>IF('Données projet'!$A$62&gt;35,AI45+AH46-AQ45,IF(A46&lt;'Données projet'!$A$62,$AF$205^A46,IF(A46='Données projet'!$A$62,'Données projet'!$B$62,AI45+AH46-AQ45)))</f>
        <v>141.20000000000005</v>
      </c>
      <c r="AJ46" s="14">
        <f>AI46*VLOOKUP('Données projet'!$B$10,Paramètres!$A$1:$I$89,3,0)*VLOOKUP('Données projet'!$B$10,Paramètres!$A$1:$I$89,5,0)</f>
        <v>127.75776000000003</v>
      </c>
      <c r="AK46" s="14">
        <f t="shared" si="35"/>
        <v>33.477720030956604</v>
      </c>
      <c r="AL46" s="22">
        <f t="shared" si="4"/>
        <v>280.81846105391611</v>
      </c>
      <c r="AM46" s="62">
        <f t="shared" si="5"/>
        <v>574.15179438724942</v>
      </c>
      <c r="AN46" s="62">
        <f ca="1">AVERAGE(OFFSET($AM$3,0,0,'Données projet'!$E$10+1,1))-AVERAGE(OFFSET($H$3,0,0,'Données projet'!$E$10+1,1))</f>
        <v>364.3481978218424</v>
      </c>
      <c r="AO46" s="62">
        <f t="shared" si="36"/>
        <v>231.36959598460686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607.18273374145838</v>
      </c>
      <c r="BI46" s="62">
        <f ca="1">AVERAGE(OFFSET($BH$3,0,0,'Données projet'!$E$11+1,1))-AVERAGE(OFFSET($H$3,0,0,'Données projet'!$E$11+1,1))</f>
        <v>403.50418598112844</v>
      </c>
      <c r="BJ46" s="62">
        <f t="shared" si="38"/>
        <v>254.25036207346591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</v>
      </c>
      <c r="BY46" s="13">
        <f>IF('Données projet'!$A$114&gt;35,BY45+BX46-CG45,IF(A46&lt;'Données projet'!$A$114,$BV$205^A46,IF(A46='Données projet'!$A$114,'Données projet'!$B$114,BY45+BX46-CG45)))</f>
        <v>118</v>
      </c>
      <c r="BZ46" s="14">
        <f>BY46*VLOOKUP('Données projet'!$B$12,Paramètres!$A$1:$I$89,3,0)*VLOOKUP('Données projet'!$B$12,Paramètres!$A$1:$I$89,5,0)</f>
        <v>101.24400000000001</v>
      </c>
      <c r="CA46" s="14">
        <f t="shared" si="39"/>
        <v>27.258149809602468</v>
      </c>
      <c r="CB46" s="22">
        <f t="shared" si="10"/>
        <v>223.807910918391</v>
      </c>
      <c r="CC46" s="62">
        <f t="shared" si="11"/>
        <v>517.14124425172429</v>
      </c>
      <c r="CD46" s="62">
        <f ca="1">AVERAGE(OFFSET($CC$3,0,0,'Données projet'!$E$12+1,1))-AVERAGE(OFFSET($H$3,0,0,'Données projet'!$E$12+1,1))</f>
        <v>347.72886258008998</v>
      </c>
      <c r="CE46" s="62">
        <f t="shared" si="40"/>
        <v>176.81257896138806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0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0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3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>
        <f>VLOOKUP(A47,'Données projet'!$A$35:$I$55,2,0)</f>
        <v>226</v>
      </c>
      <c r="L47" s="13">
        <f>VLOOKUP(A47,'Données projet'!$A$35:$I$55,9,0)</f>
        <v>10.857142857142858</v>
      </c>
      <c r="M47" s="13">
        <f t="array" ref="M47">INDEX(L:L,MIN(IF(ISNUMBER(L47:L243),ROW(L47:L243),"")))</f>
        <v>10.857142857142858</v>
      </c>
      <c r="N47" s="14">
        <f>IF('Données projet'!$A$36&gt;35,N46+M47-V46,IF(A47&lt;'Données projet'!$A$36,$K$205^A47,IF(A47='Données projet'!$A$36,'Données projet'!$B$36,N46+M47-V46)))</f>
        <v>225.99999999999991</v>
      </c>
      <c r="O47" s="14">
        <f>N47*VLOOKUP('Données projet'!$B$9,Paramètres!$A$1:$I$89,3,0)*VLOOKUP('Données projet'!$B$9,Paramètres!$A$1:$I$89,5,0)</f>
        <v>105.76799999999997</v>
      </c>
      <c r="P47" s="14">
        <f t="shared" si="33"/>
        <v>28.33162713151323</v>
      </c>
      <c r="Q47" s="22">
        <f t="shared" si="53"/>
        <v>233.5568505873855</v>
      </c>
      <c r="R47" s="62">
        <f t="shared" si="0"/>
        <v>526.89018392071875</v>
      </c>
      <c r="S47" s="62">
        <f ca="1">AVERAGE(OFFSET($R$3,0,0,'Données projet'!$E$9+1,1))-AVERAGE(OFFSET($H$3,0,0,'Données projet'!$E$9+1,1))</f>
        <v>172.45217697899039</v>
      </c>
      <c r="T47" s="62">
        <f t="shared" si="34"/>
        <v>223.74038909289629</v>
      </c>
      <c r="U47" s="16">
        <f>IF(ISNA(VLOOKUP(A47,'Données projet'!$A$35:$I$55,3,0)),0,VLOOKUP(A47,'Données projet'!$A$35:$I$55,3,0))</f>
        <v>5</v>
      </c>
      <c r="V47" s="16">
        <f>IF(ISNA(VLOOKUP(A47,'Données projet'!$A$35:$I$55,4,0)),0,VLOOKUP(A47,'Données projet'!$A$35:$I$55,4,0))</f>
        <v>60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11.646883854963949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0.12120264790808721</v>
      </c>
      <c r="AC47" s="24">
        <f t="shared" si="3"/>
        <v>11.768086502872036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8.4</v>
      </c>
      <c r="AI47" s="14">
        <f>IF('Données projet'!$A$62&gt;35,AI46+AH47-AQ46,IF(A47&lt;'Données projet'!$A$62,$AF$205^A47,IF(A47='Données projet'!$A$62,'Données projet'!$B$62,AI46+AH47-AQ46)))</f>
        <v>149.60000000000005</v>
      </c>
      <c r="AJ47" s="14">
        <f>AI47*VLOOKUP('Données projet'!$B$10,Paramètres!$A$1:$I$89,3,0)*VLOOKUP('Données projet'!$B$10,Paramètres!$A$1:$I$89,5,0)</f>
        <v>135.35808000000006</v>
      </c>
      <c r="AK47" s="14">
        <f t="shared" si="35"/>
        <v>35.231528980112834</v>
      </c>
      <c r="AL47" s="22">
        <f t="shared" si="4"/>
        <v>297.11023564036327</v>
      </c>
      <c r="AM47" s="62">
        <f t="shared" si="5"/>
        <v>590.44356897369653</v>
      </c>
      <c r="AN47" s="62">
        <f ca="1">AVERAGE(OFFSET($AM$3,0,0,'Données projet'!$E$10+1,1))-AVERAGE(OFFSET($H$3,0,0,'Données projet'!$E$10+1,1))</f>
        <v>364.3481978218424</v>
      </c>
      <c r="AO47" s="62">
        <f t="shared" si="36"/>
        <v>231.36959598460686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2">
        <f t="shared" si="8"/>
        <v>625.39565441895047</v>
      </c>
      <c r="BI47" s="62">
        <f ca="1">AVERAGE(OFFSET($BH$3,0,0,'Données projet'!$E$11+1,1))-AVERAGE(OFFSET($H$3,0,0,'Données projet'!$E$11+1,1))</f>
        <v>403.50418598112844</v>
      </c>
      <c r="BJ47" s="62">
        <f t="shared" si="38"/>
        <v>254.25036207346591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</v>
      </c>
      <c r="BY47" s="13">
        <f>IF('Données projet'!$A$114&gt;35,BY46+BX47-CG46,IF(A47&lt;'Données projet'!$A$114,$BV$205^A47,IF(A47='Données projet'!$A$114,'Données projet'!$B$114,BY46+BX47-CG46)))</f>
        <v>126</v>
      </c>
      <c r="BZ47" s="14">
        <f>BY47*VLOOKUP('Données projet'!$B$12,Paramètres!$A$1:$I$89,3,0)*VLOOKUP('Données projet'!$B$12,Paramètres!$A$1:$I$89,5,0)</f>
        <v>108.10800000000002</v>
      </c>
      <c r="CA47" s="14">
        <f t="shared" si="39"/>
        <v>28.884765499467161</v>
      </c>
      <c r="CB47" s="22">
        <f t="shared" si="10"/>
        <v>238.59573324490532</v>
      </c>
      <c r="CC47" s="62">
        <f t="shared" si="11"/>
        <v>531.92906657823869</v>
      </c>
      <c r="CD47" s="62">
        <f ca="1">AVERAGE(OFFSET($CC$3,0,0,'Données projet'!$E$12+1,1))-AVERAGE(OFFSET($H$3,0,0,'Données projet'!$E$12+1,1))</f>
        <v>347.72886258008998</v>
      </c>
      <c r="CE47" s="62">
        <f t="shared" si="40"/>
        <v>176.81257896138806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0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0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3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11.857142857142858</v>
      </c>
      <c r="N48" s="14">
        <f>IF('Données projet'!$A$36&gt;35,N47+M48-V47,IF(A48&lt;'Données projet'!$A$36,$K$205^A48,IF(A48='Données projet'!$A$36,'Données projet'!$B$36,N47+M48-V47)))</f>
        <v>177.85714285714278</v>
      </c>
      <c r="O48" s="14">
        <f>N48*VLOOKUP('Données projet'!$B$9,Paramètres!$A$1:$I$89,3,0)*VLOOKUP('Données projet'!$B$9,Paramètres!$A$1:$I$89,5,0)</f>
        <v>83.237142857142814</v>
      </c>
      <c r="P48" s="14">
        <f t="shared" si="33"/>
        <v>22.926845872875649</v>
      </c>
      <c r="Q48" s="22">
        <f t="shared" si="53"/>
        <v>184.9022803714488</v>
      </c>
      <c r="R48" s="62">
        <f t="shared" si="0"/>
        <v>478.23561370478211</v>
      </c>
      <c r="S48" s="62">
        <f ca="1">AVERAGE(OFFSET($R$3,0,0,'Données projet'!$E$9+1,1))-AVERAGE(OFFSET($H$3,0,0,'Données projet'!$E$9+1,1))</f>
        <v>172.45217697899039</v>
      </c>
      <c r="T48" s="62">
        <f t="shared" si="34"/>
        <v>223.74038909289629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11.418495566465806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8.5703214233573993E-2</v>
      </c>
      <c r="AC48" s="24">
        <f t="shared" si="3"/>
        <v>11.50419878069938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158</v>
      </c>
      <c r="AG48" s="13">
        <f>VLOOKUP(A48,'Données projet'!$A$61:$I$81,9,0)</f>
        <v>8.4</v>
      </c>
      <c r="AH48" s="13">
        <f t="array" ref="AH48">INDEX(AG:AG,MIN(IF(ISNUMBER(AG48:AG244),ROW(AG48:AG244),"")))</f>
        <v>8.4</v>
      </c>
      <c r="AI48" s="14">
        <f>IF('Données projet'!$A$62&gt;35,AI47+AH48-AQ47,IF(A48&lt;'Données projet'!$A$62,$AF$205^A48,IF(A48='Données projet'!$A$62,'Données projet'!$B$62,AI47+AH48-AQ47)))</f>
        <v>158.00000000000006</v>
      </c>
      <c r="AJ48" s="14">
        <f>AI48*VLOOKUP('Données projet'!$B$10,Paramètres!$A$1:$I$89,3,0)*VLOOKUP('Données projet'!$B$10,Paramètres!$A$1:$I$89,5,0)</f>
        <v>142.95840000000004</v>
      </c>
      <c r="AK48" s="14">
        <f t="shared" si="35"/>
        <v>36.973906370811264</v>
      </c>
      <c r="AL48" s="22">
        <f t="shared" si="4"/>
        <v>313.38210026249641</v>
      </c>
      <c r="AM48" s="62">
        <f t="shared" si="5"/>
        <v>606.71543359582972</v>
      </c>
      <c r="AN48" s="62">
        <f ca="1">AVERAGE(OFFSET($AM$3,0,0,'Données projet'!$E$10+1,1))-AVERAGE(OFFSET($H$3,0,0,'Données projet'!$E$10+1,1))</f>
        <v>364.3481978218424</v>
      </c>
      <c r="AO48" s="62">
        <f t="shared" si="36"/>
        <v>231.36959598460686</v>
      </c>
      <c r="AP48" s="16">
        <f>IF(ISNA(VLOOKUP(A48,'Données projet'!$A$61:$I$81,3,0)),0,VLOOKUP(A48,'Données projet'!$A$61:$I$81,3,0))</f>
        <v>6</v>
      </c>
      <c r="AQ48" s="16">
        <f>IF(ISNA(VLOOKUP(A48,'Données projet'!$A$61:$I$81,4,0)),0,VLOOKUP(A48,'Données projet'!$A$61:$I$81,4,0))</f>
        <v>21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2">
        <f t="shared" si="8"/>
        <v>643.58655618988519</v>
      </c>
      <c r="BI48" s="62">
        <f ca="1">AVERAGE(OFFSET($BH$3,0,0,'Données projet'!$E$11+1,1))-AVERAGE(OFFSET($H$3,0,0,'Données projet'!$E$11+1,1))</f>
        <v>403.50418598112844</v>
      </c>
      <c r="BJ48" s="62">
        <f t="shared" si="38"/>
        <v>254.25036207346591</v>
      </c>
      <c r="BK48" s="16">
        <f>IF(ISNA(VLOOKUP(A48,'Données projet'!$A$87:$I$107,3,0)),0,VLOOKUP(A48,'Données projet'!$A$87:$I$107,3,0))</f>
        <v>6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0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0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>
        <f>VLOOKUP(A48,'Données projet'!$A$113:$I$133,2,0)</f>
        <v>134</v>
      </c>
      <c r="BW48" s="13">
        <f>VLOOKUP(A48,'Données projet'!$A$113:$I$133,9,0)</f>
        <v>8</v>
      </c>
      <c r="BX48" s="13">
        <f t="array" ref="BX48">INDEX(BW:BW,MIN(IF(ISNUMBER(BW48:BW244),ROW(BW48:BW244),"")))</f>
        <v>8</v>
      </c>
      <c r="BY48" s="13">
        <f>IF('Données projet'!$A$114&gt;35,BY47+BX48-CG47,IF(A48&lt;'Données projet'!$A$114,$BV$205^A48,IF(A48='Données projet'!$A$114,'Données projet'!$B$114,BY47+BX48-CG47)))</f>
        <v>134</v>
      </c>
      <c r="BZ48" s="14">
        <f>BY48*VLOOKUP('Données projet'!$B$12,Paramètres!$A$1:$I$89,3,0)*VLOOKUP('Données projet'!$B$12,Paramètres!$A$1:$I$89,5,0)</f>
        <v>114.97200000000001</v>
      </c>
      <c r="CA48" s="14">
        <f t="shared" si="39"/>
        <v>30.499395539367107</v>
      </c>
      <c r="CB48" s="22">
        <f t="shared" si="10"/>
        <v>253.36268056439769</v>
      </c>
      <c r="CC48" s="62">
        <f t="shared" si="11"/>
        <v>546.69601389773106</v>
      </c>
      <c r="CD48" s="62">
        <f ca="1">AVERAGE(OFFSET($CC$3,0,0,'Données projet'!$E$12+1,1))-AVERAGE(OFFSET($H$3,0,0,'Données projet'!$E$12+1,1))</f>
        <v>347.72886258008998</v>
      </c>
      <c r="CE48" s="62">
        <f t="shared" si="40"/>
        <v>176.81257896138806</v>
      </c>
      <c r="CF48" s="16">
        <f>IF(ISNA(VLOOKUP(A48,'Données projet'!$A$113:$I$133,3,0)),0,VLOOKUP(A48,'Données projet'!$A$113:$I$133,3,0))</f>
        <v>5</v>
      </c>
      <c r="CG48" s="16">
        <f>IF(ISNA(VLOOKUP(A48,'Données projet'!$A$113:$I$133,4,0)),0,VLOOKUP(A48,'Données projet'!$A$113:$I$133,4,0))</f>
        <v>21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0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0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3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11.857142857142858</v>
      </c>
      <c r="N49" s="14">
        <f>IF('Données projet'!$A$36&gt;35,N48+M49-V48,IF(A49&lt;'Données projet'!$A$36,$K$205^A49,IF(A49='Données projet'!$A$36,'Données projet'!$B$36,N48+M49-V48)))</f>
        <v>189.71428571428564</v>
      </c>
      <c r="O49" s="14">
        <f>N49*VLOOKUP('Données projet'!$B$9,Paramètres!$A$1:$I$89,3,0)*VLOOKUP('Données projet'!$B$9,Paramètres!$A$1:$I$89,5,0)</f>
        <v>88.786285714285683</v>
      </c>
      <c r="P49" s="14">
        <f t="shared" si="33"/>
        <v>24.27227542742515</v>
      </c>
      <c r="Q49" s="22">
        <f t="shared" si="53"/>
        <v>196.91032732181304</v>
      </c>
      <c r="R49" s="62">
        <f t="shared" si="0"/>
        <v>490.24366065514636</v>
      </c>
      <c r="S49" s="62">
        <f ca="1">AVERAGE(OFFSET($R$3,0,0,'Données projet'!$E$9+1,1))-AVERAGE(OFFSET($H$3,0,0,'Données projet'!$E$9+1,1))</f>
        <v>172.45217697899039</v>
      </c>
      <c r="T49" s="62">
        <f t="shared" si="34"/>
        <v>223.74038909289629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11.19458583300201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6.0601323954043614E-2</v>
      </c>
      <c r="AC49" s="24">
        <f t="shared" si="3"/>
        <v>11.255187156956055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8.1999999999999993</v>
      </c>
      <c r="AI49" s="14">
        <f>IF('Données projet'!$A$62&gt;35,AI48+AH49-AQ48,IF(A49&lt;'Données projet'!$A$62,$AF$205^A49,IF(A49='Données projet'!$A$62,'Données projet'!$B$62,AI48+AH49-AQ48)))</f>
        <v>145.20000000000005</v>
      </c>
      <c r="AJ49" s="14">
        <f>AI49*VLOOKUP('Données projet'!$B$10,Paramètres!$A$1:$I$89,3,0)*VLOOKUP('Données projet'!$B$10,Paramètres!$A$1:$I$89,5,0)</f>
        <v>131.37696000000003</v>
      </c>
      <c r="AK49" s="14">
        <f t="shared" si="35"/>
        <v>34.314338988223334</v>
      </c>
      <c r="AL49" s="22">
        <f t="shared" si="4"/>
        <v>288.57901240448905</v>
      </c>
      <c r="AM49" s="62">
        <f t="shared" si="5"/>
        <v>581.91234573782231</v>
      </c>
      <c r="AN49" s="62">
        <f ca="1">AVERAGE(OFFSET($AM$3,0,0,'Données projet'!$E$10+1,1))-AVERAGE(OFFSET($H$3,0,0,'Données projet'!$E$10+1,1))</f>
        <v>364.3481978218424</v>
      </c>
      <c r="AO49" s="62">
        <f t="shared" si="36"/>
        <v>231.36959598460686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147.23280000000005</v>
      </c>
      <c r="BF49" s="14">
        <f t="shared" si="37"/>
        <v>37.949049623906205</v>
      </c>
      <c r="BG49" s="22">
        <f t="shared" si="7"/>
        <v>322.52505476163668</v>
      </c>
      <c r="BH49" s="62">
        <f t="shared" si="8"/>
        <v>615.85838809497</v>
      </c>
      <c r="BI49" s="62">
        <f ca="1">AVERAGE(OFFSET($BH$3,0,0,'Données projet'!$E$11+1,1))-AVERAGE(OFFSET($H$3,0,0,'Données projet'!$E$11+1,1))</f>
        <v>403.50418598112844</v>
      </c>
      <c r="BJ49" s="62">
        <f t="shared" si="38"/>
        <v>254.25036207346591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0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0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8.1999999999999993</v>
      </c>
      <c r="BY49" s="13">
        <f>IF('Données projet'!$A$114&gt;35,BY48+BX49-CG48,IF(A49&lt;'Données projet'!$A$114,$BV$205^A49,IF(A49='Données projet'!$A$114,'Données projet'!$B$114,BY48+BX49-CG48)))</f>
        <v>121.19999999999999</v>
      </c>
      <c r="BZ49" s="14">
        <f>BY49*VLOOKUP('Données projet'!$B$12,Paramètres!$A$1:$I$89,3,0)*VLOOKUP('Données projet'!$B$12,Paramètres!$A$1:$I$89,5,0)</f>
        <v>103.9896</v>
      </c>
      <c r="CA49" s="14">
        <f t="shared" si="39"/>
        <v>27.91028988913331</v>
      </c>
      <c r="CB49" s="22">
        <f t="shared" si="10"/>
        <v>229.72564155690716</v>
      </c>
      <c r="CC49" s="62">
        <f t="shared" si="11"/>
        <v>523.05897489024051</v>
      </c>
      <c r="CD49" s="62">
        <f ca="1">AVERAGE(OFFSET($CC$3,0,0,'Données projet'!$E$12+1,1))-AVERAGE(OFFSET($H$3,0,0,'Données projet'!$E$12+1,1))</f>
        <v>347.72886258008998</v>
      </c>
      <c r="CE49" s="62">
        <f t="shared" si="40"/>
        <v>176.81257896138806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0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0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3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11.857142857142858</v>
      </c>
      <c r="N50" s="14">
        <f>IF('Données projet'!$A$36&gt;35,N49+M50-V49,IF(A50&lt;'Données projet'!$A$36,$K$205^A50,IF(A50='Données projet'!$A$36,'Données projet'!$B$36,N49+M50-V49)))</f>
        <v>201.5714285714285</v>
      </c>
      <c r="O50" s="14">
        <f>N50*VLOOKUP('Données projet'!$B$9,Paramètres!$A$1:$I$89,3,0)*VLOOKUP('Données projet'!$B$9,Paramètres!$A$1:$I$89,5,0)</f>
        <v>94.335428571428523</v>
      </c>
      <c r="P50" s="14">
        <f t="shared" si="33"/>
        <v>25.607945794285612</v>
      </c>
      <c r="Q50" s="22">
        <f t="shared" si="53"/>
        <v>208.90137702028542</v>
      </c>
      <c r="R50" s="62">
        <f t="shared" si="0"/>
        <v>502.23471035361877</v>
      </c>
      <c r="S50" s="62">
        <f ca="1">AVERAGE(OFFSET($R$3,0,0,'Données projet'!$E$9+1,1))-AVERAGE(OFFSET($H$3,0,0,'Données projet'!$E$9+1,1))</f>
        <v>172.45217697899039</v>
      </c>
      <c r="T50" s="62">
        <f t="shared" si="34"/>
        <v>223.74038909289629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10.975066832839987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4.2851607116787004E-2</v>
      </c>
      <c r="AC50" s="24">
        <f t="shared" si="3"/>
        <v>11.017918439956775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8.1999999999999993</v>
      </c>
      <c r="AI50" s="14">
        <f>IF('Données projet'!$A$62&gt;35,AI49+AH50-AQ49,IF(A50&lt;'Données projet'!$A$62,$AF$205^A50,IF(A50='Données projet'!$A$62,'Données projet'!$B$62,AI49+AH50-AQ49)))</f>
        <v>153.40000000000003</v>
      </c>
      <c r="AJ50" s="14">
        <f>AI50*VLOOKUP('Données projet'!$B$10,Paramètres!$A$1:$I$89,3,0)*VLOOKUP('Données projet'!$B$10,Paramètres!$A$1:$I$89,5,0)</f>
        <v>138.79632000000001</v>
      </c>
      <c r="AK50" s="14">
        <f t="shared" si="35"/>
        <v>36.021120886354588</v>
      </c>
      <c r="AL50" s="22">
        <f t="shared" si="4"/>
        <v>304.47370954373423</v>
      </c>
      <c r="AM50" s="62">
        <f t="shared" si="5"/>
        <v>597.80704287706749</v>
      </c>
      <c r="AN50" s="62">
        <f ca="1">AVERAGE(OFFSET($AM$3,0,0,'Données projet'!$E$10+1,1))-AVERAGE(OFFSET($H$3,0,0,'Données projet'!$E$10+1,1))</f>
        <v>364.3481978218424</v>
      </c>
      <c r="AO50" s="62">
        <f t="shared" si="36"/>
        <v>231.36959598460686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155.54760000000005</v>
      </c>
      <c r="BF50" s="14">
        <f t="shared" si="37"/>
        <v>39.836620617816237</v>
      </c>
      <c r="BG50" s="22">
        <f t="shared" si="7"/>
        <v>340.29418424269664</v>
      </c>
      <c r="BH50" s="62">
        <f t="shared" si="8"/>
        <v>633.62751757602996</v>
      </c>
      <c r="BI50" s="62">
        <f ca="1">AVERAGE(OFFSET($BH$3,0,0,'Données projet'!$E$11+1,1))-AVERAGE(OFFSET($H$3,0,0,'Données projet'!$E$11+1,1))</f>
        <v>403.50418598112844</v>
      </c>
      <c r="BJ50" s="62">
        <f t="shared" si="38"/>
        <v>254.25036207346591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0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0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8.1999999999999993</v>
      </c>
      <c r="BY50" s="13">
        <f>IF('Données projet'!$A$114&gt;35,BY49+BX50-CG49,IF(A50&lt;'Données projet'!$A$114,$BV$205^A50,IF(A50='Données projet'!$A$114,'Données projet'!$B$114,BY49+BX50-CG49)))</f>
        <v>129.39999999999998</v>
      </c>
      <c r="BZ50" s="14">
        <f>BY50*VLOOKUP('Données projet'!$B$12,Paramètres!$A$1:$I$89,3,0)*VLOOKUP('Données projet'!$B$12,Paramètres!$A$1:$I$89,5,0)</f>
        <v>111.02519999999998</v>
      </c>
      <c r="CA50" s="14">
        <f t="shared" si="39"/>
        <v>29.572399121141618</v>
      </c>
      <c r="CB50" s="22">
        <f t="shared" si="10"/>
        <v>244.87415180265498</v>
      </c>
      <c r="CC50" s="62">
        <f t="shared" si="11"/>
        <v>538.20748513598824</v>
      </c>
      <c r="CD50" s="62">
        <f ca="1">AVERAGE(OFFSET($CC$3,0,0,'Données projet'!$E$12+1,1))-AVERAGE(OFFSET($H$3,0,0,'Données projet'!$E$12+1,1))</f>
        <v>347.72886258008998</v>
      </c>
      <c r="CE50" s="62">
        <f t="shared" si="40"/>
        <v>176.81257896138806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0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0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3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11.857142857142858</v>
      </c>
      <c r="N51" s="14">
        <f>IF('Données projet'!$A$36&gt;35,N50+M51-V50,IF(A51&lt;'Données projet'!$A$36,$K$205^A51,IF(A51='Données projet'!$A$36,'Données projet'!$B$36,N50+M51-V50)))</f>
        <v>213.42857142857136</v>
      </c>
      <c r="O51" s="14">
        <f>N51*VLOOKUP('Données projet'!$B$9,Paramètres!$A$1:$I$89,3,0)*VLOOKUP('Données projet'!$B$9,Paramètres!$A$1:$I$89,5,0)</f>
        <v>99.884571428571391</v>
      </c>
      <c r="P51" s="14">
        <f t="shared" si="33"/>
        <v>26.934496434750237</v>
      </c>
      <c r="Q51" s="22">
        <f t="shared" si="53"/>
        <v>220.87654319528517</v>
      </c>
      <c r="R51" s="62">
        <f t="shared" si="0"/>
        <v>514.20987652861845</v>
      </c>
      <c r="S51" s="62">
        <f ca="1">AVERAGE(OFFSET($R$3,0,0,'Données projet'!$E$9+1,1))-AVERAGE(OFFSET($H$3,0,0,'Données projet'!$E$9+1,1))</f>
        <v>172.45217697899039</v>
      </c>
      <c r="T51" s="62">
        <f t="shared" si="34"/>
        <v>223.74038909289629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10.759852466377772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3.0300661977021814E-2</v>
      </c>
      <c r="AC51" s="24">
        <f t="shared" si="3"/>
        <v>10.790153128354794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8.1999999999999993</v>
      </c>
      <c r="AI51" s="14">
        <f>IF('Données projet'!$A$62&gt;35,AI50+AH51-AQ50,IF(A51&lt;'Données projet'!$A$62,$AF$205^A51,IF(A51='Données projet'!$A$62,'Données projet'!$B$62,AI50+AH51-AQ50)))</f>
        <v>161.60000000000002</v>
      </c>
      <c r="AJ51" s="14">
        <f>AI51*VLOOKUP('Données projet'!$B$10,Paramètres!$A$1:$I$89,3,0)*VLOOKUP('Données projet'!$B$10,Paramètres!$A$1:$I$89,5,0)</f>
        <v>146.21568000000002</v>
      </c>
      <c r="AK51" s="14">
        <f t="shared" si="35"/>
        <v>37.717310552893402</v>
      </c>
      <c r="AL51" s="22">
        <f t="shared" si="4"/>
        <v>320.34995854628937</v>
      </c>
      <c r="AM51" s="62">
        <f t="shared" si="5"/>
        <v>613.68329187962263</v>
      </c>
      <c r="AN51" s="62">
        <f ca="1">AVERAGE(OFFSET($AM$3,0,0,'Données projet'!$E$10+1,1))-AVERAGE(OFFSET($H$3,0,0,'Données projet'!$E$10+1,1))</f>
        <v>364.3481978218424</v>
      </c>
      <c r="AO51" s="62">
        <f t="shared" si="36"/>
        <v>231.36959598460686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163.86240000000004</v>
      </c>
      <c r="BF51" s="14">
        <f t="shared" si="37"/>
        <v>41.712477409029084</v>
      </c>
      <c r="BG51" s="22">
        <f t="shared" si="7"/>
        <v>358.0429114873923</v>
      </c>
      <c r="BH51" s="62">
        <f t="shared" si="8"/>
        <v>651.37624482072556</v>
      </c>
      <c r="BI51" s="62">
        <f ca="1">AVERAGE(OFFSET($BH$3,0,0,'Données projet'!$E$11+1,1))-AVERAGE(OFFSET($H$3,0,0,'Données projet'!$E$11+1,1))</f>
        <v>403.50418598112844</v>
      </c>
      <c r="BJ51" s="62">
        <f t="shared" si="38"/>
        <v>254.25036207346591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0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0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8.1999999999999993</v>
      </c>
      <c r="BY51" s="13">
        <f>IF('Données projet'!$A$114&gt;35,BY50+BX51-CG50,IF(A51&lt;'Données projet'!$A$114,$BV$205^A51,IF(A51='Données projet'!$A$114,'Données projet'!$B$114,BY50+BX51-CG50)))</f>
        <v>137.59999999999997</v>
      </c>
      <c r="BZ51" s="14">
        <f>BY51*VLOOKUP('Données projet'!$B$12,Paramètres!$A$1:$I$89,3,0)*VLOOKUP('Données projet'!$B$12,Paramètres!$A$1:$I$89,5,0)</f>
        <v>118.06079999999999</v>
      </c>
      <c r="CA51" s="14">
        <f t="shared" si="39"/>
        <v>31.222284778272353</v>
      </c>
      <c r="CB51" s="22">
        <f t="shared" si="10"/>
        <v>260.00137265549091</v>
      </c>
      <c r="CC51" s="62">
        <f t="shared" si="11"/>
        <v>553.33470598882423</v>
      </c>
      <c r="CD51" s="62">
        <f ca="1">AVERAGE(OFFSET($CC$3,0,0,'Données projet'!$E$12+1,1))-AVERAGE(OFFSET($H$3,0,0,'Données projet'!$E$12+1,1))</f>
        <v>347.72886258008998</v>
      </c>
      <c r="CE51" s="62">
        <f t="shared" si="40"/>
        <v>176.81257896138806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0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0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3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11.857142857142858</v>
      </c>
      <c r="N52" s="14">
        <f>IF('Données projet'!$A$36&gt;35,N51+M52-V51,IF(A52&lt;'Données projet'!$A$36,$K$205^A52,IF(A52='Données projet'!$A$36,'Données projet'!$B$36,N51+M52-V51)))</f>
        <v>225.28571428571422</v>
      </c>
      <c r="O52" s="14">
        <f>N52*VLOOKUP('Données projet'!$B$9,Paramètres!$A$1:$I$89,3,0)*VLOOKUP('Données projet'!$B$9,Paramètres!$A$1:$I$89,5,0)</f>
        <v>105.43371428571426</v>
      </c>
      <c r="P52" s="14">
        <f t="shared" si="33"/>
        <v>28.252491745957425</v>
      </c>
      <c r="Q52" s="22">
        <f t="shared" si="53"/>
        <v>232.83680883849482</v>
      </c>
      <c r="R52" s="62">
        <f t="shared" si="0"/>
        <v>526.17014217182816</v>
      </c>
      <c r="S52" s="62">
        <f ca="1">AVERAGE(OFFSET($R$3,0,0,'Données projet'!$E$9+1,1))-AVERAGE(OFFSET($H$3,0,0,'Données projet'!$E$9+1,1))</f>
        <v>172.45217697899039</v>
      </c>
      <c r="T52" s="62">
        <f t="shared" si="34"/>
        <v>223.74038909289629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10.54885832237408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2.1425803558393505E-2</v>
      </c>
      <c r="AC52" s="24">
        <f t="shared" si="3"/>
        <v>10.570284125932474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8.1999999999999993</v>
      </c>
      <c r="AI52" s="14">
        <f>IF('Données projet'!$A$62&gt;35,AI51+AH52-AQ51,IF(A52&lt;'Données projet'!$A$62,$AF$205^A52,IF(A52='Données projet'!$A$62,'Données projet'!$B$62,AI51+AH52-AQ51)))</f>
        <v>169.8</v>
      </c>
      <c r="AJ52" s="14">
        <f>AI52*VLOOKUP('Données projet'!$B$10,Paramètres!$A$1:$I$89,3,0)*VLOOKUP('Données projet'!$B$10,Paramètres!$A$1:$I$89,5,0)</f>
        <v>153.63504</v>
      </c>
      <c r="AK52" s="14">
        <f t="shared" si="35"/>
        <v>39.403506785222667</v>
      </c>
      <c r="AL52" s="22">
        <f t="shared" si="4"/>
        <v>336.20880231759617</v>
      </c>
      <c r="AM52" s="62">
        <f t="shared" si="5"/>
        <v>629.54213565092948</v>
      </c>
      <c r="AN52" s="62">
        <f ca="1">AVERAGE(OFFSET($AM$3,0,0,'Données projet'!$E$10+1,1))-AVERAGE(OFFSET($H$3,0,0,'Données projet'!$E$10+1,1))</f>
        <v>364.3481978218424</v>
      </c>
      <c r="AO52" s="62">
        <f t="shared" si="36"/>
        <v>231.36959598460686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172.1772</v>
      </c>
      <c r="BF52" s="14">
        <f t="shared" si="37"/>
        <v>43.577282221917017</v>
      </c>
      <c r="BG52" s="22">
        <f t="shared" si="7"/>
        <v>375.77238986983883</v>
      </c>
      <c r="BH52" s="62">
        <f t="shared" si="8"/>
        <v>669.10572320317215</v>
      </c>
      <c r="BI52" s="62">
        <f ca="1">AVERAGE(OFFSET($BH$3,0,0,'Données projet'!$E$11+1,1))-AVERAGE(OFFSET($H$3,0,0,'Données projet'!$E$11+1,1))</f>
        <v>403.50418598112844</v>
      </c>
      <c r="BJ52" s="62">
        <f t="shared" si="38"/>
        <v>254.25036207346591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0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0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8.1999999999999993</v>
      </c>
      <c r="BY52" s="13">
        <f>IF('Données projet'!$A$114&gt;35,BY51+BX52-CG51,IF(A52&lt;'Données projet'!$A$114,$BV$205^A52,IF(A52='Données projet'!$A$114,'Données projet'!$B$114,BY51+BX52-CG51)))</f>
        <v>145.79999999999995</v>
      </c>
      <c r="BZ52" s="14">
        <f>BY52*VLOOKUP('Données projet'!$B$12,Paramètres!$A$1:$I$89,3,0)*VLOOKUP('Données projet'!$B$12,Paramètres!$A$1:$I$89,5,0)</f>
        <v>125.09639999999997</v>
      </c>
      <c r="CA52" s="14">
        <f t="shared" si="39"/>
        <v>32.860758265272182</v>
      </c>
      <c r="CB52" s="22">
        <f t="shared" si="10"/>
        <v>275.10871731201564</v>
      </c>
      <c r="CC52" s="62">
        <f t="shared" si="11"/>
        <v>568.4420506453489</v>
      </c>
      <c r="CD52" s="62">
        <f ca="1">AVERAGE(OFFSET($CC$3,0,0,'Données projet'!$E$12+1,1))-AVERAGE(OFFSET($H$3,0,0,'Données projet'!$E$12+1,1))</f>
        <v>347.72886258008998</v>
      </c>
      <c r="CE52" s="62">
        <f t="shared" si="40"/>
        <v>176.81257896138806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0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0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3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11.857142857142858</v>
      </c>
      <c r="N53" s="14">
        <f>IF('Données projet'!$A$36&gt;35,N52+M53-V52,IF(A53&lt;'Données projet'!$A$36,$K$205^A53,IF(A53='Données projet'!$A$36,'Données projet'!$B$36,N52+M53-V52)))</f>
        <v>237.14285714285708</v>
      </c>
      <c r="O53" s="14">
        <f>N53*VLOOKUP('Données projet'!$B$9,Paramètres!$A$1:$I$89,3,0)*VLOOKUP('Données projet'!$B$9,Paramètres!$A$1:$I$89,5,0)</f>
        <v>110.98285714285713</v>
      </c>
      <c r="P53" s="14">
        <f t="shared" si="33"/>
        <v>29.562433359346652</v>
      </c>
      <c r="Q53" s="22">
        <f t="shared" si="53"/>
        <v>244.78304762467158</v>
      </c>
      <c r="R53" s="62">
        <f t="shared" si="0"/>
        <v>538.11638095800492</v>
      </c>
      <c r="S53" s="62">
        <f ca="1">AVERAGE(OFFSET($R$3,0,0,'Données projet'!$E$9+1,1))-AVERAGE(OFFSET($H$3,0,0,'Données projet'!$E$9+1,1))</f>
        <v>172.45217697899039</v>
      </c>
      <c r="T53" s="62">
        <f t="shared" si="34"/>
        <v>223.74038909289629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10.342001644840581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1.5150330988510909E-2</v>
      </c>
      <c r="AC53" s="24">
        <f t="shared" si="3"/>
        <v>10.357151975829092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178</v>
      </c>
      <c r="AG53" s="13">
        <f>VLOOKUP(A53,'Données projet'!$A$61:$I$81,9,0)</f>
        <v>8.1999999999999993</v>
      </c>
      <c r="AH53" s="13">
        <f t="array" ref="AH53">INDEX(AG:AG,MIN(IF(ISNUMBER(AG53:AG249),ROW(AG53:AG249),"")))</f>
        <v>8.1999999999999993</v>
      </c>
      <c r="AI53" s="14">
        <f>IF('Données projet'!$A$62&gt;35,AI52+AH53-AQ52,IF(A53&lt;'Données projet'!$A$62,$AF$205^A53,IF(A53='Données projet'!$A$62,'Données projet'!$B$62,AI52+AH53-AQ52)))</f>
        <v>178</v>
      </c>
      <c r="AJ53" s="14">
        <f>AI53*VLOOKUP('Données projet'!$B$10,Paramètres!$A$1:$I$89,3,0)*VLOOKUP('Données projet'!$B$10,Paramètres!$A$1:$I$89,5,0)</f>
        <v>161.05439999999999</v>
      </c>
      <c r="AK53" s="14">
        <f t="shared" si="35"/>
        <v>41.080247278685491</v>
      </c>
      <c r="AL53" s="22">
        <f t="shared" si="4"/>
        <v>352.05117734371055</v>
      </c>
      <c r="AM53" s="62">
        <f t="shared" si="5"/>
        <v>645.38451067704386</v>
      </c>
      <c r="AN53" s="62">
        <f ca="1">AVERAGE(OFFSET($AM$3,0,0,'Données projet'!$E$10+1,1))-AVERAGE(OFFSET($H$3,0,0,'Données projet'!$E$10+1,1))</f>
        <v>364.3481978218424</v>
      </c>
      <c r="AO53" s="62">
        <f t="shared" si="36"/>
        <v>231.36959598460686</v>
      </c>
      <c r="AP53" s="16">
        <f>IF(ISNA(VLOOKUP(A53,'Données projet'!$A$61:$I$81,3,0)),0,VLOOKUP(A53,'Données projet'!$A$61:$I$81,3,0))</f>
        <v>7</v>
      </c>
      <c r="AQ53" s="16">
        <f>IF(ISNA(VLOOKUP(A53,'Données projet'!$A$61:$I$81,4,0)),0,VLOOKUP(A53,'Données projet'!$A$61:$I$81,4,0))</f>
        <v>21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180.49200000000002</v>
      </c>
      <c r="BF53" s="14">
        <f t="shared" si="37"/>
        <v>45.431629706642653</v>
      </c>
      <c r="BG53" s="22">
        <f t="shared" si="7"/>
        <v>393.4836550724026</v>
      </c>
      <c r="BH53" s="62">
        <f t="shared" si="8"/>
        <v>686.81698840573586</v>
      </c>
      <c r="BI53" s="62">
        <f ca="1">AVERAGE(OFFSET($BH$3,0,0,'Données projet'!$E$11+1,1))-AVERAGE(OFFSET($H$3,0,0,'Données projet'!$E$11+1,1))</f>
        <v>403.50418598112844</v>
      </c>
      <c r="BJ53" s="62">
        <f t="shared" si="38"/>
        <v>254.25036207346591</v>
      </c>
      <c r="BK53" s="16">
        <f>IF(ISNA(VLOOKUP(A53,'Données projet'!$A$87:$I$107,3,0)),0,VLOOKUP(A53,'Données projet'!$A$87:$I$107,3,0))</f>
        <v>7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0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0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154</v>
      </c>
      <c r="BW53" s="13">
        <f>VLOOKUP(A53,'Données projet'!$A$113:$I$133,9,0)</f>
        <v>8.1999999999999993</v>
      </c>
      <c r="BX53" s="13">
        <f t="array" ref="BX53">INDEX(BW:BW,MIN(IF(ISNUMBER(BW53:BW249),ROW(BW53:BW249),"")))</f>
        <v>8.1999999999999993</v>
      </c>
      <c r="BY53" s="13">
        <f>IF('Données projet'!$A$114&gt;35,BY52+BX53-CG52,IF(A53&lt;'Données projet'!$A$114,$BV$205^A53,IF(A53='Données projet'!$A$114,'Données projet'!$B$114,BY52+BX53-CG52)))</f>
        <v>153.99999999999994</v>
      </c>
      <c r="BZ53" s="14">
        <f>BY53*VLOOKUP('Données projet'!$B$12,Paramètres!$A$1:$I$89,3,0)*VLOOKUP('Données projet'!$B$12,Paramètres!$A$1:$I$89,5,0)</f>
        <v>132.13199999999998</v>
      </c>
      <c r="CA53" s="14">
        <f t="shared" si="39"/>
        <v>34.488534562859115</v>
      </c>
      <c r="CB53" s="22">
        <f t="shared" si="10"/>
        <v>290.19743103031288</v>
      </c>
      <c r="CC53" s="62">
        <f t="shared" si="11"/>
        <v>583.5307643636462</v>
      </c>
      <c r="CD53" s="62">
        <f ca="1">AVERAGE(OFFSET($CC$3,0,0,'Données projet'!$E$12+1,1))-AVERAGE(OFFSET($H$3,0,0,'Données projet'!$E$12+1,1))</f>
        <v>347.72886258008998</v>
      </c>
      <c r="CE53" s="62">
        <f t="shared" si="40"/>
        <v>176.81257896138806</v>
      </c>
      <c r="CF53" s="16">
        <f>IF(ISNA(VLOOKUP(A53,'Données projet'!$A$113:$I$133,3,0)),0,VLOOKUP(A53,'Données projet'!$A$113:$I$133,3,0))</f>
        <v>6</v>
      </c>
      <c r="CG53" s="16">
        <f>IF(ISNA(VLOOKUP(A53,'Données projet'!$A$113:$I$133,4,0)),0,VLOOKUP(A53,'Données projet'!$A$113:$I$133,4,0))</f>
        <v>21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0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0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3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249</v>
      </c>
      <c r="L54" s="13">
        <f>VLOOKUP(A54,'Données projet'!$A$35:$I$55,9,0)</f>
        <v>11.857142857142858</v>
      </c>
      <c r="M54" s="13">
        <f t="array" ref="M54">INDEX(L:L,MIN(IF(ISNUMBER(L54:L250),ROW(L54:L250),"")))</f>
        <v>11.857142857142858</v>
      </c>
      <c r="N54" s="14">
        <f>IF('Données projet'!$A$36&gt;35,N53+M54-V53,IF(A54&lt;'Données projet'!$A$36,$K$205^A54,IF(A54='Données projet'!$A$36,'Données projet'!$B$36,N53+M54-V53)))</f>
        <v>248.99999999999994</v>
      </c>
      <c r="O54" s="14">
        <f>N54*VLOOKUP('Données projet'!$B$9,Paramètres!$A$1:$I$89,3,0)*VLOOKUP('Données projet'!$B$9,Paramètres!$A$1:$I$89,5,0)</f>
        <v>116.53199999999997</v>
      </c>
      <c r="P54" s="14">
        <f t="shared" si="33"/>
        <v>30.864769909522728</v>
      </c>
      <c r="Q54" s="22">
        <f t="shared" si="53"/>
        <v>256.71604092575205</v>
      </c>
      <c r="R54" s="62">
        <f t="shared" si="0"/>
        <v>550.04937425908543</v>
      </c>
      <c r="S54" s="62">
        <f ca="1">AVERAGE(OFFSET($R$3,0,0,'Données projet'!$E$9+1,1))-AVERAGE(OFFSET($H$3,0,0,'Données projet'!$E$9+1,1))</f>
        <v>172.45217697899039</v>
      </c>
      <c r="T54" s="62">
        <f t="shared" si="34"/>
        <v>223.74038909289629</v>
      </c>
      <c r="U54" s="16">
        <f>IF(ISNA(VLOOKUP(A54,'Données projet'!$A$35:$I$55,3,0)),0,VLOOKUP(A54,'Données projet'!$A$35:$I$55,3,0))</f>
        <v>6</v>
      </c>
      <c r="V54" s="16">
        <f>IF(ISNA(VLOOKUP(A54,'Données projet'!$A$35:$I$55,4,0)),0,VLOOKUP(A54,'Données projet'!$A$35:$I$55,4,0))</f>
        <v>70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10.139201300583398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1.0712901779196754E-2</v>
      </c>
      <c r="AC54" s="24">
        <f t="shared" si="3"/>
        <v>10.149914202362595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8</v>
      </c>
      <c r="AI54" s="14">
        <f>IF('Données projet'!$A$62&gt;35,AI53+AH54-AQ53,IF(A54&lt;'Données projet'!$A$62,$AF$205^A54,IF(A54='Données projet'!$A$62,'Données projet'!$B$62,AI53+AH54-AQ53)))</f>
        <v>165</v>
      </c>
      <c r="AJ54" s="14">
        <f>AI54*VLOOKUP('Données projet'!$B$10,Paramètres!$A$1:$I$89,3,0)*VLOOKUP('Données projet'!$B$10,Paramètres!$A$1:$I$89,5,0)</f>
        <v>149.29199999999997</v>
      </c>
      <c r="AK54" s="14">
        <f t="shared" si="35"/>
        <v>38.417645803815411</v>
      </c>
      <c r="AL54" s="22">
        <f t="shared" si="4"/>
        <v>326.9276331083118</v>
      </c>
      <c r="AM54" s="62">
        <f t="shared" si="5"/>
        <v>620.26096644164511</v>
      </c>
      <c r="AN54" s="62">
        <f ca="1">AVERAGE(OFFSET($AM$3,0,0,'Données projet'!$E$10+1,1))-AVERAGE(OFFSET($H$3,0,0,'Données projet'!$E$10+1,1))</f>
        <v>364.3481978218424</v>
      </c>
      <c r="AO54" s="62">
        <f t="shared" si="36"/>
        <v>231.36959598460686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2">
        <f t="shared" si="8"/>
        <v>658.72976619125518</v>
      </c>
      <c r="BI54" s="62">
        <f ca="1">AVERAGE(OFFSET($BH$3,0,0,'Données projet'!$E$11+1,1))-AVERAGE(OFFSET($H$3,0,0,'Données projet'!$E$11+1,1))</f>
        <v>403.50418598112844</v>
      </c>
      <c r="BJ54" s="62">
        <f t="shared" si="38"/>
        <v>254.25036207346591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0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0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8.6</v>
      </c>
      <c r="BY54" s="13">
        <f>IF('Données projet'!$A$114&gt;35,BY53+BX54-CG53,IF(A54&lt;'Données projet'!$A$114,$BV$205^A54,IF(A54='Données projet'!$A$114,'Données projet'!$B$114,BY53+BX54-CG53)))</f>
        <v>141.59999999999994</v>
      </c>
      <c r="BZ54" s="14">
        <f>BY54*VLOOKUP('Données projet'!$B$12,Paramètres!$A$1:$I$89,3,0)*VLOOKUP('Données projet'!$B$12,Paramètres!$A$1:$I$89,5,0)</f>
        <v>121.49279999999995</v>
      </c>
      <c r="CA54" s="14">
        <f t="shared" si="39"/>
        <v>32.022919460248382</v>
      </c>
      <c r="CB54" s="22">
        <f t="shared" si="10"/>
        <v>267.37321139326588</v>
      </c>
      <c r="CC54" s="62">
        <f t="shared" si="11"/>
        <v>560.70654472659919</v>
      </c>
      <c r="CD54" s="62">
        <f ca="1">AVERAGE(OFFSET($CC$3,0,0,'Données projet'!$E$12+1,1))-AVERAGE(OFFSET($H$3,0,0,'Données projet'!$E$12+1,1))</f>
        <v>347.72886258008998</v>
      </c>
      <c r="CE54" s="62">
        <f t="shared" si="40"/>
        <v>176.81257896138806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0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0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3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13.444444444444445</v>
      </c>
      <c r="N55" s="14">
        <f>IF('Données projet'!$A$36&gt;35,N54+M55-V54,IF(A55&lt;'Données projet'!$A$36,$K$205^A55,IF(A55='Données projet'!$A$36,'Données projet'!$B$36,N54+M55-V54)))</f>
        <v>192.4444444444444</v>
      </c>
      <c r="O55" s="14">
        <f>N55*VLOOKUP('Données projet'!$B$9,Paramètres!$A$1:$I$89,3,0)*VLOOKUP('Données projet'!$B$9,Paramètres!$A$1:$I$89,5,0)</f>
        <v>90.063999999999993</v>
      </c>
      <c r="P55" s="14">
        <f t="shared" si="33"/>
        <v>24.580659614147791</v>
      </c>
      <c r="Q55" s="22">
        <f t="shared" si="53"/>
        <v>199.6727821613074</v>
      </c>
      <c r="R55" s="62">
        <f t="shared" si="0"/>
        <v>493.00611549464071</v>
      </c>
      <c r="S55" s="62">
        <f ca="1">AVERAGE(OFFSET($R$3,0,0,'Données projet'!$E$9+1,1))-AVERAGE(OFFSET($H$3,0,0,'Données projet'!$E$9+1,1))</f>
        <v>172.45217697899039</v>
      </c>
      <c r="T55" s="62">
        <f t="shared" si="34"/>
        <v>223.74038909289629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9.9403777473811026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7.5751654942554552E-3</v>
      </c>
      <c r="AC55" s="24">
        <f t="shared" si="3"/>
        <v>9.9479529128753583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8</v>
      </c>
      <c r="AI55" s="14">
        <f>IF('Données projet'!$A$62&gt;35,AI54+AH55-AQ54,IF(A55&lt;'Données projet'!$A$62,$AF$205^A55,IF(A55='Données projet'!$A$62,'Données projet'!$B$62,AI54+AH55-AQ54)))</f>
        <v>173</v>
      </c>
      <c r="AJ55" s="14">
        <f>AI55*VLOOKUP('Données projet'!$B$10,Paramètres!$A$1:$I$89,3,0)*VLOOKUP('Données projet'!$B$10,Paramètres!$A$1:$I$89,5,0)</f>
        <v>156.53039999999999</v>
      </c>
      <c r="AK55" s="14">
        <f t="shared" si="35"/>
        <v>40.058941713182037</v>
      </c>
      <c r="AL55" s="22">
        <f t="shared" si="4"/>
        <v>342.393103483792</v>
      </c>
      <c r="AM55" s="62">
        <f t="shared" si="5"/>
        <v>635.72643681712532</v>
      </c>
      <c r="AN55" s="62">
        <f ca="1">AVERAGE(OFFSET($AM$3,0,0,'Données projet'!$E$10+1,1))-AVERAGE(OFFSET($H$3,0,0,'Données projet'!$E$10+1,1))</f>
        <v>364.3481978218424</v>
      </c>
      <c r="AO55" s="62">
        <f t="shared" si="36"/>
        <v>231.36959598460686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2">
        <f t="shared" si="8"/>
        <v>676.01954977643072</v>
      </c>
      <c r="BI55" s="62">
        <f ca="1">AVERAGE(OFFSET($BH$3,0,0,'Données projet'!$E$11+1,1))-AVERAGE(OFFSET($H$3,0,0,'Données projet'!$E$11+1,1))</f>
        <v>403.50418598112844</v>
      </c>
      <c r="BJ55" s="62">
        <f t="shared" si="38"/>
        <v>254.25036207346591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0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0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8.6</v>
      </c>
      <c r="BY55" s="13">
        <f>IF('Données projet'!$A$114&gt;35,BY54+BX55-CG54,IF(A55&lt;'Données projet'!$A$114,$BV$205^A55,IF(A55='Données projet'!$A$114,'Données projet'!$B$114,BY54+BX55-CG54)))</f>
        <v>150.19999999999993</v>
      </c>
      <c r="BZ55" s="14">
        <f>BY55*VLOOKUP('Données projet'!$B$12,Paramètres!$A$1:$I$89,3,0)*VLOOKUP('Données projet'!$B$12,Paramètres!$A$1:$I$89,5,0)</f>
        <v>128.87159999999997</v>
      </c>
      <c r="CA55" s="14">
        <f t="shared" si="39"/>
        <v>33.735487075909091</v>
      </c>
      <c r="CB55" s="22">
        <f t="shared" si="10"/>
        <v>283.20734332387497</v>
      </c>
      <c r="CC55" s="62">
        <f t="shared" si="11"/>
        <v>576.54067665720822</v>
      </c>
      <c r="CD55" s="62">
        <f ca="1">AVERAGE(OFFSET($CC$3,0,0,'Données projet'!$E$12+1,1))-AVERAGE(OFFSET($H$3,0,0,'Données projet'!$E$12+1,1))</f>
        <v>347.72886258008998</v>
      </c>
      <c r="CE55" s="62">
        <f t="shared" si="40"/>
        <v>176.81257896138806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0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0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3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13.444444444444445</v>
      </c>
      <c r="N56" s="14">
        <f>IF('Données projet'!$A$36&gt;35,N55+M56-V55,IF(A56&lt;'Données projet'!$A$36,$K$205^A56,IF(A56='Données projet'!$A$36,'Données projet'!$B$36,N55+M56-V55)))</f>
        <v>205.88888888888886</v>
      </c>
      <c r="O56" s="14">
        <f>N56*VLOOKUP('Données projet'!$B$9,Paramètres!$A$1:$I$89,3,0)*VLOOKUP('Données projet'!$B$9,Paramètres!$A$1:$I$89,5,0)</f>
        <v>96.355999999999995</v>
      </c>
      <c r="P56" s="14">
        <f t="shared" si="33"/>
        <v>26.091998195525026</v>
      </c>
      <c r="Q56" s="22">
        <f t="shared" si="53"/>
        <v>213.26359685720604</v>
      </c>
      <c r="R56" s="62">
        <f t="shared" si="0"/>
        <v>506.59693019053935</v>
      </c>
      <c r="S56" s="62">
        <f ca="1">AVERAGE(OFFSET($R$3,0,0,'Données projet'!$E$9+1,1))-AVERAGE(OFFSET($H$3,0,0,'Données projet'!$E$9+1,1))</f>
        <v>172.45217697899039</v>
      </c>
      <c r="T56" s="62">
        <f t="shared" si="34"/>
        <v>223.74038909289629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9.7454530027867108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5.356450889598378E-3</v>
      </c>
      <c r="AC56" s="24">
        <f t="shared" si="3"/>
        <v>9.7508094536763092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8</v>
      </c>
      <c r="AI56" s="14">
        <f>IF('Données projet'!$A$62&gt;35,AI55+AH56-AQ55,IF(A56&lt;'Données projet'!$A$62,$AF$205^A56,IF(A56='Données projet'!$A$62,'Données projet'!$B$62,AI55+AH56-AQ55)))</f>
        <v>181</v>
      </c>
      <c r="AJ56" s="14">
        <f>AI56*VLOOKUP('Données projet'!$B$10,Paramètres!$A$1:$I$89,3,0)*VLOOKUP('Données projet'!$B$10,Paramètres!$A$1:$I$89,5,0)</f>
        <v>163.7688</v>
      </c>
      <c r="AK56" s="14">
        <f t="shared" si="35"/>
        <v>41.691423503509803</v>
      </c>
      <c r="AL56" s="22">
        <f t="shared" si="4"/>
        <v>357.84322260194625</v>
      </c>
      <c r="AM56" s="62">
        <f t="shared" si="5"/>
        <v>651.17655593527957</v>
      </c>
      <c r="AN56" s="62">
        <f ca="1">AVERAGE(OFFSET($AM$3,0,0,'Données projet'!$E$10+1,1))-AVERAGE(OFFSET($H$3,0,0,'Données projet'!$E$10+1,1))</f>
        <v>364.3481978218424</v>
      </c>
      <c r="AO56" s="62">
        <f t="shared" si="36"/>
        <v>231.36959598460686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2">
        <f t="shared" si="8"/>
        <v>693.29235603832899</v>
      </c>
      <c r="BI56" s="62">
        <f ca="1">AVERAGE(OFFSET($BH$3,0,0,'Données projet'!$E$11+1,1))-AVERAGE(OFFSET($H$3,0,0,'Données projet'!$E$11+1,1))</f>
        <v>403.50418598112844</v>
      </c>
      <c r="BJ56" s="62">
        <f t="shared" si="38"/>
        <v>254.25036207346591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0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0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8.6</v>
      </c>
      <c r="BY56" s="13">
        <f>IF('Données projet'!$A$114&gt;35,BY55+BX56-CG55,IF(A56&lt;'Données projet'!$A$114,$BV$205^A56,IF(A56='Données projet'!$A$114,'Données projet'!$B$114,BY55+BX56-CG55)))</f>
        <v>158.79999999999993</v>
      </c>
      <c r="BZ56" s="14">
        <f>BY56*VLOOKUP('Données projet'!$B$12,Paramètres!$A$1:$I$89,3,0)*VLOOKUP('Données projet'!$B$12,Paramètres!$A$1:$I$89,5,0)</f>
        <v>136.25039999999996</v>
      </c>
      <c r="CA56" s="14">
        <f t="shared" si="39"/>
        <v>35.436672304560737</v>
      </c>
      <c r="CB56" s="22">
        <f t="shared" si="10"/>
        <v>299.02165093044317</v>
      </c>
      <c r="CC56" s="62">
        <f t="shared" si="11"/>
        <v>592.35498426377649</v>
      </c>
      <c r="CD56" s="62">
        <f ca="1">AVERAGE(OFFSET($CC$3,0,0,'Données projet'!$E$12+1,1))-AVERAGE(OFFSET($H$3,0,0,'Données projet'!$E$12+1,1))</f>
        <v>347.72886258008998</v>
      </c>
      <c r="CE56" s="62">
        <f t="shared" si="40"/>
        <v>176.81257896138806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0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0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3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13.444444444444445</v>
      </c>
      <c r="N57" s="14">
        <f>IF('Données projet'!$A$36&gt;35,N56+M57-V56,IF(A57&lt;'Données projet'!$A$36,$K$205^A57,IF(A57='Données projet'!$A$36,'Données projet'!$B$36,N56+M57-V56)))</f>
        <v>219.33333333333331</v>
      </c>
      <c r="O57" s="14">
        <f>N57*VLOOKUP('Données projet'!$B$9,Paramètres!$A$1:$I$89,3,0)*VLOOKUP('Données projet'!$B$9,Paramètres!$A$1:$I$89,5,0)</f>
        <v>102.648</v>
      </c>
      <c r="P57" s="14">
        <f t="shared" si="33"/>
        <v>27.591884256813071</v>
      </c>
      <c r="Q57" s="22">
        <f t="shared" si="53"/>
        <v>226.83446508061607</v>
      </c>
      <c r="R57" s="62">
        <f t="shared" si="0"/>
        <v>520.16779841394941</v>
      </c>
      <c r="S57" s="62">
        <f ca="1">AVERAGE(OFFSET($R$3,0,0,'Données projet'!$E$9+1,1))-AVERAGE(OFFSET($H$3,0,0,'Données projet'!$E$9+1,1))</f>
        <v>172.45217697899039</v>
      </c>
      <c r="T57" s="62">
        <f t="shared" si="34"/>
        <v>223.74038909289629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9.5543506135414606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3.7875827471277284E-3</v>
      </c>
      <c r="AC57" s="24">
        <f t="shared" si="3"/>
        <v>9.5581381962885885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8</v>
      </c>
      <c r="AI57" s="14">
        <f>IF('Données projet'!$A$62&gt;35,AI56+AH57-AQ56,IF(A57&lt;'Données projet'!$A$62,$AF$205^A57,IF(A57='Données projet'!$A$62,'Données projet'!$B$62,AI56+AH57-AQ56)))</f>
        <v>189</v>
      </c>
      <c r="AJ57" s="14">
        <f>AI57*VLOOKUP('Données projet'!$B$10,Paramètres!$A$1:$I$89,3,0)*VLOOKUP('Données projet'!$B$10,Paramètres!$A$1:$I$89,5,0)</f>
        <v>171.00719999999998</v>
      </c>
      <c r="AK57" s="14">
        <f t="shared" si="35"/>
        <v>43.315525267338089</v>
      </c>
      <c r="AL57" s="22">
        <f t="shared" si="4"/>
        <v>373.27874650728046</v>
      </c>
      <c r="AM57" s="62">
        <f t="shared" si="5"/>
        <v>666.61207984061377</v>
      </c>
      <c r="AN57" s="62">
        <f ca="1">AVERAGE(OFFSET($AM$3,0,0,'Données projet'!$E$10+1,1))-AVERAGE(OFFSET($H$3,0,0,'Données projet'!$E$10+1,1))</f>
        <v>364.3481978218424</v>
      </c>
      <c r="AO57" s="62">
        <f t="shared" si="36"/>
        <v>231.36959598460686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2">
        <f t="shared" si="8"/>
        <v>710.54902110468288</v>
      </c>
      <c r="BI57" s="62">
        <f ca="1">AVERAGE(OFFSET($BH$3,0,0,'Données projet'!$E$11+1,1))-AVERAGE(OFFSET($H$3,0,0,'Données projet'!$E$11+1,1))</f>
        <v>403.50418598112844</v>
      </c>
      <c r="BJ57" s="62">
        <f t="shared" si="38"/>
        <v>254.25036207346591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0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0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8.6</v>
      </c>
      <c r="BY57" s="13">
        <f>IF('Données projet'!$A$114&gt;35,BY56+BX57-CG56,IF(A57&lt;'Données projet'!$A$114,$BV$205^A57,IF(A57='Données projet'!$A$114,'Données projet'!$B$114,BY56+BX57-CG56)))</f>
        <v>167.39999999999992</v>
      </c>
      <c r="BZ57" s="14">
        <f>BY57*VLOOKUP('Données projet'!$B$12,Paramètres!$A$1:$I$89,3,0)*VLOOKUP('Données projet'!$B$12,Paramètres!$A$1:$I$89,5,0)</f>
        <v>143.62919999999994</v>
      </c>
      <c r="CA57" s="14">
        <f t="shared" si="39"/>
        <v>37.127161849234348</v>
      </c>
      <c r="CB57" s="22">
        <f t="shared" si="10"/>
        <v>314.81733022074968</v>
      </c>
      <c r="CC57" s="62">
        <f t="shared" si="11"/>
        <v>608.15066355408294</v>
      </c>
      <c r="CD57" s="62">
        <f ca="1">AVERAGE(OFFSET($CC$3,0,0,'Données projet'!$E$12+1,1))-AVERAGE(OFFSET($H$3,0,0,'Données projet'!$E$12+1,1))</f>
        <v>347.72886258008998</v>
      </c>
      <c r="CE57" s="62">
        <f t="shared" si="40"/>
        <v>176.81257896138806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0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0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3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13.444444444444445</v>
      </c>
      <c r="N58" s="14">
        <f>IF('Données projet'!$A$36&gt;35,N57+M58-V57,IF(A58&lt;'Données projet'!$A$36,$K$205^A58,IF(A58='Données projet'!$A$36,'Données projet'!$B$36,N57+M58-V57)))</f>
        <v>232.77777777777777</v>
      </c>
      <c r="O58" s="14">
        <f>N58*VLOOKUP('Données projet'!$B$9,Paramètres!$A$1:$I$89,3,0)*VLOOKUP('Données projet'!$B$9,Paramètres!$A$1:$I$89,5,0)</f>
        <v>108.94</v>
      </c>
      <c r="P58" s="14">
        <f t="shared" si="33"/>
        <v>29.081099734343869</v>
      </c>
      <c r="Q58" s="22">
        <f t="shared" si="53"/>
        <v>240.38674870398219</v>
      </c>
      <c r="R58" s="62">
        <f t="shared" si="0"/>
        <v>533.72008203731548</v>
      </c>
      <c r="S58" s="62">
        <f ca="1">AVERAGE(OFFSET($R$3,0,0,'Données projet'!$E$9+1,1))-AVERAGE(OFFSET($H$3,0,0,'Données projet'!$E$9+1,1))</f>
        <v>172.45217697899039</v>
      </c>
      <c r="T58" s="62">
        <f t="shared" si="34"/>
        <v>223.74038909289629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9.3669956255883609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2.6782254447991895E-3</v>
      </c>
      <c r="AC58" s="24">
        <f t="shared" si="3"/>
        <v>9.3696738510331592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197</v>
      </c>
      <c r="AG58" s="13">
        <f>VLOOKUP(A58,'Données projet'!$A$61:$I$81,9,0)</f>
        <v>8</v>
      </c>
      <c r="AH58" s="13">
        <f t="array" ref="AH58">INDEX(AG:AG,MIN(IF(ISNUMBER(AG58:AG254),ROW(AG58:AG254),"")))</f>
        <v>8</v>
      </c>
      <c r="AI58" s="14">
        <f>IF('Données projet'!$A$62&gt;35,AI57+AH58-AQ57,IF(A58&lt;'Données projet'!$A$62,$AF$205^A58,IF(A58='Données projet'!$A$62,'Données projet'!$B$62,AI57+AH58-AQ57)))</f>
        <v>197</v>
      </c>
      <c r="AJ58" s="14">
        <f>AI58*VLOOKUP('Données projet'!$B$10,Paramètres!$A$1:$I$89,3,0)*VLOOKUP('Données projet'!$B$10,Paramètres!$A$1:$I$89,5,0)</f>
        <v>178.2456</v>
      </c>
      <c r="AK58" s="14">
        <f t="shared" si="35"/>
        <v>44.931642269910427</v>
      </c>
      <c r="AL58" s="22">
        <f t="shared" si="4"/>
        <v>388.70036362009404</v>
      </c>
      <c r="AM58" s="62">
        <f t="shared" si="5"/>
        <v>682.03369695342735</v>
      </c>
      <c r="AN58" s="62">
        <f ca="1">AVERAGE(OFFSET($AM$3,0,0,'Données projet'!$E$10+1,1))-AVERAGE(OFFSET($H$3,0,0,'Données projet'!$E$10+1,1))</f>
        <v>364.3481978218424</v>
      </c>
      <c r="AO58" s="62">
        <f t="shared" si="36"/>
        <v>231.36959598460686</v>
      </c>
      <c r="AP58" s="16">
        <f>IF(ISNA(VLOOKUP(A58,'Données projet'!$A$61:$I$81,3,0)),0,VLOOKUP(A58,'Données projet'!$A$61:$I$81,3,0))</f>
        <v>8</v>
      </c>
      <c r="AQ58" s="16">
        <f>IF(ISNA(VLOOKUP(A58,'Données projet'!$A$61:$I$81,4,0)),0,VLOOKUP(A58,'Données projet'!$A$61:$I$81,4,0))</f>
        <v>21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2">
        <f t="shared" si="8"/>
        <v>727.79030631599562</v>
      </c>
      <c r="BI58" s="62">
        <f ca="1">AVERAGE(OFFSET($BH$3,0,0,'Données projet'!$E$11+1,1))-AVERAGE(OFFSET($H$3,0,0,'Données projet'!$E$11+1,1))</f>
        <v>403.50418598112844</v>
      </c>
      <c r="BJ58" s="62">
        <f t="shared" si="38"/>
        <v>254.25036207346591</v>
      </c>
      <c r="BK58" s="16">
        <f>IF(ISNA(VLOOKUP(A58,'Données projet'!$A$87:$I$107,3,0)),0,VLOOKUP(A58,'Données projet'!$A$87:$I$107,3,0))</f>
        <v>8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0</v>
      </c>
      <c r="BQ58" s="23">
        <f>EXP(-LN(2)/25)*BQ57+(1-EXP(-LN(2)/25))/(LN(2)/25)*Calculateur!BL58*Calculateur!BN58*VLOOKUP('Données projet'!$B$11,Paramètres!$A$1:$I$89,3,0)*0.475*44/12</f>
        <v>0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0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>
        <f>VLOOKUP(A58,'Données projet'!$A$113:$I$133,2,0)</f>
        <v>176</v>
      </c>
      <c r="BW58" s="13">
        <f>VLOOKUP(A58,'Données projet'!$A$113:$I$133,9,0)</f>
        <v>8.6</v>
      </c>
      <c r="BX58" s="13">
        <f t="array" ref="BX58">INDEX(BW:BW,MIN(IF(ISNUMBER(BW58:BW254),ROW(BW58:BW254),"")))</f>
        <v>8.6</v>
      </c>
      <c r="BY58" s="13">
        <f>IF('Données projet'!$A$114&gt;35,BY57+BX58-CG57,IF(A58&lt;'Données projet'!$A$114,$BV$205^A58,IF(A58='Données projet'!$A$114,'Données projet'!$B$114,BY57+BX58-CG57)))</f>
        <v>175.99999999999991</v>
      </c>
      <c r="BZ58" s="14">
        <f>BY58*VLOOKUP('Données projet'!$B$12,Paramètres!$A$1:$I$89,3,0)*VLOOKUP('Données projet'!$B$12,Paramètres!$A$1:$I$89,5,0)</f>
        <v>151.00799999999992</v>
      </c>
      <c r="CA58" s="14">
        <f t="shared" si="39"/>
        <v>38.807567870348514</v>
      </c>
      <c r="CB58" s="22">
        <f t="shared" si="10"/>
        <v>330.5954473741902</v>
      </c>
      <c r="CC58" s="62">
        <f t="shared" si="11"/>
        <v>623.92878070752352</v>
      </c>
      <c r="CD58" s="62">
        <f ca="1">AVERAGE(OFFSET($CC$3,0,0,'Données projet'!$E$12+1,1))-AVERAGE(OFFSET($H$3,0,0,'Données projet'!$E$12+1,1))</f>
        <v>347.72886258008998</v>
      </c>
      <c r="CE58" s="62">
        <f t="shared" si="40"/>
        <v>176.81257896138806</v>
      </c>
      <c r="CF58" s="16">
        <f>IF(ISNA(VLOOKUP(A58,'Données projet'!$A$113:$I$133,3,0)),0,VLOOKUP(A58,'Données projet'!$A$113:$I$133,3,0))</f>
        <v>7</v>
      </c>
      <c r="CG58" s="16">
        <f>IF(ISNA(VLOOKUP(A58,'Données projet'!$A$113:$I$133,4,0)),0,VLOOKUP(A58,'Données projet'!$A$113:$I$133,4,0))</f>
        <v>21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0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0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3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13.444444444444445</v>
      </c>
      <c r="N59" s="14">
        <f>IF('Données projet'!$A$36&gt;35,N58+M59-V58,IF(A59&lt;'Données projet'!$A$36,$K$205^A59,IF(A59='Données projet'!$A$36,'Données projet'!$B$36,N58+M59-V58)))</f>
        <v>246.22222222222223</v>
      </c>
      <c r="O59" s="14">
        <f>N59*VLOOKUP('Données projet'!$B$9,Paramètres!$A$1:$I$89,3,0)*VLOOKUP('Données projet'!$B$9,Paramètres!$A$1:$I$89,5,0)</f>
        <v>115.232</v>
      </c>
      <c r="P59" s="14">
        <f t="shared" si="33"/>
        <v>30.560331138556659</v>
      </c>
      <c r="Q59" s="22">
        <f t="shared" si="53"/>
        <v>253.92164339965282</v>
      </c>
      <c r="R59" s="62">
        <f t="shared" si="0"/>
        <v>547.25497673298617</v>
      </c>
      <c r="S59" s="62">
        <f ca="1">AVERAGE(OFFSET($R$3,0,0,'Données projet'!$E$9+1,1))-AVERAGE(OFFSET($H$3,0,0,'Données projet'!$E$9+1,1))</f>
        <v>172.45217697899039</v>
      </c>
      <c r="T59" s="62">
        <f t="shared" si="34"/>
        <v>223.74038909289629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9.1833145546737622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1.8937913735638644E-3</v>
      </c>
      <c r="AC59" s="24">
        <f t="shared" si="3"/>
        <v>9.1852083460473253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7.6</v>
      </c>
      <c r="AI59" s="14">
        <f>IF('Données projet'!$A$62&gt;35,AI58+AH59-AQ58,IF(A59&lt;'Données projet'!$A$62,$AF$205^A59,IF(A59='Données projet'!$A$62,'Données projet'!$B$62,AI58+AH59-AQ58)))</f>
        <v>183.6</v>
      </c>
      <c r="AJ59" s="14">
        <f>AI59*VLOOKUP('Données projet'!$B$10,Paramètres!$A$1:$I$89,3,0)*VLOOKUP('Données projet'!$B$10,Paramètres!$A$1:$I$89,5,0)</f>
        <v>166.12127999999998</v>
      </c>
      <c r="AK59" s="14">
        <f t="shared" si="35"/>
        <v>42.220155874487318</v>
      </c>
      <c r="AL59" s="22">
        <f t="shared" si="4"/>
        <v>362.8613341480654</v>
      </c>
      <c r="AM59" s="62">
        <f t="shared" si="5"/>
        <v>656.19466748139871</v>
      </c>
      <c r="AN59" s="62">
        <f ca="1">AVERAGE(OFFSET($AM$3,0,0,'Données projet'!$E$10+1,1))-AVERAGE(OFFSET($H$3,0,0,'Données projet'!$E$10+1,1))</f>
        <v>364.3481978218424</v>
      </c>
      <c r="AO59" s="62">
        <f t="shared" si="36"/>
        <v>231.36959598460686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186.1704</v>
      </c>
      <c r="BF59" s="14">
        <f t="shared" si="37"/>
        <v>46.692281933796018</v>
      </c>
      <c r="BG59" s="22">
        <f t="shared" si="7"/>
        <v>405.56917103469476</v>
      </c>
      <c r="BH59" s="62">
        <f t="shared" si="8"/>
        <v>698.90250436802808</v>
      </c>
      <c r="BI59" s="62">
        <f ca="1">AVERAGE(OFFSET($BH$3,0,0,'Données projet'!$E$11+1,1))-AVERAGE(OFFSET($H$3,0,0,'Données projet'!$E$11+1,1))</f>
        <v>403.50418598112844</v>
      </c>
      <c r="BJ59" s="62">
        <f t="shared" si="38"/>
        <v>254.25036207346591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0</v>
      </c>
      <c r="BQ59" s="23">
        <f>EXP(-LN(2)/25)*BQ58+(1-EXP(-LN(2)/25))/(LN(2)/25)*Calculateur!BL59*Calculateur!BN59*VLOOKUP('Données projet'!$B$11,Paramètres!$A$1:$I$89,3,0)*0.475*44/12</f>
        <v>0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0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8.4</v>
      </c>
      <c r="BY59" s="13">
        <f>IF('Données projet'!$A$114&gt;35,BY58+BX59-CG58,IF(A59&lt;'Données projet'!$A$114,$BV$205^A59,IF(A59='Données projet'!$A$114,'Données projet'!$B$114,BY58+BX59-CG58)))</f>
        <v>163.39999999999992</v>
      </c>
      <c r="BZ59" s="14">
        <f>BY59*VLOOKUP('Données projet'!$B$12,Paramètres!$A$1:$I$89,3,0)*VLOOKUP('Données projet'!$B$12,Paramètres!$A$1:$I$89,5,0)</f>
        <v>140.19719999999995</v>
      </c>
      <c r="CA59" s="14">
        <f t="shared" si="39"/>
        <v>36.34217754431797</v>
      </c>
      <c r="CB59" s="22">
        <f t="shared" si="10"/>
        <v>307.47274922302034</v>
      </c>
      <c r="CC59" s="62">
        <f t="shared" si="11"/>
        <v>600.80608255635366</v>
      </c>
      <c r="CD59" s="62">
        <f ca="1">AVERAGE(OFFSET($CC$3,0,0,'Données projet'!$E$12+1,1))-AVERAGE(OFFSET($H$3,0,0,'Données projet'!$E$12+1,1))</f>
        <v>347.72886258008998</v>
      </c>
      <c r="CE59" s="62">
        <f t="shared" si="40"/>
        <v>176.81257896138806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0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0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3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13.444444444444445</v>
      </c>
      <c r="N60" s="14">
        <f>IF('Données projet'!$A$36&gt;35,N59+M60-V59,IF(A60&lt;'Données projet'!$A$36,$K$205^A60,IF(A60='Données projet'!$A$36,'Données projet'!$B$36,N59+M60-V59)))</f>
        <v>259.66666666666669</v>
      </c>
      <c r="O60" s="14">
        <f>N60*VLOOKUP('Données projet'!$B$9,Paramètres!$A$1:$I$89,3,0)*VLOOKUP('Données projet'!$B$9,Paramètres!$A$1:$I$89,5,0)</f>
        <v>121.52400000000002</v>
      </c>
      <c r="P60" s="14">
        <f t="shared" si="33"/>
        <v>32.030185774775809</v>
      </c>
      <c r="Q60" s="22">
        <f t="shared" si="53"/>
        <v>267.44020689106782</v>
      </c>
      <c r="R60" s="62">
        <f t="shared" si="0"/>
        <v>560.77354022440113</v>
      </c>
      <c r="S60" s="62">
        <f ca="1">AVERAGE(OFFSET($R$3,0,0,'Données projet'!$E$9+1,1))-AVERAGE(OFFSET($H$3,0,0,'Données projet'!$E$9+1,1))</f>
        <v>172.45217697899039</v>
      </c>
      <c r="T60" s="62">
        <f t="shared" si="34"/>
        <v>223.74038909289629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9.0032353575254085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1.3391127223995949E-3</v>
      </c>
      <c r="AC60" s="24">
        <f t="shared" si="3"/>
        <v>9.0045744702478085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7.6</v>
      </c>
      <c r="AI60" s="14">
        <f>IF('Données projet'!$A$62&gt;35,AI59+AH60-AQ59,IF(A60&lt;'Données projet'!$A$62,$AF$205^A60,IF(A60='Données projet'!$A$62,'Données projet'!$B$62,AI59+AH60-AQ59)))</f>
        <v>191.2</v>
      </c>
      <c r="AJ60" s="14">
        <f>AI60*VLOOKUP('Données projet'!$B$10,Paramètres!$A$1:$I$89,3,0)*VLOOKUP('Données projet'!$B$10,Paramètres!$A$1:$I$89,5,0)</f>
        <v>172.99775999999997</v>
      </c>
      <c r="AK60" s="14">
        <f t="shared" si="35"/>
        <v>43.760737531919609</v>
      </c>
      <c r="AL60" s="22">
        <f t="shared" si="4"/>
        <v>377.52104986809326</v>
      </c>
      <c r="AM60" s="62">
        <f t="shared" si="5"/>
        <v>670.85438320142657</v>
      </c>
      <c r="AN60" s="62">
        <f ca="1">AVERAGE(OFFSET($AM$3,0,0,'Données projet'!$E$10+1,1))-AVERAGE(OFFSET($H$3,0,0,'Données projet'!$E$10+1,1))</f>
        <v>364.3481978218424</v>
      </c>
      <c r="AO60" s="62">
        <f t="shared" si="36"/>
        <v>231.36959598460686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193.8768</v>
      </c>
      <c r="BF60" s="14">
        <f t="shared" si="37"/>
        <v>48.396048099527611</v>
      </c>
      <c r="BG60" s="22">
        <f t="shared" si="7"/>
        <v>421.95854377334393</v>
      </c>
      <c r="BH60" s="62">
        <f t="shared" si="8"/>
        <v>715.29187710667725</v>
      </c>
      <c r="BI60" s="62">
        <f ca="1">AVERAGE(OFFSET($BH$3,0,0,'Données projet'!$E$11+1,1))-AVERAGE(OFFSET($H$3,0,0,'Données projet'!$E$11+1,1))</f>
        <v>403.50418598112844</v>
      </c>
      <c r="BJ60" s="62">
        <f t="shared" si="38"/>
        <v>254.25036207346591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0</v>
      </c>
      <c r="BQ60" s="23">
        <f>EXP(-LN(2)/25)*BQ59+(1-EXP(-LN(2)/25))/(LN(2)/25)*Calculateur!BL60*Calculateur!BN60*VLOOKUP('Données projet'!$B$11,Paramètres!$A$1:$I$89,3,0)*0.475*44/12</f>
        <v>0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0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8.4</v>
      </c>
      <c r="BY60" s="13">
        <f>IF('Données projet'!$A$114&gt;35,BY59+BX60-CG59,IF(A60&lt;'Données projet'!$A$114,$BV$205^A60,IF(A60='Données projet'!$A$114,'Données projet'!$B$114,BY59+BX60-CG59)))</f>
        <v>171.79999999999993</v>
      </c>
      <c r="BZ60" s="14">
        <f>BY60*VLOOKUP('Données projet'!$B$12,Paramètres!$A$1:$I$89,3,0)*VLOOKUP('Données projet'!$B$12,Paramètres!$A$1:$I$89,5,0)</f>
        <v>147.40439999999995</v>
      </c>
      <c r="CA60" s="14">
        <f t="shared" si="39"/>
        <v>37.988128303043979</v>
      </c>
      <c r="CB60" s="22">
        <f t="shared" si="10"/>
        <v>322.89198679446821</v>
      </c>
      <c r="CC60" s="62">
        <f t="shared" si="11"/>
        <v>616.22532012780152</v>
      </c>
      <c r="CD60" s="62">
        <f ca="1">AVERAGE(OFFSET($CC$3,0,0,'Données projet'!$E$12+1,1))-AVERAGE(OFFSET($H$3,0,0,'Données projet'!$E$12+1,1))</f>
        <v>347.72886258008998</v>
      </c>
      <c r="CE60" s="62">
        <f t="shared" si="40"/>
        <v>176.81257896138806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0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0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3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13.444444444444445</v>
      </c>
      <c r="N61" s="14">
        <f>IF('Données projet'!$A$36&gt;35,N60+M61-V60,IF(A61&lt;'Données projet'!$A$36,$K$205^A61,IF(A61='Données projet'!$A$36,'Données projet'!$B$36,N60+M61-V60)))</f>
        <v>273.11111111111114</v>
      </c>
      <c r="O61" s="14">
        <f>N61*VLOOKUP('Données projet'!$B$9,Paramètres!$A$1:$I$89,3,0)*VLOOKUP('Données projet'!$B$9,Paramètres!$A$1:$I$89,5,0)</f>
        <v>127.81600000000002</v>
      </c>
      <c r="P61" s="14">
        <f t="shared" si="33"/>
        <v>33.491204508905589</v>
      </c>
      <c r="Q61" s="22">
        <f t="shared" si="53"/>
        <v>280.94338118634391</v>
      </c>
      <c r="R61" s="62">
        <f t="shared" si="0"/>
        <v>574.27671451967717</v>
      </c>
      <c r="S61" s="62">
        <f ca="1">AVERAGE(OFFSET($R$3,0,0,'Données projet'!$E$9+1,1))-AVERAGE(OFFSET($H$3,0,0,'Données projet'!$E$9+1,1))</f>
        <v>172.45217697899039</v>
      </c>
      <c r="T61" s="62">
        <f t="shared" si="34"/>
        <v>223.74038909289629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8.8266874035956704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9.4689568678193244E-4</v>
      </c>
      <c r="AC61" s="24">
        <f t="shared" si="3"/>
        <v>8.8276342992824528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7.6</v>
      </c>
      <c r="AI61" s="14">
        <f>IF('Données projet'!$A$62&gt;35,AI60+AH61-AQ60,IF(A61&lt;'Données projet'!$A$62,$AF$205^A61,IF(A61='Données projet'!$A$62,'Données projet'!$B$62,AI60+AH61-AQ60)))</f>
        <v>198.79999999999998</v>
      </c>
      <c r="AJ61" s="14">
        <f>AI61*VLOOKUP('Données projet'!$B$10,Paramètres!$A$1:$I$89,3,0)*VLOOKUP('Données projet'!$B$10,Paramètres!$A$1:$I$89,5,0)</f>
        <v>179.87423999999999</v>
      </c>
      <c r="AK61" s="14">
        <f t="shared" si="35"/>
        <v>45.294205745553846</v>
      </c>
      <c r="AL61" s="22">
        <f t="shared" si="4"/>
        <v>392.16837634017293</v>
      </c>
      <c r="AM61" s="62">
        <f t="shared" si="5"/>
        <v>685.50170967350618</v>
      </c>
      <c r="AN61" s="62">
        <f ca="1">AVERAGE(OFFSET($AM$3,0,0,'Données projet'!$E$10+1,1))-AVERAGE(OFFSET($H$3,0,0,'Données projet'!$E$10+1,1))</f>
        <v>364.3481978218424</v>
      </c>
      <c r="AO61" s="62">
        <f t="shared" si="36"/>
        <v>231.36959598460686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201.58320000000001</v>
      </c>
      <c r="BF61" s="14">
        <f t="shared" si="37"/>
        <v>50.091947337331924</v>
      </c>
      <c r="BG61" s="22">
        <f t="shared" si="7"/>
        <v>438.33421494585309</v>
      </c>
      <c r="BH61" s="62">
        <f t="shared" si="8"/>
        <v>731.66754827918635</v>
      </c>
      <c r="BI61" s="62">
        <f ca="1">AVERAGE(OFFSET($BH$3,0,0,'Données projet'!$E$11+1,1))-AVERAGE(OFFSET($H$3,0,0,'Données projet'!$E$11+1,1))</f>
        <v>403.50418598112844</v>
      </c>
      <c r="BJ61" s="62">
        <f t="shared" si="38"/>
        <v>254.25036207346591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0</v>
      </c>
      <c r="BQ61" s="23">
        <f>EXP(-LN(2)/25)*BQ60+(1-EXP(-LN(2)/25))/(LN(2)/25)*Calculateur!BL61*Calculateur!BN61*VLOOKUP('Données projet'!$B$11,Paramètres!$A$1:$I$89,3,0)*0.475*44/12</f>
        <v>0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0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8.4</v>
      </c>
      <c r="BY61" s="13">
        <f>IF('Données projet'!$A$114&gt;35,BY60+BX61-CG60,IF(A61&lt;'Données projet'!$A$114,$BV$205^A61,IF(A61='Données projet'!$A$114,'Données projet'!$B$114,BY60+BX61-CG60)))</f>
        <v>180.19999999999993</v>
      </c>
      <c r="BZ61" s="14">
        <f>BY61*VLOOKUP('Données projet'!$B$12,Paramètres!$A$1:$I$89,3,0)*VLOOKUP('Données projet'!$B$12,Paramètres!$A$1:$I$89,5,0)</f>
        <v>154.61159999999995</v>
      </c>
      <c r="CA61" s="14">
        <f t="shared" si="39"/>
        <v>39.624734188365849</v>
      </c>
      <c r="CB61" s="22">
        <f t="shared" si="10"/>
        <v>338.29494871140372</v>
      </c>
      <c r="CC61" s="62">
        <f t="shared" si="11"/>
        <v>631.62828204473703</v>
      </c>
      <c r="CD61" s="62">
        <f ca="1">AVERAGE(OFFSET($CC$3,0,0,'Données projet'!$E$12+1,1))-AVERAGE(OFFSET($H$3,0,0,'Données projet'!$E$12+1,1))</f>
        <v>347.72886258008998</v>
      </c>
      <c r="CE61" s="62">
        <f t="shared" si="40"/>
        <v>176.81257896138806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0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0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3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13.444444444444445</v>
      </c>
      <c r="N62" s="14">
        <f>IF('Données projet'!$A$36&gt;35,N61+M62-V61,IF(A62&lt;'Données projet'!$A$36,$K$205^A62,IF(A62='Données projet'!$A$36,'Données projet'!$B$36,N61+M62-V61)))</f>
        <v>286.5555555555556</v>
      </c>
      <c r="O62" s="14">
        <f>N62*VLOOKUP('Données projet'!$B$9,Paramètres!$A$1:$I$89,3,0)*VLOOKUP('Données projet'!$B$9,Paramètres!$A$1:$I$89,5,0)</f>
        <v>134.10800000000003</v>
      </c>
      <c r="P62" s="14">
        <f t="shared" si="33"/>
        <v>34.943871948095122</v>
      </c>
      <c r="Q62" s="22">
        <f t="shared" si="53"/>
        <v>294.43201030959904</v>
      </c>
      <c r="R62" s="62">
        <f t="shared" si="0"/>
        <v>587.76534364293229</v>
      </c>
      <c r="S62" s="62">
        <f ca="1">AVERAGE(OFFSET($R$3,0,0,'Données projet'!$E$9+1,1))-AVERAGE(OFFSET($H$3,0,0,'Données projet'!$E$9+1,1))</f>
        <v>172.45217697899039</v>
      </c>
      <c r="T62" s="62">
        <f t="shared" si="34"/>
        <v>223.74038909289629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8.6536014473588754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6.6955636119979758E-4</v>
      </c>
      <c r="AC62" s="24">
        <f t="shared" si="3"/>
        <v>8.6542710037200745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7.6</v>
      </c>
      <c r="AI62" s="14">
        <f>IF('Données projet'!$A$62&gt;35,AI61+AH62-AQ61,IF(A62&lt;'Données projet'!$A$62,$AF$205^A62,IF(A62='Données projet'!$A$62,'Données projet'!$B$62,AI61+AH62-AQ61)))</f>
        <v>206.39999999999998</v>
      </c>
      <c r="AJ62" s="14">
        <f>AI62*VLOOKUP('Données projet'!$B$10,Paramètres!$A$1:$I$89,3,0)*VLOOKUP('Données projet'!$B$10,Paramètres!$A$1:$I$89,5,0)</f>
        <v>186.75071999999997</v>
      </c>
      <c r="AK62" s="14">
        <f t="shared" si="35"/>
        <v>46.820863587839391</v>
      </c>
      <c r="AL62" s="22">
        <f t="shared" si="4"/>
        <v>406.80384141548689</v>
      </c>
      <c r="AM62" s="62">
        <f t="shared" si="5"/>
        <v>700.13717474882014</v>
      </c>
      <c r="AN62" s="62">
        <f ca="1">AVERAGE(OFFSET($AM$3,0,0,'Données projet'!$E$10+1,1))-AVERAGE(OFFSET($H$3,0,0,'Données projet'!$E$10+1,1))</f>
        <v>364.3481978218424</v>
      </c>
      <c r="AO62" s="62">
        <f t="shared" si="36"/>
        <v>231.36959598460686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209.28960000000001</v>
      </c>
      <c r="BF62" s="14">
        <f t="shared" si="37"/>
        <v>51.780314822292169</v>
      </c>
      <c r="BG62" s="22">
        <f t="shared" si="7"/>
        <v>454.69676831549214</v>
      </c>
      <c r="BH62" s="62">
        <f t="shared" si="8"/>
        <v>748.03010164882539</v>
      </c>
      <c r="BI62" s="62">
        <f ca="1">AVERAGE(OFFSET($BH$3,0,0,'Données projet'!$E$11+1,1))-AVERAGE(OFFSET($H$3,0,0,'Données projet'!$E$11+1,1))</f>
        <v>403.50418598112844</v>
      </c>
      <c r="BJ62" s="62">
        <f t="shared" si="38"/>
        <v>254.25036207346591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0</v>
      </c>
      <c r="BQ62" s="23">
        <f>EXP(-LN(2)/25)*BQ61+(1-EXP(-LN(2)/25))/(LN(2)/25)*Calculateur!BL62*Calculateur!BN62*VLOOKUP('Données projet'!$B$11,Paramètres!$A$1:$I$89,3,0)*0.475*44/12</f>
        <v>0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0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8.4</v>
      </c>
      <c r="BY62" s="13">
        <f>IF('Données projet'!$A$114&gt;35,BY61+BX62-CG61,IF(A62&lt;'Données projet'!$A$114,$BV$205^A62,IF(A62='Données projet'!$A$114,'Données projet'!$B$114,BY61+BX62-CG61)))</f>
        <v>188.59999999999994</v>
      </c>
      <c r="BZ62" s="14">
        <f>BY62*VLOOKUP('Données projet'!$B$12,Paramètres!$A$1:$I$89,3,0)*VLOOKUP('Données projet'!$B$12,Paramètres!$A$1:$I$89,5,0)</f>
        <v>161.81879999999995</v>
      </c>
      <c r="CA62" s="14">
        <f t="shared" si="39"/>
        <v>41.252480557795202</v>
      </c>
      <c r="CB62" s="22">
        <f t="shared" si="10"/>
        <v>353.68248030482658</v>
      </c>
      <c r="CC62" s="62">
        <f t="shared" si="11"/>
        <v>647.0158136381599</v>
      </c>
      <c r="CD62" s="62">
        <f ca="1">AVERAGE(OFFSET($CC$3,0,0,'Données projet'!$E$12+1,1))-AVERAGE(OFFSET($H$3,0,0,'Données projet'!$E$12+1,1))</f>
        <v>347.72886258008998</v>
      </c>
      <c r="CE62" s="62">
        <f t="shared" si="40"/>
        <v>176.81257896138806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0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0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3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300</v>
      </c>
      <c r="L63" s="13">
        <f>VLOOKUP(A63,'Données projet'!$A$35:$I$55,9,0)</f>
        <v>13.444444444444445</v>
      </c>
      <c r="M63" s="13">
        <f t="array" ref="M63">INDEX(L:L,MIN(IF(ISNUMBER(L63:L259),ROW(L63:L259),"")))</f>
        <v>13.444444444444445</v>
      </c>
      <c r="N63" s="14">
        <f>IF('Données projet'!$A$36&gt;35,N62+M63-V62,IF(A63&lt;'Données projet'!$A$36,$K$205^A63,IF(A63='Données projet'!$A$36,'Données projet'!$B$36,N62+M63-V62)))</f>
        <v>300.00000000000006</v>
      </c>
      <c r="O63" s="14">
        <f>N63*VLOOKUP('Données projet'!$B$9,Paramètres!$A$1:$I$89,3,0)*VLOOKUP('Données projet'!$B$9,Paramètres!$A$1:$I$89,5,0)</f>
        <v>140.40000000000003</v>
      </c>
      <c r="P63" s="14">
        <f t="shared" si="33"/>
        <v>36.388624656711201</v>
      </c>
      <c r="Q63" s="22">
        <f t="shared" si="53"/>
        <v>307.90685461043876</v>
      </c>
      <c r="R63" s="62">
        <f t="shared" si="0"/>
        <v>601.24018794377207</v>
      </c>
      <c r="S63" s="62">
        <f ca="1">AVERAGE(OFFSET($R$3,0,0,'Données projet'!$E$9+1,1))-AVERAGE(OFFSET($H$3,0,0,'Données projet'!$E$9+1,1))</f>
        <v>172.45217697899039</v>
      </c>
      <c r="T63" s="62">
        <f t="shared" si="34"/>
        <v>223.74038909289629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300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8.4839096011518738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4.7344784339096627E-4</v>
      </c>
      <c r="AC63" s="24">
        <f t="shared" si="3"/>
        <v>8.4843830489952641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214</v>
      </c>
      <c r="AG63" s="13">
        <f>VLOOKUP(A63,'Données projet'!$A$61:$I$81,9,0)</f>
        <v>7.6</v>
      </c>
      <c r="AH63" s="13">
        <f t="array" ref="AH63">INDEX(AG:AG,MIN(IF(ISNUMBER(AG63:AG259),ROW(AG63:AG259),"")))</f>
        <v>7.6</v>
      </c>
      <c r="AI63" s="14">
        <f>IF('Données projet'!$A$62&gt;35,AI62+AH63-AQ62,IF(A63&lt;'Données projet'!$A$62,$AF$205^A63,IF(A63='Données projet'!$A$62,'Données projet'!$B$62,AI62+AH63-AQ62)))</f>
        <v>213.99999999999997</v>
      </c>
      <c r="AJ63" s="14">
        <f>AI63*VLOOKUP('Données projet'!$B$10,Paramètres!$A$1:$I$89,3,0)*VLOOKUP('Données projet'!$B$10,Paramètres!$A$1:$I$89,5,0)</f>
        <v>193.62719999999996</v>
      </c>
      <c r="AK63" s="14">
        <f t="shared" si="35"/>
        <v>48.340990547231193</v>
      </c>
      <c r="AL63" s="22">
        <f t="shared" si="4"/>
        <v>421.42793186976087</v>
      </c>
      <c r="AM63" s="62">
        <f t="shared" si="5"/>
        <v>714.76126520309413</v>
      </c>
      <c r="AN63" s="62">
        <f ca="1">AVERAGE(OFFSET($AM$3,0,0,'Données projet'!$E$10+1,1))-AVERAGE(OFFSET($H$3,0,0,'Données projet'!$E$10+1,1))</f>
        <v>364.3481978218424</v>
      </c>
      <c r="AO63" s="62">
        <f t="shared" si="36"/>
        <v>231.36959598460686</v>
      </c>
      <c r="AP63" s="16">
        <f>IF(ISNA(VLOOKUP(A63,'Données projet'!$A$61:$I$81,3,0)),0,VLOOKUP(A63,'Données projet'!$A$61:$I$81,3,0))</f>
        <v>9</v>
      </c>
      <c r="AQ63" s="16">
        <f>IF(ISNA(VLOOKUP(A63,'Données projet'!$A$61:$I$81,4,0)),0,VLOOKUP(A63,'Données projet'!$A$61:$I$81,4,0))</f>
        <v>21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216.99600000000001</v>
      </c>
      <c r="BF63" s="14">
        <f t="shared" si="37"/>
        <v>53.461459647386917</v>
      </c>
      <c r="BG63" s="22">
        <f t="shared" si="7"/>
        <v>471.04674221919896</v>
      </c>
      <c r="BH63" s="62">
        <f t="shared" si="8"/>
        <v>764.38007555253228</v>
      </c>
      <c r="BI63" s="62">
        <f ca="1">AVERAGE(OFFSET($BH$3,0,0,'Données projet'!$E$11+1,1))-AVERAGE(OFFSET($H$3,0,0,'Données projet'!$E$11+1,1))</f>
        <v>403.50418598112844</v>
      </c>
      <c r="BJ63" s="62">
        <f t="shared" si="38"/>
        <v>254.25036207346591</v>
      </c>
      <c r="BK63" s="16">
        <f>IF(ISNA(VLOOKUP(A63,'Données projet'!$A$87:$I$107,3,0)),0,VLOOKUP(A63,'Données projet'!$A$87:$I$107,3,0))</f>
        <v>9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0</v>
      </c>
      <c r="BQ63" s="23">
        <f>EXP(-LN(2)/25)*BQ62+(1-EXP(-LN(2)/25))/(LN(2)/25)*Calculateur!BL63*Calculateur!BN63*VLOOKUP('Données projet'!$B$11,Paramètres!$A$1:$I$89,3,0)*0.475*44/12</f>
        <v>0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0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197</v>
      </c>
      <c r="BW63" s="13">
        <f>VLOOKUP(A63,'Données projet'!$A$113:$I$133,9,0)</f>
        <v>8.4</v>
      </c>
      <c r="BX63" s="13">
        <f t="array" ref="BX63">INDEX(BW:BW,MIN(IF(ISNUMBER(BW63:BW259),ROW(BW63:BW259),"")))</f>
        <v>8.4</v>
      </c>
      <c r="BY63" s="13">
        <f>IF('Données projet'!$A$114&gt;35,BY62+BX63-CG62,IF(A63&lt;'Données projet'!$A$114,$BV$205^A63,IF(A63='Données projet'!$A$114,'Données projet'!$B$114,BY62+BX63-CG62)))</f>
        <v>196.99999999999994</v>
      </c>
      <c r="BZ63" s="14">
        <f>BY63*VLOOKUP('Données projet'!$B$12,Paramètres!$A$1:$I$89,3,0)*VLOOKUP('Données projet'!$B$12,Paramètres!$A$1:$I$89,5,0)</f>
        <v>169.02599999999998</v>
      </c>
      <c r="CA63" s="14">
        <f t="shared" si="39"/>
        <v>42.871807090122402</v>
      </c>
      <c r="CB63" s="22">
        <f t="shared" si="10"/>
        <v>369.05534734862982</v>
      </c>
      <c r="CC63" s="62">
        <f t="shared" si="11"/>
        <v>662.38868068196314</v>
      </c>
      <c r="CD63" s="62">
        <f ca="1">AVERAGE(OFFSET($CC$3,0,0,'Données projet'!$E$12+1,1))-AVERAGE(OFFSET($H$3,0,0,'Données projet'!$E$12+1,1))</f>
        <v>347.72886258008998</v>
      </c>
      <c r="CE63" s="62">
        <f t="shared" si="40"/>
        <v>176.81257896138806</v>
      </c>
      <c r="CF63" s="16">
        <f>IF(ISNA(VLOOKUP(A63,'Données projet'!$A$113:$I$133,3,0)),0,VLOOKUP(A63,'Données projet'!$A$113:$I$133,3,0))</f>
        <v>8</v>
      </c>
      <c r="CG63" s="16">
        <f>IF(ISNA(VLOOKUP(A63,'Données projet'!$A$113:$I$133,4,0)),0,VLOOKUP(A63,'Données projet'!$A$113:$I$133,4,0))</f>
        <v>21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0</v>
      </c>
      <c r="CL63" s="23">
        <f>EXP(-LN(2)/25)*CL62+(1-EXP(-LN(2)/25))/(LN(2)/25)*Calculateur!CG63*Calculateur!CI63*VLOOKUP('Données projet'!$B$12,Paramètres!$A$1:$I$89,3,0)*0.475*44/12</f>
        <v>0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0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3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5.6843418860808015E-14</v>
      </c>
      <c r="O64" s="14">
        <f>N64*VLOOKUP('Données projet'!$B$9,Paramètres!$A$1:$I$89,3,0)*VLOOKUP('Données projet'!$B$9,Paramètres!$A$1:$I$89,5,0)</f>
        <v>2.6602720026858149E-14</v>
      </c>
      <c r="P64" s="14">
        <f t="shared" si="33"/>
        <v>4.6624771586320878E-13</v>
      </c>
      <c r="Q64" s="22">
        <f t="shared" si="53"/>
        <v>8.583811758418665E-13</v>
      </c>
      <c r="R64" s="62">
        <f t="shared" si="0"/>
        <v>293.33333333333417</v>
      </c>
      <c r="S64" s="62">
        <f ca="1">AVERAGE(OFFSET($R$3,0,0,'Données projet'!$E$9+1,1))-AVERAGE(OFFSET($H$3,0,0,'Données projet'!$E$9+1,1))</f>
        <v>172.45217697899039</v>
      </c>
      <c r="T64" s="62">
        <f t="shared" si="34"/>
        <v>223.74038909289629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8.3175453085471851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3.3477818059989884E-4</v>
      </c>
      <c r="AC64" s="24">
        <f t="shared" si="3"/>
        <v>8.3178800867277847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7.2</v>
      </c>
      <c r="AI64" s="14">
        <f>IF('Données projet'!$A$62&gt;35,AI63+AH64-AQ63,IF(A64&lt;'Données projet'!$A$62,$AF$205^A64,IF(A64='Données projet'!$A$62,'Données projet'!$B$62,AI63+AH64-AQ63)))</f>
        <v>200.19999999999996</v>
      </c>
      <c r="AJ64" s="14">
        <f>AI64*VLOOKUP('Données projet'!$B$10,Paramètres!$A$1:$I$89,3,0)*VLOOKUP('Données projet'!$B$10,Paramètres!$A$1:$I$89,5,0)</f>
        <v>181.14095999999995</v>
      </c>
      <c r="AK64" s="14">
        <f t="shared" si="35"/>
        <v>45.575935320610945</v>
      </c>
      <c r="AL64" s="22">
        <f t="shared" si="4"/>
        <v>394.86525935006392</v>
      </c>
      <c r="AM64" s="62">
        <f t="shared" si="5"/>
        <v>688.19859268339724</v>
      </c>
      <c r="AN64" s="62">
        <f ca="1">AVERAGE(OFFSET($AM$3,0,0,'Données projet'!$E$10+1,1))-AVERAGE(OFFSET($H$3,0,0,'Données projet'!$E$10+1,1))</f>
        <v>364.3481978218424</v>
      </c>
      <c r="AO64" s="62">
        <f t="shared" si="36"/>
        <v>231.36959598460686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2">
        <f t="shared" si="8"/>
        <v>734.68267195239741</v>
      </c>
      <c r="BI64" s="62">
        <f ca="1">AVERAGE(OFFSET($BH$3,0,0,'Données projet'!$E$11+1,1))-AVERAGE(OFFSET($H$3,0,0,'Données projet'!$E$11+1,1))</f>
        <v>403.50418598112844</v>
      </c>
      <c r="BJ64" s="62">
        <f t="shared" si="38"/>
        <v>254.25036207346591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0</v>
      </c>
      <c r="BQ64" s="23">
        <f>EXP(-LN(2)/25)*BQ63+(1-EXP(-LN(2)/25))/(LN(2)/25)*Calculateur!BL64*Calculateur!BN64*VLOOKUP('Données projet'!$B$11,Paramètres!$A$1:$I$89,3,0)*0.475*44/12</f>
        <v>0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0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8.1999999999999993</v>
      </c>
      <c r="BY64" s="13">
        <f>IF('Données projet'!$A$114&gt;35,BY63+BX64-CG63,IF(A64&lt;'Données projet'!$A$114,$BV$205^A64,IF(A64='Données projet'!$A$114,'Données projet'!$B$114,BY63+BX64-CG63)))</f>
        <v>184.19999999999993</v>
      </c>
      <c r="BZ64" s="14">
        <f>BY64*VLOOKUP('Données projet'!$B$12,Paramètres!$A$1:$I$89,3,0)*VLOOKUP('Données projet'!$B$12,Paramètres!$A$1:$I$89,5,0)</f>
        <v>158.04359999999997</v>
      </c>
      <c r="CA64" s="14">
        <f t="shared" si="39"/>
        <v>40.400928460855198</v>
      </c>
      <c r="CB64" s="22">
        <f t="shared" si="10"/>
        <v>345.62422040265614</v>
      </c>
      <c r="CC64" s="62">
        <f t="shared" si="11"/>
        <v>638.95755373598945</v>
      </c>
      <c r="CD64" s="62">
        <f ca="1">AVERAGE(OFFSET($CC$3,0,0,'Données projet'!$E$12+1,1))-AVERAGE(OFFSET($H$3,0,0,'Données projet'!$E$12+1,1))</f>
        <v>347.72886258008998</v>
      </c>
      <c r="CE64" s="62">
        <f t="shared" si="40"/>
        <v>176.81257896138806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0</v>
      </c>
      <c r="CL64" s="23">
        <f>EXP(-LN(2)/25)*CL63+(1-EXP(-LN(2)/25))/(LN(2)/25)*Calculateur!CG64*Calculateur!CI64*VLOOKUP('Données projet'!$B$12,Paramètres!$A$1:$I$89,3,0)*0.475*44/12</f>
        <v>0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0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3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5.6843418860808015E-14</v>
      </c>
      <c r="O65" s="14">
        <f>N65*VLOOKUP('Données projet'!$B$9,Paramètres!$A$1:$I$89,3,0)*VLOOKUP('Données projet'!$B$9,Paramètres!$A$1:$I$89,5,0)</f>
        <v>2.6602720026858149E-14</v>
      </c>
      <c r="P65" s="14">
        <f t="shared" si="33"/>
        <v>4.6624771586320878E-13</v>
      </c>
      <c r="Q65" s="22">
        <f t="shared" si="53"/>
        <v>8.583811758418665E-13</v>
      </c>
      <c r="R65" s="62">
        <f t="shared" si="0"/>
        <v>293.33333333333417</v>
      </c>
      <c r="S65" s="62">
        <f ca="1">AVERAGE(OFFSET($R$3,0,0,'Données projet'!$E$9+1,1))-AVERAGE(OFFSET($H$3,0,0,'Données projet'!$E$9+1,1))</f>
        <v>172.45217697899039</v>
      </c>
      <c r="T65" s="62">
        <f t="shared" si="34"/>
        <v>223.74038909289629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8.1544433182482763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2.3672392169548319E-4</v>
      </c>
      <c r="AC65" s="24">
        <f t="shared" si="3"/>
        <v>8.1546800421699714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7.2</v>
      </c>
      <c r="AI65" s="14">
        <f>IF('Données projet'!$A$62&gt;35,AI64+AH65-AQ64,IF(A65&lt;'Données projet'!$A$62,$AF$205^A65,IF(A65='Données projet'!$A$62,'Données projet'!$B$62,AI64+AH65-AQ64)))</f>
        <v>207.39999999999995</v>
      </c>
      <c r="AJ65" s="14">
        <f>AI65*VLOOKUP('Données projet'!$B$10,Paramètres!$A$1:$I$89,3,0)*VLOOKUP('Données projet'!$B$10,Paramètres!$A$1:$I$89,5,0)</f>
        <v>187.65551999999994</v>
      </c>
      <c r="AK65" s="14">
        <f t="shared" si="35"/>
        <v>47.021247649900147</v>
      </c>
      <c r="AL65" s="22">
        <f t="shared" si="4"/>
        <v>408.72870365690932</v>
      </c>
      <c r="AM65" s="62">
        <f t="shared" si="5"/>
        <v>702.06203699024263</v>
      </c>
      <c r="AN65" s="62">
        <f ca="1">AVERAGE(OFFSET($AM$3,0,0,'Données projet'!$E$10+1,1))-AVERAGE(OFFSET($H$3,0,0,'Données projet'!$E$10+1,1))</f>
        <v>364.3481978218424</v>
      </c>
      <c r="AO65" s="62">
        <f t="shared" si="36"/>
        <v>231.36959598460686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2">
        <f t="shared" si="8"/>
        <v>750.18212158935489</v>
      </c>
      <c r="BI65" s="62">
        <f ca="1">AVERAGE(OFFSET($BH$3,0,0,'Données projet'!$E$11+1,1))-AVERAGE(OFFSET($H$3,0,0,'Données projet'!$E$11+1,1))</f>
        <v>403.50418598112844</v>
      </c>
      <c r="BJ65" s="62">
        <f t="shared" si="38"/>
        <v>254.25036207346591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0</v>
      </c>
      <c r="BQ65" s="23">
        <f>EXP(-LN(2)/25)*BQ64+(1-EXP(-LN(2)/25))/(LN(2)/25)*Calculateur!BL65*Calculateur!BN65*VLOOKUP('Données projet'!$B$11,Paramètres!$A$1:$I$89,3,0)*0.475*44/12</f>
        <v>0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0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8.1999999999999993</v>
      </c>
      <c r="BY65" s="13">
        <f>IF('Données projet'!$A$114&gt;35,BY64+BX65-CG64,IF(A65&lt;'Données projet'!$A$114,$BV$205^A65,IF(A65='Données projet'!$A$114,'Données projet'!$B$114,BY64+BX65-CG64)))</f>
        <v>192.39999999999992</v>
      </c>
      <c r="BZ65" s="14">
        <f>BY65*VLOOKUP('Données projet'!$B$12,Paramètres!$A$1:$I$89,3,0)*VLOOKUP('Données projet'!$B$12,Paramètres!$A$1:$I$89,5,0)</f>
        <v>165.07919999999996</v>
      </c>
      <c r="CA65" s="14">
        <f t="shared" si="39"/>
        <v>41.986051122111817</v>
      </c>
      <c r="CB65" s="22">
        <f t="shared" si="10"/>
        <v>360.6386457043447</v>
      </c>
      <c r="CC65" s="62">
        <f t="shared" si="11"/>
        <v>653.97197903767801</v>
      </c>
      <c r="CD65" s="62">
        <f ca="1">AVERAGE(OFFSET($CC$3,0,0,'Données projet'!$E$12+1,1))-AVERAGE(OFFSET($H$3,0,0,'Données projet'!$E$12+1,1))</f>
        <v>347.72886258008998</v>
      </c>
      <c r="CE65" s="62">
        <f t="shared" si="40"/>
        <v>176.81257896138806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0</v>
      </c>
      <c r="CL65" s="23">
        <f>EXP(-LN(2)/25)*CL64+(1-EXP(-LN(2)/25))/(LN(2)/25)*Calculateur!CG65*Calculateur!CI65*VLOOKUP('Données projet'!$B$12,Paramètres!$A$1:$I$89,3,0)*0.475*44/12</f>
        <v>0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0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3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5.6843418860808015E-14</v>
      </c>
      <c r="O66" s="14">
        <f>N66*VLOOKUP('Données projet'!$B$9,Paramètres!$A$1:$I$89,3,0)*VLOOKUP('Données projet'!$B$9,Paramètres!$A$1:$I$89,5,0)</f>
        <v>2.6602720026858149E-14</v>
      </c>
      <c r="P66" s="14">
        <f t="shared" si="33"/>
        <v>4.6624771586320878E-13</v>
      </c>
      <c r="Q66" s="22">
        <f t="shared" si="53"/>
        <v>8.583811758418665E-13</v>
      </c>
      <c r="R66" s="62">
        <f t="shared" si="0"/>
        <v>293.33333333333417</v>
      </c>
      <c r="S66" s="62">
        <f ca="1">AVERAGE(OFFSET($R$3,0,0,'Données projet'!$E$9+1,1))-AVERAGE(OFFSET($H$3,0,0,'Données projet'!$E$9+1,1))</f>
        <v>172.45217697899039</v>
      </c>
      <c r="T66" s="62">
        <f t="shared" si="34"/>
        <v>223.74038909289629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7.9945396584967376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1.6738909029994945E-4</v>
      </c>
      <c r="AC66" s="24">
        <f t="shared" si="3"/>
        <v>7.9947070475870374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7.2</v>
      </c>
      <c r="AI66" s="14">
        <f>IF('Données projet'!$A$62&gt;35,AI65+AH66-AQ65,IF(A66&lt;'Données projet'!$A$62,$AF$205^A66,IF(A66='Données projet'!$A$62,'Données projet'!$B$62,AI65+AH66-AQ65)))</f>
        <v>214.59999999999994</v>
      </c>
      <c r="AJ66" s="14">
        <f>AI66*VLOOKUP('Données projet'!$B$10,Paramètres!$A$1:$I$89,3,0)*VLOOKUP('Données projet'!$B$10,Paramètres!$A$1:$I$89,5,0)</f>
        <v>194.17007999999996</v>
      </c>
      <c r="AK66" s="14">
        <f t="shared" si="35"/>
        <v>48.460730182351035</v>
      </c>
      <c r="AL66" s="22">
        <f t="shared" si="4"/>
        <v>422.5819944009279</v>
      </c>
      <c r="AM66" s="62">
        <f t="shared" si="5"/>
        <v>715.91532773426115</v>
      </c>
      <c r="AN66" s="62">
        <f ca="1">AVERAGE(OFFSET($AM$3,0,0,'Données projet'!$E$10+1,1))-AVERAGE(OFFSET($H$3,0,0,'Données projet'!$E$10+1,1))</f>
        <v>364.3481978218424</v>
      </c>
      <c r="AO66" s="62">
        <f t="shared" si="36"/>
        <v>231.36959598460686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2">
        <f t="shared" si="8"/>
        <v>765.67034215791341</v>
      </c>
      <c r="BI66" s="62">
        <f ca="1">AVERAGE(OFFSET($BH$3,0,0,'Données projet'!$E$11+1,1))-AVERAGE(OFFSET($H$3,0,0,'Données projet'!$E$11+1,1))</f>
        <v>403.50418598112844</v>
      </c>
      <c r="BJ66" s="62">
        <f t="shared" si="38"/>
        <v>254.25036207346591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0</v>
      </c>
      <c r="BQ66" s="23">
        <f>EXP(-LN(2)/25)*BQ65+(1-EXP(-LN(2)/25))/(LN(2)/25)*Calculateur!BL66*Calculateur!BN66*VLOOKUP('Données projet'!$B$11,Paramètres!$A$1:$I$89,3,0)*0.475*44/12</f>
        <v>0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0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8.1999999999999993</v>
      </c>
      <c r="BY66" s="13">
        <f>IF('Données projet'!$A$114&gt;35,BY65+BX66-CG65,IF(A66&lt;'Données projet'!$A$114,$BV$205^A66,IF(A66='Données projet'!$A$114,'Données projet'!$B$114,BY65+BX66-CG65)))</f>
        <v>200.59999999999991</v>
      </c>
      <c r="BZ66" s="14">
        <f>BY66*VLOOKUP('Données projet'!$B$12,Paramètres!$A$1:$I$89,3,0)*VLOOKUP('Données projet'!$B$12,Paramètres!$A$1:$I$89,5,0)</f>
        <v>172.11479999999995</v>
      </c>
      <c r="CA66" s="14">
        <f t="shared" si="39"/>
        <v>43.563327089597564</v>
      </c>
      <c r="CB66" s="22">
        <f t="shared" si="10"/>
        <v>375.63940468104903</v>
      </c>
      <c r="CC66" s="62">
        <f t="shared" si="11"/>
        <v>668.97273801438234</v>
      </c>
      <c r="CD66" s="62">
        <f ca="1">AVERAGE(OFFSET($CC$3,0,0,'Données projet'!$E$12+1,1))-AVERAGE(OFFSET($H$3,0,0,'Données projet'!$E$12+1,1))</f>
        <v>347.72886258008998</v>
      </c>
      <c r="CE66" s="62">
        <f t="shared" si="40"/>
        <v>176.81257896138806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0</v>
      </c>
      <c r="CL66" s="23">
        <f>EXP(-LN(2)/25)*CL65+(1-EXP(-LN(2)/25))/(LN(2)/25)*Calculateur!CG66*Calculateur!CI66*VLOOKUP('Données projet'!$B$12,Paramètres!$A$1:$I$89,3,0)*0.475*44/12</f>
        <v>0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0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3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5.6843418860808015E-14</v>
      </c>
      <c r="O67" s="14">
        <f>N67*VLOOKUP('Données projet'!$B$9,Paramètres!$A$1:$I$89,3,0)*VLOOKUP('Données projet'!$B$9,Paramètres!$A$1:$I$89,5,0)</f>
        <v>2.6602720026858149E-14</v>
      </c>
      <c r="P67" s="14">
        <f t="shared" si="33"/>
        <v>4.6624771586320878E-13</v>
      </c>
      <c r="Q67" s="22">
        <f t="shared" ref="Q67:Q98" si="54">(O67+P67)*0.475*44/12</f>
        <v>8.583811758418665E-13</v>
      </c>
      <c r="R67" s="62">
        <f t="shared" ref="R67:R130" si="55">Q67+(I67+J67)*44/12</f>
        <v>293.33333333333417</v>
      </c>
      <c r="S67" s="62">
        <f ca="1">AVERAGE(OFFSET($R$3,0,0,'Données projet'!$E$9+1,1))-AVERAGE(OFFSET($H$3,0,0,'Données projet'!$E$9+1,1))</f>
        <v>172.45217697899039</v>
      </c>
      <c r="T67" s="62">
        <f t="shared" si="34"/>
        <v>223.74038909289629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7.8377716119813243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1.1836196084774161E-4</v>
      </c>
      <c r="AC67" s="24">
        <f t="shared" si="3"/>
        <v>7.8378899739421719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7.2</v>
      </c>
      <c r="AI67" s="14">
        <f>IF('Données projet'!$A$62&gt;35,AI66+AH67-AQ66,IF(A67&lt;'Données projet'!$A$62,$AF$205^A67,IF(A67='Données projet'!$A$62,'Données projet'!$B$62,AI66+AH67-AQ66)))</f>
        <v>221.79999999999993</v>
      </c>
      <c r="AJ67" s="14">
        <f>AI67*VLOOKUP('Données projet'!$B$10,Paramètres!$A$1:$I$89,3,0)*VLOOKUP('Données projet'!$B$10,Paramètres!$A$1:$I$89,5,0)</f>
        <v>200.68463999999992</v>
      </c>
      <c r="AK67" s="14">
        <f t="shared" si="35"/>
        <v>49.894600936700193</v>
      </c>
      <c r="AL67" s="22">
        <f t="shared" si="4"/>
        <v>436.42551129808606</v>
      </c>
      <c r="AM67" s="62">
        <f t="shared" si="5"/>
        <v>729.75884463141938</v>
      </c>
      <c r="AN67" s="62">
        <f ca="1">AVERAGE(OFFSET($AM$3,0,0,'Données projet'!$E$10+1,1))-AVERAGE(OFFSET($H$3,0,0,'Données projet'!$E$10+1,1))</f>
        <v>364.3481978218424</v>
      </c>
      <c r="AO67" s="62">
        <f t="shared" si="36"/>
        <v>231.36959598460686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2">
        <f t="shared" si="8"/>
        <v>781.14775359505757</v>
      </c>
      <c r="BI67" s="62">
        <f ca="1">AVERAGE(OFFSET($BH$3,0,0,'Données projet'!$E$11+1,1))-AVERAGE(OFFSET($H$3,0,0,'Données projet'!$E$11+1,1))</f>
        <v>403.50418598112844</v>
      </c>
      <c r="BJ67" s="62">
        <f t="shared" si="38"/>
        <v>254.25036207346591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0</v>
      </c>
      <c r="BQ67" s="23">
        <f>EXP(-LN(2)/25)*BQ66+(1-EXP(-LN(2)/25))/(LN(2)/25)*Calculateur!BL67*Calculateur!BN67*VLOOKUP('Données projet'!$B$11,Paramètres!$A$1:$I$89,3,0)*0.475*44/12</f>
        <v>0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0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8.1999999999999993</v>
      </c>
      <c r="BY67" s="13">
        <f>IF('Données projet'!$A$114&gt;35,BY66+BX67-CG66,IF(A67&lt;'Données projet'!$A$114,$BV$205^A67,IF(A67='Données projet'!$A$114,'Données projet'!$B$114,BY66+BX67-CG66)))</f>
        <v>208.7999999999999</v>
      </c>
      <c r="BZ67" s="14">
        <f>BY67*VLOOKUP('Données projet'!$B$12,Paramètres!$A$1:$I$89,3,0)*VLOOKUP('Données projet'!$B$12,Paramètres!$A$1:$I$89,5,0)</f>
        <v>179.15039999999993</v>
      </c>
      <c r="CA67" s="14">
        <f t="shared" si="39"/>
        <v>45.133113803437304</v>
      </c>
      <c r="CB67" s="22">
        <f t="shared" si="10"/>
        <v>390.62711987431982</v>
      </c>
      <c r="CC67" s="62">
        <f t="shared" si="11"/>
        <v>683.96045320765313</v>
      </c>
      <c r="CD67" s="62">
        <f ca="1">AVERAGE(OFFSET($CC$3,0,0,'Données projet'!$E$12+1,1))-AVERAGE(OFFSET($H$3,0,0,'Données projet'!$E$12+1,1))</f>
        <v>347.72886258008998</v>
      </c>
      <c r="CE67" s="62">
        <f t="shared" si="40"/>
        <v>176.81257896138806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0</v>
      </c>
      <c r="CL67" s="23">
        <f>EXP(-LN(2)/25)*CL66+(1-EXP(-LN(2)/25))/(LN(2)/25)*Calculateur!CG67*Calculateur!CI67*VLOOKUP('Données projet'!$B$12,Paramètres!$A$1:$I$89,3,0)*0.475*44/12</f>
        <v>0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0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3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5.6843418860808015E-14</v>
      </c>
      <c r="O68" s="14">
        <f>N68*VLOOKUP('Données projet'!$B$9,Paramètres!$A$1:$I$89,3,0)*VLOOKUP('Données projet'!$B$9,Paramètres!$A$1:$I$89,5,0)</f>
        <v>2.6602720026858149E-14</v>
      </c>
      <c r="P68" s="14">
        <f t="shared" si="33"/>
        <v>4.6624771586320878E-13</v>
      </c>
      <c r="Q68" s="22">
        <f t="shared" si="54"/>
        <v>8.583811758418665E-13</v>
      </c>
      <c r="R68" s="62">
        <f t="shared" si="55"/>
        <v>293.33333333333417</v>
      </c>
      <c r="S68" s="62">
        <f ca="1">AVERAGE(OFFSET($R$3,0,0,'Données projet'!$E$9+1,1))-AVERAGE(OFFSET($H$3,0,0,'Données projet'!$E$9+1,1))</f>
        <v>172.45217697899039</v>
      </c>
      <c r="T68" s="62">
        <f t="shared" si="34"/>
        <v>223.74038909289629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7.6840776912390121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8.3694545149974738E-5</v>
      </c>
      <c r="AC68" s="24">
        <f t="shared" ref="AC68:AC131" si="57">SUM(Z68:AB68)</f>
        <v>7.6841613857841624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229</v>
      </c>
      <c r="AG68" s="13">
        <f>VLOOKUP(A68,'Données projet'!$A$61:$I$81,9,0)</f>
        <v>7.2</v>
      </c>
      <c r="AH68" s="13">
        <f t="array" ref="AH68">INDEX(AG:AG,MIN(IF(ISNUMBER(AG68:AG264),ROW(AG68:AG264),"")))</f>
        <v>7.2</v>
      </c>
      <c r="AI68" s="14">
        <f>IF('Données projet'!$A$62&gt;35,AI67+AH68-AQ67,IF(A68&lt;'Données projet'!$A$62,$AF$205^A68,IF(A68='Données projet'!$A$62,'Données projet'!$B$62,AI67+AH68-AQ67)))</f>
        <v>228.99999999999991</v>
      </c>
      <c r="AJ68" s="14">
        <f>AI68*VLOOKUP('Données projet'!$B$10,Paramètres!$A$1:$I$89,3,0)*VLOOKUP('Données projet'!$B$10,Paramètres!$A$1:$I$89,5,0)</f>
        <v>207.19919999999991</v>
      </c>
      <c r="AK68" s="14">
        <f t="shared" si="35"/>
        <v>51.3230629736655</v>
      </c>
      <c r="AL68" s="22">
        <f t="shared" ref="AL68:AL131" si="58">(AJ68+AK68)*0.475*44/12</f>
        <v>450.25960801246725</v>
      </c>
      <c r="AM68" s="62">
        <f t="shared" ref="AM68:AM131" si="59">AL68+(AD68+AE68)*44/12</f>
        <v>743.59294134580057</v>
      </c>
      <c r="AN68" s="62">
        <f ca="1">AVERAGE(OFFSET($AM$3,0,0,'Données projet'!$E$10+1,1))-AVERAGE(OFFSET($H$3,0,0,'Données projet'!$E$10+1,1))</f>
        <v>364.3481978218424</v>
      </c>
      <c r="AO68" s="62">
        <f t="shared" si="36"/>
        <v>231.36959598460686</v>
      </c>
      <c r="AP68" s="16">
        <f>IF(ISNA(VLOOKUP(A68,'Données projet'!$A$61:$I$81,3,0)),0,VLOOKUP(A68,'Données projet'!$A$61:$I$81,3,0))</f>
        <v>10</v>
      </c>
      <c r="AQ68" s="16">
        <f>IF(ISNA(VLOOKUP(A68,'Données projet'!$A$61:$I$81,4,0)),0,VLOOKUP(A68,'Données projet'!$A$61:$I$81,4,0))</f>
        <v>21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2">
        <f t="shared" ref="BH68:BH131" si="62">BG68+(AY68+AZ68)*44/12</f>
        <v>796.61474702637031</v>
      </c>
      <c r="BI68" s="62">
        <f ca="1">AVERAGE(OFFSET($BH$3,0,0,'Données projet'!$E$11+1,1))-AVERAGE(OFFSET($H$3,0,0,'Données projet'!$E$11+1,1))</f>
        <v>403.50418598112844</v>
      </c>
      <c r="BJ68" s="62">
        <f t="shared" si="38"/>
        <v>254.25036207346591</v>
      </c>
      <c r="BK68" s="16">
        <f>IF(ISNA(VLOOKUP(A68,'Données projet'!$A$87:$I$107,3,0)),0,VLOOKUP(A68,'Données projet'!$A$87:$I$107,3,0))</f>
        <v>10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0</v>
      </c>
      <c r="BQ68" s="23">
        <f>EXP(-LN(2)/25)*BQ67+(1-EXP(-LN(2)/25))/(LN(2)/25)*Calculateur!BL68*Calculateur!BN68*VLOOKUP('Données projet'!$B$11,Paramètres!$A$1:$I$89,3,0)*0.475*44/12</f>
        <v>0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0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>
        <f>VLOOKUP(A68,'Données projet'!$A$113:$I$133,2,0)</f>
        <v>217</v>
      </c>
      <c r="BW68" s="13">
        <f>VLOOKUP(A68,'Données projet'!$A$113:$I$133,9,0)</f>
        <v>8.1999999999999993</v>
      </c>
      <c r="BX68" s="13">
        <f t="array" ref="BX68">INDEX(BW:BW,MIN(IF(ISNUMBER(BW68:BW264),ROW(BW68:BW264),"")))</f>
        <v>8.1999999999999993</v>
      </c>
      <c r="BY68" s="13">
        <f>IF('Données projet'!$A$114&gt;35,BY67+BX68-CG67,IF(A68&lt;'Données projet'!$A$114,$BV$205^A68,IF(A68='Données projet'!$A$114,'Données projet'!$B$114,BY67+BX68-CG67)))</f>
        <v>216.99999999999989</v>
      </c>
      <c r="BZ68" s="14">
        <f>BY68*VLOOKUP('Données projet'!$B$12,Paramètres!$A$1:$I$89,3,0)*VLOOKUP('Données projet'!$B$12,Paramètres!$A$1:$I$89,5,0)</f>
        <v>186.18599999999992</v>
      </c>
      <c r="CA68" s="14">
        <f t="shared" si="39"/>
        <v>46.695739039470418</v>
      </c>
      <c r="CB68" s="22">
        <f t="shared" ref="CB68:CB131" si="64">(BZ68+CA68)*0.475*44/12</f>
        <v>405.60236216041085</v>
      </c>
      <c r="CC68" s="62">
        <f t="shared" ref="CC68:CC131" si="65">CB68+(BT68+BU68)*44/12</f>
        <v>698.93569549374411</v>
      </c>
      <c r="CD68" s="62">
        <f ca="1">AVERAGE(OFFSET($CC$3,0,0,'Données projet'!$E$12+1,1))-AVERAGE(OFFSET($H$3,0,0,'Données projet'!$E$12+1,1))</f>
        <v>347.72886258008998</v>
      </c>
      <c r="CE68" s="62">
        <f t="shared" si="40"/>
        <v>176.81257896138806</v>
      </c>
      <c r="CF68" s="16">
        <f>IF(ISNA(VLOOKUP(A68,'Données projet'!$A$113:$I$133,3,0)),0,VLOOKUP(A68,'Données projet'!$A$113:$I$133,3,0))</f>
        <v>9</v>
      </c>
      <c r="CG68" s="16">
        <f>IF(ISNA(VLOOKUP(A68,'Données projet'!$A$113:$I$133,4,0)),0,VLOOKUP(A68,'Données projet'!$A$113:$I$133,4,0))</f>
        <v>21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0</v>
      </c>
      <c r="CL68" s="23">
        <f>EXP(-LN(2)/25)*CL67+(1-EXP(-LN(2)/25))/(LN(2)/25)*Calculateur!CG68*Calculateur!CI68*VLOOKUP('Données projet'!$B$12,Paramètres!$A$1:$I$89,3,0)*0.475*44/12</f>
        <v>0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0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3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5.6843418860808015E-14</v>
      </c>
      <c r="O69" s="14">
        <f>N69*VLOOKUP('Données projet'!$B$9,Paramètres!$A$1:$I$89,3,0)*VLOOKUP('Données projet'!$B$9,Paramètres!$A$1:$I$89,5,0)</f>
        <v>2.6602720026858149E-14</v>
      </c>
      <c r="P69" s="14">
        <f t="shared" ref="P69:P132" si="87">EXP(-1.0587+0.8836*LN(O69)+0.284)</f>
        <v>4.6624771586320878E-13</v>
      </c>
      <c r="Q69" s="22">
        <f t="shared" si="54"/>
        <v>8.583811758418665E-13</v>
      </c>
      <c r="R69" s="62">
        <f t="shared" si="55"/>
        <v>293.33333333333417</v>
      </c>
      <c r="S69" s="62">
        <f ca="1">AVERAGE(OFFSET($R$3,0,0,'Données projet'!$E$9+1,1))-AVERAGE(OFFSET($H$3,0,0,'Données projet'!$E$9+1,1))</f>
        <v>172.45217697899039</v>
      </c>
      <c r="T69" s="62">
        <f t="shared" ref="T69:T132" si="88">$T$3</f>
        <v>223.74038909289629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7.5333976145384209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5.9180980423870811E-5</v>
      </c>
      <c r="AC69" s="24">
        <f t="shared" si="57"/>
        <v>7.5334567955188447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6.8</v>
      </c>
      <c r="AI69" s="14">
        <f>IF('Données projet'!$A$62&gt;35,AI68+AH69-AQ68,IF(A69&lt;'Données projet'!$A$62,$AF$205^A69,IF(A69='Données projet'!$A$62,'Données projet'!$B$62,AI68+AH69-AQ68)))</f>
        <v>214.79999999999993</v>
      </c>
      <c r="AJ69" s="14">
        <f>AI69*VLOOKUP('Données projet'!$B$10,Paramètres!$A$1:$I$89,3,0)*VLOOKUP('Données projet'!$B$10,Paramètres!$A$1:$I$89,5,0)</f>
        <v>194.35103999999993</v>
      </c>
      <c r="AK69" s="14">
        <f t="shared" ref="AK69:AK132" si="89">EXP(-1.0587+0.8836*LN(AJ69)+0.284)</f>
        <v>48.500634729810159</v>
      </c>
      <c r="AL69" s="22">
        <f t="shared" si="58"/>
        <v>422.96666682108594</v>
      </c>
      <c r="AM69" s="62">
        <f t="shared" si="59"/>
        <v>716.30000015441919</v>
      </c>
      <c r="AN69" s="62">
        <f ca="1">AVERAGE(OFFSET($AM$3,0,0,'Données projet'!$E$10+1,1))-AVERAGE(OFFSET($H$3,0,0,'Données projet'!$E$10+1,1))</f>
        <v>364.3481978218424</v>
      </c>
      <c r="AO69" s="62">
        <f t="shared" ref="AO69:AO132" si="90">$AO$3</f>
        <v>231.36959598460686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projet'!$B$11,Paramètres!$A$1:$I$89,3,0)*VLOOKUP('Données projet'!$B$11,Paramètres!$A$1:$I$89,5,0)</f>
        <v>217.80719999999994</v>
      </c>
      <c r="BF69" s="14">
        <f t="shared" ref="BF69:BF132" si="91">EXP(-1.0587+0.8836*LN(BE69)+0.284)</f>
        <v>53.638013973813976</v>
      </c>
      <c r="BG69" s="22">
        <f t="shared" si="61"/>
        <v>472.76708100439259</v>
      </c>
      <c r="BH69" s="62">
        <f t="shared" si="62"/>
        <v>766.10041433772585</v>
      </c>
      <c r="BI69" s="62">
        <f ca="1">AVERAGE(OFFSET($BH$3,0,0,'Données projet'!$E$11+1,1))-AVERAGE(OFFSET($H$3,0,0,'Données projet'!$E$11+1,1))</f>
        <v>403.50418598112844</v>
      </c>
      <c r="BJ69" s="62">
        <f t="shared" ref="BJ69:BJ132" si="92">$BJ$3</f>
        <v>254.25036207346591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0</v>
      </c>
      <c r="BQ69" s="23">
        <f>EXP(-LN(2)/25)*BQ68+(1-EXP(-LN(2)/25))/(LN(2)/25)*Calculateur!BL69*Calculateur!BN69*VLOOKUP('Données projet'!$B$11,Paramètres!$A$1:$I$89,3,0)*0.475*44/12</f>
        <v>0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0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8.1999999999999993</v>
      </c>
      <c r="BY69" s="13">
        <f>IF('Données projet'!$A$114&gt;35,BY68+BX69-CG68,IF(A69&lt;'Données projet'!$A$114,$BV$205^A69,IF(A69='Données projet'!$A$114,'Données projet'!$B$114,BY68+BX69-CG68)))</f>
        <v>204.19999999999987</v>
      </c>
      <c r="BZ69" s="14">
        <f>BY69*VLOOKUP('Données projet'!$B$12,Paramètres!$A$1:$I$89,3,0)*VLOOKUP('Données projet'!$B$12,Paramètres!$A$1:$I$89,5,0)</f>
        <v>175.20359999999991</v>
      </c>
      <c r="CA69" s="14">
        <f t="shared" ref="CA69:CA132" si="93">EXP(-1.0587+0.8836*LN(BZ69)+0.284)</f>
        <v>44.253403975818124</v>
      </c>
      <c r="CB69" s="22">
        <f t="shared" si="64"/>
        <v>382.22094859121631</v>
      </c>
      <c r="CC69" s="62">
        <f t="shared" si="65"/>
        <v>675.55428192454963</v>
      </c>
      <c r="CD69" s="62">
        <f ca="1">AVERAGE(OFFSET($CC$3,0,0,'Données projet'!$E$12+1,1))-AVERAGE(OFFSET($H$3,0,0,'Données projet'!$E$12+1,1))</f>
        <v>347.72886258008998</v>
      </c>
      <c r="CE69" s="62">
        <f t="shared" ref="CE69:CE132" si="94">$CE$3</f>
        <v>176.81257896138806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0</v>
      </c>
      <c r="CL69" s="23">
        <f>EXP(-LN(2)/25)*CL68+(1-EXP(-LN(2)/25))/(LN(2)/25)*Calculateur!CG69*Calculateur!CI69*VLOOKUP('Données projet'!$B$12,Paramètres!$A$1:$I$89,3,0)*0.475*44/12</f>
        <v>0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0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3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5.6843418860808015E-14</v>
      </c>
      <c r="O70" s="14">
        <f>N70*VLOOKUP('Données projet'!$B$9,Paramètres!$A$1:$I$89,3,0)*VLOOKUP('Données projet'!$B$9,Paramètres!$A$1:$I$89,5,0)</f>
        <v>2.6602720026858149E-14</v>
      </c>
      <c r="P70" s="14">
        <f t="shared" si="87"/>
        <v>4.6624771586320878E-13</v>
      </c>
      <c r="Q70" s="22">
        <f t="shared" si="54"/>
        <v>8.583811758418665E-13</v>
      </c>
      <c r="R70" s="62">
        <f t="shared" si="55"/>
        <v>293.33333333333417</v>
      </c>
      <c r="S70" s="62">
        <f ca="1">AVERAGE(OFFSET($R$3,0,0,'Données projet'!$E$9+1,1))-AVERAGE(OFFSET($H$3,0,0,'Données projet'!$E$9+1,1))</f>
        <v>172.45217697899039</v>
      </c>
      <c r="T70" s="62">
        <f t="shared" si="88"/>
        <v>223.74038909289629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7.3856722822361567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4.1847272574987376E-5</v>
      </c>
      <c r="AC70" s="24">
        <f t="shared" si="57"/>
        <v>7.3857141295087319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6.8</v>
      </c>
      <c r="AI70" s="14">
        <f>IF('Données projet'!$A$62&gt;35,AI69+AH70-AQ69,IF(A70&lt;'Données projet'!$A$62,$AF$205^A70,IF(A70='Données projet'!$A$62,'Données projet'!$B$62,AI69+AH70-AQ69)))</f>
        <v>221.59999999999994</v>
      </c>
      <c r="AJ70" s="14">
        <f>AI70*VLOOKUP('Données projet'!$B$10,Paramètres!$A$1:$I$89,3,0)*VLOOKUP('Données projet'!$B$10,Paramètres!$A$1:$I$89,5,0)</f>
        <v>200.50367999999995</v>
      </c>
      <c r="AK70" s="14">
        <f t="shared" si="89"/>
        <v>49.854845135229887</v>
      </c>
      <c r="AL70" s="22">
        <f t="shared" si="58"/>
        <v>436.04109794385857</v>
      </c>
      <c r="AM70" s="62">
        <f t="shared" si="59"/>
        <v>729.37443127719189</v>
      </c>
      <c r="AN70" s="62">
        <f ca="1">AVERAGE(OFFSET($AM$3,0,0,'Données projet'!$E$10+1,1))-AVERAGE(OFFSET($H$3,0,0,'Données projet'!$E$10+1,1))</f>
        <v>364.3481978218424</v>
      </c>
      <c r="AO70" s="62">
        <f t="shared" si="90"/>
        <v>231.36959598460686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projet'!$B$11,Paramètres!$A$1:$I$89,3,0)*VLOOKUP('Données projet'!$B$11,Paramètres!$A$1:$I$89,5,0)</f>
        <v>224.70239999999995</v>
      </c>
      <c r="BF70" s="14">
        <f t="shared" si="91"/>
        <v>55.135667706678262</v>
      </c>
      <c r="BG70" s="22">
        <f t="shared" si="61"/>
        <v>487.38463458913128</v>
      </c>
      <c r="BH70" s="62">
        <f t="shared" si="62"/>
        <v>780.7179679224646</v>
      </c>
      <c r="BI70" s="62">
        <f ca="1">AVERAGE(OFFSET($BH$3,0,0,'Données projet'!$E$11+1,1))-AVERAGE(OFFSET($H$3,0,0,'Données projet'!$E$11+1,1))</f>
        <v>403.50418598112844</v>
      </c>
      <c r="BJ70" s="62">
        <f t="shared" si="92"/>
        <v>254.25036207346591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0</v>
      </c>
      <c r="BQ70" s="23">
        <f>EXP(-LN(2)/25)*BQ69+(1-EXP(-LN(2)/25))/(LN(2)/25)*Calculateur!BL70*Calculateur!BN70*VLOOKUP('Données projet'!$B$11,Paramètres!$A$1:$I$89,3,0)*0.475*44/12</f>
        <v>0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0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8.1999999999999993</v>
      </c>
      <c r="BY70" s="13">
        <f>IF('Données projet'!$A$114&gt;35,BY69+BX70-CG69,IF(A70&lt;'Données projet'!$A$114,$BV$205^A70,IF(A70='Données projet'!$A$114,'Données projet'!$B$114,BY69+BX70-CG69)))</f>
        <v>212.39999999999986</v>
      </c>
      <c r="BZ70" s="14">
        <f>BY70*VLOOKUP('Données projet'!$B$12,Paramètres!$A$1:$I$89,3,0)*VLOOKUP('Données projet'!$B$12,Paramètres!$A$1:$I$89,5,0)</f>
        <v>182.2391999999999</v>
      </c>
      <c r="CA70" s="14">
        <f t="shared" si="93"/>
        <v>45.820007883742726</v>
      </c>
      <c r="CB70" s="22">
        <f t="shared" si="64"/>
        <v>397.20312039751838</v>
      </c>
      <c r="CC70" s="62">
        <f t="shared" si="65"/>
        <v>690.53645373085169</v>
      </c>
      <c r="CD70" s="62">
        <f ca="1">AVERAGE(OFFSET($CC$3,0,0,'Données projet'!$E$12+1,1))-AVERAGE(OFFSET($H$3,0,0,'Données projet'!$E$12+1,1))</f>
        <v>347.72886258008998</v>
      </c>
      <c r="CE70" s="62">
        <f t="shared" si="94"/>
        <v>176.81257896138806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0</v>
      </c>
      <c r="CL70" s="23">
        <f>EXP(-LN(2)/25)*CL69+(1-EXP(-LN(2)/25))/(LN(2)/25)*Calculateur!CG70*Calculateur!CI70*VLOOKUP('Données projet'!$B$12,Paramètres!$A$1:$I$89,3,0)*0.475*44/12</f>
        <v>0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0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3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5.6843418860808015E-14</v>
      </c>
      <c r="O71" s="14">
        <f>N71*VLOOKUP('Données projet'!$B$9,Paramètres!$A$1:$I$89,3,0)*VLOOKUP('Données projet'!$B$9,Paramètres!$A$1:$I$89,5,0)</f>
        <v>2.6602720026858149E-14</v>
      </c>
      <c r="P71" s="14">
        <f t="shared" si="87"/>
        <v>4.6624771586320878E-13</v>
      </c>
      <c r="Q71" s="22">
        <f t="shared" si="54"/>
        <v>8.583811758418665E-13</v>
      </c>
      <c r="R71" s="62">
        <f t="shared" si="55"/>
        <v>293.33333333333417</v>
      </c>
      <c r="S71" s="62">
        <f ca="1">AVERAGE(OFFSET($R$3,0,0,'Données projet'!$E$9+1,1))-AVERAGE(OFFSET($H$3,0,0,'Données projet'!$E$9+1,1))</f>
        <v>172.45217697899039</v>
      </c>
      <c r="T71" s="62">
        <f t="shared" si="88"/>
        <v>223.74038909289629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7.240843753596784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2.9590490211935412E-5</v>
      </c>
      <c r="AC71" s="24">
        <f t="shared" si="57"/>
        <v>7.2408733440869959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6.8</v>
      </c>
      <c r="AI71" s="14">
        <f>IF('Données projet'!$A$62&gt;35,AI70+AH71-AQ70,IF(A71&lt;'Données projet'!$A$62,$AF$205^A71,IF(A71='Données projet'!$A$62,'Données projet'!$B$62,AI70+AH71-AQ70)))</f>
        <v>228.39999999999995</v>
      </c>
      <c r="AJ71" s="14">
        <f>AI71*VLOOKUP('Données projet'!$B$10,Paramètres!$A$1:$I$89,3,0)*VLOOKUP('Données projet'!$B$10,Paramètres!$A$1:$I$89,5,0)</f>
        <v>206.65631999999994</v>
      </c>
      <c r="AK71" s="14">
        <f t="shared" si="89"/>
        <v>51.20422634371338</v>
      </c>
      <c r="AL71" s="22">
        <f t="shared" si="58"/>
        <v>449.10711821530072</v>
      </c>
      <c r="AM71" s="62">
        <f t="shared" si="59"/>
        <v>742.44045154863397</v>
      </c>
      <c r="AN71" s="62">
        <f ca="1">AVERAGE(OFFSET($AM$3,0,0,'Données projet'!$E$10+1,1))-AVERAGE(OFFSET($H$3,0,0,'Données projet'!$E$10+1,1))</f>
        <v>364.3481978218424</v>
      </c>
      <c r="AO71" s="62">
        <f t="shared" si="90"/>
        <v>231.36959598460686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projet'!$B$11,Paramètres!$A$1:$I$89,3,0)*VLOOKUP('Données projet'!$B$11,Paramètres!$A$1:$I$89,5,0)</f>
        <v>231.59759999999997</v>
      </c>
      <c r="BF71" s="14">
        <f t="shared" si="91"/>
        <v>56.627980714948151</v>
      </c>
      <c r="BG71" s="22">
        <f t="shared" si="61"/>
        <v>501.99288641186791</v>
      </c>
      <c r="BH71" s="62">
        <f t="shared" si="62"/>
        <v>795.32621974520123</v>
      </c>
      <c r="BI71" s="62">
        <f ca="1">AVERAGE(OFFSET($BH$3,0,0,'Données projet'!$E$11+1,1))-AVERAGE(OFFSET($H$3,0,0,'Données projet'!$E$11+1,1))</f>
        <v>403.50418598112844</v>
      </c>
      <c r="BJ71" s="62">
        <f t="shared" si="92"/>
        <v>254.25036207346591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0</v>
      </c>
      <c r="BQ71" s="23">
        <f>EXP(-LN(2)/25)*BQ70+(1-EXP(-LN(2)/25))/(LN(2)/25)*Calculateur!BL71*Calculateur!BN71*VLOOKUP('Données projet'!$B$11,Paramètres!$A$1:$I$89,3,0)*0.475*44/12</f>
        <v>0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0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8.1999999999999993</v>
      </c>
      <c r="BY71" s="13">
        <f>IF('Données projet'!$A$114&gt;35,BY70+BX71-CG70,IF(A71&lt;'Données projet'!$A$114,$BV$205^A71,IF(A71='Données projet'!$A$114,'Données projet'!$B$114,BY70+BX71-CG70)))</f>
        <v>220.59999999999985</v>
      </c>
      <c r="BZ71" s="14">
        <f>BY71*VLOOKUP('Données projet'!$B$12,Paramètres!$A$1:$I$89,3,0)*VLOOKUP('Données projet'!$B$12,Paramètres!$A$1:$I$89,5,0)</f>
        <v>189.27479999999989</v>
      </c>
      <c r="CA71" s="14">
        <f t="shared" si="93"/>
        <v>47.3795857610261</v>
      </c>
      <c r="CB71" s="22">
        <f t="shared" si="64"/>
        <v>412.17305520045358</v>
      </c>
      <c r="CC71" s="62">
        <f t="shared" si="65"/>
        <v>705.50638853378689</v>
      </c>
      <c r="CD71" s="62">
        <f ca="1">AVERAGE(OFFSET($CC$3,0,0,'Données projet'!$E$12+1,1))-AVERAGE(OFFSET($H$3,0,0,'Données projet'!$E$12+1,1))</f>
        <v>347.72886258008998</v>
      </c>
      <c r="CE71" s="62">
        <f t="shared" si="94"/>
        <v>176.81257896138806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0</v>
      </c>
      <c r="CL71" s="23">
        <f>EXP(-LN(2)/25)*CL70+(1-EXP(-LN(2)/25))/(LN(2)/25)*Calculateur!CG71*Calculateur!CI71*VLOOKUP('Données projet'!$B$12,Paramètres!$A$1:$I$89,3,0)*0.475*44/12</f>
        <v>0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0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3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5.6843418860808015E-14</v>
      </c>
      <c r="O72" s="14">
        <f>N72*VLOOKUP('Données projet'!$B$9,Paramètres!$A$1:$I$89,3,0)*VLOOKUP('Données projet'!$B$9,Paramètres!$A$1:$I$89,5,0)</f>
        <v>2.6602720026858149E-14</v>
      </c>
      <c r="P72" s="14">
        <f t="shared" si="87"/>
        <v>4.6624771586320878E-13</v>
      </c>
      <c r="Q72" s="22">
        <f t="shared" si="54"/>
        <v>8.583811758418665E-13</v>
      </c>
      <c r="R72" s="62">
        <f t="shared" si="55"/>
        <v>293.33333333333417</v>
      </c>
      <c r="S72" s="62">
        <f ca="1">AVERAGE(OFFSET($R$3,0,0,'Données projet'!$E$9+1,1))-AVERAGE(OFFSET($H$3,0,0,'Données projet'!$E$9+1,1))</f>
        <v>172.45217697899039</v>
      </c>
      <c r="T72" s="62">
        <f t="shared" si="88"/>
        <v>223.74038909289629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7.0988552240673499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2.0923636287493691E-5</v>
      </c>
      <c r="AC72" s="24">
        <f t="shared" si="57"/>
        <v>7.0988761477036375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6.8</v>
      </c>
      <c r="AI72" s="14">
        <f>IF('Données projet'!$A$62&gt;35,AI71+AH72-AQ71,IF(A72&lt;'Données projet'!$A$62,$AF$205^A72,IF(A72='Données projet'!$A$62,'Données projet'!$B$62,AI71+AH72-AQ71)))</f>
        <v>235.19999999999996</v>
      </c>
      <c r="AJ72" s="14">
        <f>AI72*VLOOKUP('Données projet'!$B$10,Paramètres!$A$1:$I$89,3,0)*VLOOKUP('Données projet'!$B$10,Paramètres!$A$1:$I$89,5,0)</f>
        <v>212.80895999999996</v>
      </c>
      <c r="AK72" s="14">
        <f t="shared" si="89"/>
        <v>52.548938637485847</v>
      </c>
      <c r="AL72" s="22">
        <f t="shared" si="58"/>
        <v>462.16500679362099</v>
      </c>
      <c r="AM72" s="62">
        <f t="shared" si="59"/>
        <v>755.4983401269543</v>
      </c>
      <c r="AN72" s="62">
        <f ca="1">AVERAGE(OFFSET($AM$3,0,0,'Données projet'!$E$10+1,1))-AVERAGE(OFFSET($H$3,0,0,'Données projet'!$E$10+1,1))</f>
        <v>364.3481978218424</v>
      </c>
      <c r="AO72" s="62">
        <f t="shared" si="90"/>
        <v>231.36959598460686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projet'!$B$11,Paramètres!$A$1:$I$89,3,0)*VLOOKUP('Données projet'!$B$11,Paramètres!$A$1:$I$89,5,0)</f>
        <v>238.49279999999996</v>
      </c>
      <c r="BF72" s="14">
        <f t="shared" si="91"/>
        <v>58.115130258576542</v>
      </c>
      <c r="BG72" s="22">
        <f t="shared" si="61"/>
        <v>516.59214520035414</v>
      </c>
      <c r="BH72" s="62">
        <f t="shared" si="62"/>
        <v>809.92547853368751</v>
      </c>
      <c r="BI72" s="62">
        <f ca="1">AVERAGE(OFFSET($BH$3,0,0,'Données projet'!$E$11+1,1))-AVERAGE(OFFSET($H$3,0,0,'Données projet'!$E$11+1,1))</f>
        <v>403.50418598112844</v>
      </c>
      <c r="BJ72" s="62">
        <f t="shared" si="92"/>
        <v>254.25036207346591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0</v>
      </c>
      <c r="BQ72" s="23">
        <f>EXP(-LN(2)/25)*BQ71+(1-EXP(-LN(2)/25))/(LN(2)/25)*Calculateur!BL72*Calculateur!BN72*VLOOKUP('Données projet'!$B$11,Paramètres!$A$1:$I$89,3,0)*0.475*44/12</f>
        <v>0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0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8.1999999999999993</v>
      </c>
      <c r="BY72" s="13">
        <f>IF('Données projet'!$A$114&gt;35,BY71+BX72-CG71,IF(A72&lt;'Données projet'!$A$114,$BV$205^A72,IF(A72='Données projet'!$A$114,'Données projet'!$B$114,BY71+BX72-CG71)))</f>
        <v>228.79999999999984</v>
      </c>
      <c r="BZ72" s="14">
        <f>BY72*VLOOKUP('Données projet'!$B$12,Paramètres!$A$1:$I$89,3,0)*VLOOKUP('Données projet'!$B$12,Paramètres!$A$1:$I$89,5,0)</f>
        <v>196.31039999999987</v>
      </c>
      <c r="CA72" s="14">
        <f t="shared" si="93"/>
        <v>48.932428681108931</v>
      </c>
      <c r="CB72" s="22">
        <f t="shared" si="64"/>
        <v>427.13125995293109</v>
      </c>
      <c r="CC72" s="62">
        <f t="shared" si="65"/>
        <v>720.4645932862644</v>
      </c>
      <c r="CD72" s="62">
        <f ca="1">AVERAGE(OFFSET($CC$3,0,0,'Données projet'!$E$12+1,1))-AVERAGE(OFFSET($H$3,0,0,'Données projet'!$E$12+1,1))</f>
        <v>347.72886258008998</v>
      </c>
      <c r="CE72" s="62">
        <f t="shared" si="94"/>
        <v>176.81257896138806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0</v>
      </c>
      <c r="CL72" s="23">
        <f>EXP(-LN(2)/25)*CL71+(1-EXP(-LN(2)/25))/(LN(2)/25)*Calculateur!CG72*Calculateur!CI72*VLOOKUP('Données projet'!$B$12,Paramètres!$A$1:$I$89,3,0)*0.475*44/12</f>
        <v>0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0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3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5.6843418860808015E-14</v>
      </c>
      <c r="O73" s="14">
        <f>N73*VLOOKUP('Données projet'!$B$9,Paramètres!$A$1:$I$89,3,0)*VLOOKUP('Données projet'!$B$9,Paramètres!$A$1:$I$89,5,0)</f>
        <v>2.6602720026858149E-14</v>
      </c>
      <c r="P73" s="14">
        <f t="shared" si="87"/>
        <v>4.6624771586320878E-13</v>
      </c>
      <c r="Q73" s="22">
        <f t="shared" si="54"/>
        <v>8.583811758418665E-13</v>
      </c>
      <c r="R73" s="62">
        <f t="shared" si="55"/>
        <v>293.33333333333417</v>
      </c>
      <c r="S73" s="62">
        <f ca="1">AVERAGE(OFFSET($R$3,0,0,'Données projet'!$E$9+1,1))-AVERAGE(OFFSET($H$3,0,0,'Données projet'!$E$9+1,1))</f>
        <v>172.45217697899039</v>
      </c>
      <c r="T73" s="62">
        <f t="shared" si="88"/>
        <v>223.74038909289629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6.9596510029975365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1.4795245105967708E-5</v>
      </c>
      <c r="AC73" s="24">
        <f t="shared" si="57"/>
        <v>6.9596657982426429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242</v>
      </c>
      <c r="AG73" s="13">
        <f>VLOOKUP(A73,'Données projet'!$A$61:$I$81,9,0)</f>
        <v>6.8</v>
      </c>
      <c r="AH73" s="13">
        <f t="array" ref="AH73">INDEX(AG:AG,MIN(IF(ISNUMBER(AG73:AG269),ROW(AG73:AG269),"")))</f>
        <v>6.8</v>
      </c>
      <c r="AI73" s="14">
        <f>IF('Données projet'!$A$62&gt;35,AI72+AH73-AQ72,IF(A73&lt;'Données projet'!$A$62,$AF$205^A73,IF(A73='Données projet'!$A$62,'Données projet'!$B$62,AI72+AH73-AQ72)))</f>
        <v>241.99999999999997</v>
      </c>
      <c r="AJ73" s="14">
        <f>AI73*VLOOKUP('Données projet'!$B$10,Paramètres!$A$1:$I$89,3,0)*VLOOKUP('Données projet'!$B$10,Paramètres!$A$1:$I$89,5,0)</f>
        <v>218.96159999999998</v>
      </c>
      <c r="AK73" s="14">
        <f t="shared" si="89"/>
        <v>53.88913250370743</v>
      </c>
      <c r="AL73" s="22">
        <f t="shared" si="58"/>
        <v>475.21502577729035</v>
      </c>
      <c r="AM73" s="62">
        <f t="shared" si="59"/>
        <v>768.54835911062366</v>
      </c>
      <c r="AN73" s="62">
        <f ca="1">AVERAGE(OFFSET($AM$3,0,0,'Données projet'!$E$10+1,1))-AVERAGE(OFFSET($H$3,0,0,'Données projet'!$E$10+1,1))</f>
        <v>364.3481978218424</v>
      </c>
      <c r="AO73" s="62">
        <f t="shared" si="90"/>
        <v>231.36959598460686</v>
      </c>
      <c r="AP73" s="16">
        <f>IF(ISNA(VLOOKUP(A73,'Données projet'!$A$61:$I$81,3,0)),0,VLOOKUP(A73,'Données projet'!$A$61:$I$81,3,0))</f>
        <v>11</v>
      </c>
      <c r="AQ73" s="16">
        <f>IF(ISNA(VLOOKUP(A73,'Données projet'!$A$61:$I$81,4,0)),0,VLOOKUP(A73,'Données projet'!$A$61:$I$81,4,0))</f>
        <v>21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projet'!$B$11,Paramètres!$A$1:$I$89,3,0)*VLOOKUP('Données projet'!$B$11,Paramètres!$A$1:$I$89,5,0)</f>
        <v>245.38799999999998</v>
      </c>
      <c r="BF73" s="14">
        <f t="shared" si="91"/>
        <v>59.597282764919569</v>
      </c>
      <c r="BG73" s="22">
        <f t="shared" si="61"/>
        <v>531.18270081556818</v>
      </c>
      <c r="BH73" s="62">
        <f t="shared" si="62"/>
        <v>824.51603414890155</v>
      </c>
      <c r="BI73" s="62">
        <f ca="1">AVERAGE(OFFSET($BH$3,0,0,'Données projet'!$E$11+1,1))-AVERAGE(OFFSET($H$3,0,0,'Données projet'!$E$11+1,1))</f>
        <v>403.50418598112844</v>
      </c>
      <c r="BJ73" s="62">
        <f t="shared" si="92"/>
        <v>254.25036207346591</v>
      </c>
      <c r="BK73" s="16">
        <f>IF(ISNA(VLOOKUP(A73,'Données projet'!$A$87:$I$107,3,0)),0,VLOOKUP(A73,'Données projet'!$A$87:$I$107,3,0))</f>
        <v>11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0</v>
      </c>
      <c r="BQ73" s="23">
        <f>EXP(-LN(2)/25)*BQ72+(1-EXP(-LN(2)/25))/(LN(2)/25)*Calculateur!BL73*Calculateur!BN73*VLOOKUP('Données projet'!$B$11,Paramètres!$A$1:$I$89,3,0)*0.475*44/12</f>
        <v>0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0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237</v>
      </c>
      <c r="BW73" s="13">
        <f>VLOOKUP(A73,'Données projet'!$A$113:$I$133,9,0)</f>
        <v>8.1999999999999993</v>
      </c>
      <c r="BX73" s="13">
        <f t="array" ref="BX73">INDEX(BW:BW,MIN(IF(ISNUMBER(BW73:BW269),ROW(BW73:BW269),"")))</f>
        <v>8.1999999999999993</v>
      </c>
      <c r="BY73" s="13">
        <f>IF('Données projet'!$A$114&gt;35,BY72+BX73-CG72,IF(A73&lt;'Données projet'!$A$114,$BV$205^A73,IF(A73='Données projet'!$A$114,'Données projet'!$B$114,BY72+BX73-CG72)))</f>
        <v>236.99999999999983</v>
      </c>
      <c r="BZ73" s="14">
        <f>BY73*VLOOKUP('Données projet'!$B$12,Paramètres!$A$1:$I$89,3,0)*VLOOKUP('Données projet'!$B$12,Paramètres!$A$1:$I$89,5,0)</f>
        <v>203.34599999999986</v>
      </c>
      <c r="CA73" s="14">
        <f t="shared" si="93"/>
        <v>50.47880567110942</v>
      </c>
      <c r="CB73" s="22">
        <f t="shared" si="64"/>
        <v>442.07820321051531</v>
      </c>
      <c r="CC73" s="62">
        <f t="shared" si="65"/>
        <v>735.41153654384857</v>
      </c>
      <c r="CD73" s="62">
        <f ca="1">AVERAGE(OFFSET($CC$3,0,0,'Données projet'!$E$12+1,1))-AVERAGE(OFFSET($H$3,0,0,'Données projet'!$E$12+1,1))</f>
        <v>347.72886258008998</v>
      </c>
      <c r="CE73" s="62">
        <f t="shared" si="94"/>
        <v>176.81257896138806</v>
      </c>
      <c r="CF73" s="16">
        <f>IF(ISNA(VLOOKUP(A73,'Données projet'!$A$113:$I$133,3,0)),0,VLOOKUP(A73,'Données projet'!$A$113:$I$133,3,0))</f>
        <v>10</v>
      </c>
      <c r="CG73" s="16">
        <f>IF(ISNA(VLOOKUP(A73,'Données projet'!$A$113:$I$133,4,0)),0,VLOOKUP(A73,'Données projet'!$A$113:$I$133,4,0))</f>
        <v>21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0</v>
      </c>
      <c r="CL73" s="23">
        <f>EXP(-LN(2)/25)*CL72+(1-EXP(-LN(2)/25))/(LN(2)/25)*Calculateur!CG73*Calculateur!CI73*VLOOKUP('Données projet'!$B$12,Paramètres!$A$1:$I$89,3,0)*0.475*44/12</f>
        <v>0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0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3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5.6843418860808015E-14</v>
      </c>
      <c r="O74" s="14">
        <f>N74*VLOOKUP('Données projet'!$B$9,Paramètres!$A$1:$I$89,3,0)*VLOOKUP('Données projet'!$B$9,Paramètres!$A$1:$I$89,5,0)</f>
        <v>2.6602720026858149E-14</v>
      </c>
      <c r="P74" s="14">
        <f t="shared" si="87"/>
        <v>4.6624771586320878E-13</v>
      </c>
      <c r="Q74" s="22">
        <f t="shared" si="54"/>
        <v>8.583811758418665E-13</v>
      </c>
      <c r="R74" s="62">
        <f t="shared" si="55"/>
        <v>293.33333333333417</v>
      </c>
      <c r="S74" s="62">
        <f ca="1">AVERAGE(OFFSET($R$3,0,0,'Données projet'!$E$9+1,1))-AVERAGE(OFFSET($H$3,0,0,'Données projet'!$E$9+1,1))</f>
        <v>172.45217697899039</v>
      </c>
      <c r="T74" s="62">
        <f t="shared" si="88"/>
        <v>223.74038909289629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6.823176491796711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1.0461818143746847E-5</v>
      </c>
      <c r="AC74" s="24">
        <f t="shared" si="57"/>
        <v>6.8231869536148544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6.2</v>
      </c>
      <c r="AI74" s="14">
        <f>IF('Données projet'!$A$62&gt;35,AI73+AH74-AQ73,IF(A74&lt;'Données projet'!$A$62,$AF$205^A74,IF(A74='Données projet'!$A$62,'Données projet'!$B$62,AI73+AH74-AQ73)))</f>
        <v>227.19999999999996</v>
      </c>
      <c r="AJ74" s="14">
        <f>AI74*VLOOKUP('Données projet'!$B$10,Paramètres!$A$1:$I$89,3,0)*VLOOKUP('Données projet'!$B$10,Paramètres!$A$1:$I$89,5,0)</f>
        <v>205.57055999999997</v>
      </c>
      <c r="AK74" s="14">
        <f t="shared" si="89"/>
        <v>50.966443946767392</v>
      </c>
      <c r="AL74" s="22">
        <f t="shared" si="58"/>
        <v>446.80194854061978</v>
      </c>
      <c r="AM74" s="62">
        <f t="shared" si="59"/>
        <v>740.13528187395309</v>
      </c>
      <c r="AN74" s="62">
        <f ca="1">AVERAGE(OFFSET($AM$3,0,0,'Données projet'!$E$10+1,1))-AVERAGE(OFFSET($H$3,0,0,'Données projet'!$E$10+1,1))</f>
        <v>364.3481978218424</v>
      </c>
      <c r="AO74" s="62">
        <f t="shared" si="90"/>
        <v>231.36959598460686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projet'!$B$11,Paramètres!$A$1:$I$89,3,0)*VLOOKUP('Données projet'!$B$11,Paramètres!$A$1:$I$89,5,0)</f>
        <v>230.38079999999997</v>
      </c>
      <c r="BF74" s="14">
        <f t="shared" si="91"/>
        <v>56.365011465139979</v>
      </c>
      <c r="BG74" s="22">
        <f t="shared" si="61"/>
        <v>499.41562163511867</v>
      </c>
      <c r="BH74" s="62">
        <f t="shared" si="62"/>
        <v>792.74895496845193</v>
      </c>
      <c r="BI74" s="62">
        <f ca="1">AVERAGE(OFFSET($BH$3,0,0,'Données projet'!$E$11+1,1))-AVERAGE(OFFSET($H$3,0,0,'Données projet'!$E$11+1,1))</f>
        <v>403.50418598112844</v>
      </c>
      <c r="BJ74" s="62">
        <f t="shared" si="92"/>
        <v>254.25036207346591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0</v>
      </c>
      <c r="BQ74" s="23">
        <f>EXP(-LN(2)/25)*BQ73+(1-EXP(-LN(2)/25))/(LN(2)/25)*Calculateur!BL74*Calculateur!BN74*VLOOKUP('Données projet'!$B$11,Paramètres!$A$1:$I$89,3,0)*0.475*44/12</f>
        <v>0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0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7.6</v>
      </c>
      <c r="BY74" s="13">
        <f>IF('Données projet'!$A$114&gt;35,BY73+BX74-CG73,IF(A74&lt;'Données projet'!$A$114,$BV$205^A74,IF(A74='Données projet'!$A$114,'Données projet'!$B$114,BY73+BX74-CG73)))</f>
        <v>223.59999999999982</v>
      </c>
      <c r="BZ74" s="14">
        <f>BY74*VLOOKUP('Données projet'!$B$12,Paramètres!$A$1:$I$89,3,0)*VLOOKUP('Données projet'!$B$12,Paramètres!$A$1:$I$89,5,0)</f>
        <v>191.84879999999987</v>
      </c>
      <c r="CA74" s="14">
        <f t="shared" si="93"/>
        <v>47.948465637272854</v>
      </c>
      <c r="CB74" s="22">
        <f t="shared" si="64"/>
        <v>417.64690431824994</v>
      </c>
      <c r="CC74" s="62">
        <f t="shared" si="65"/>
        <v>710.98023765158325</v>
      </c>
      <c r="CD74" s="62">
        <f ca="1">AVERAGE(OFFSET($CC$3,0,0,'Données projet'!$E$12+1,1))-AVERAGE(OFFSET($H$3,0,0,'Données projet'!$E$12+1,1))</f>
        <v>347.72886258008998</v>
      </c>
      <c r="CE74" s="62">
        <f t="shared" si="94"/>
        <v>176.81257896138806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0</v>
      </c>
      <c r="CL74" s="23">
        <f>EXP(-LN(2)/25)*CL73+(1-EXP(-LN(2)/25))/(LN(2)/25)*Calculateur!CG74*Calculateur!CI74*VLOOKUP('Données projet'!$B$12,Paramètres!$A$1:$I$89,3,0)*0.475*44/12</f>
        <v>0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0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3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5.6843418860808015E-14</v>
      </c>
      <c r="O75" s="14">
        <f>N75*VLOOKUP('Données projet'!$B$9,Paramètres!$A$1:$I$89,3,0)*VLOOKUP('Données projet'!$B$9,Paramètres!$A$1:$I$89,5,0)</f>
        <v>2.6602720026858149E-14</v>
      </c>
      <c r="P75" s="14">
        <f t="shared" si="87"/>
        <v>4.6624771586320878E-13</v>
      </c>
      <c r="Q75" s="22">
        <f t="shared" si="54"/>
        <v>8.583811758418665E-13</v>
      </c>
      <c r="R75" s="62">
        <f t="shared" si="55"/>
        <v>293.33333333333417</v>
      </c>
      <c r="S75" s="62">
        <f ca="1">AVERAGE(OFFSET($R$3,0,0,'Données projet'!$E$9+1,1))-AVERAGE(OFFSET($H$3,0,0,'Données projet'!$E$9+1,1))</f>
        <v>172.45217697899039</v>
      </c>
      <c r="T75" s="62">
        <f t="shared" si="88"/>
        <v>223.74038909289629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6.6893781625193007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7.3976225529838556E-6</v>
      </c>
      <c r="AC75" s="24">
        <f t="shared" si="57"/>
        <v>6.6893855601418535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6.2</v>
      </c>
      <c r="AI75" s="14">
        <f>IF('Données projet'!$A$62&gt;35,AI74+AH75-AQ74,IF(A75&lt;'Données projet'!$A$62,$AF$205^A75,IF(A75='Données projet'!$A$62,'Données projet'!$B$62,AI74+AH75-AQ74)))</f>
        <v>233.39999999999995</v>
      </c>
      <c r="AJ75" s="14">
        <f>AI75*VLOOKUP('Données projet'!$B$10,Paramètres!$A$1:$I$89,3,0)*VLOOKUP('Données projet'!$B$10,Paramètres!$A$1:$I$89,5,0)</f>
        <v>211.18031999999994</v>
      </c>
      <c r="AK75" s="14">
        <f t="shared" si="89"/>
        <v>52.193431117443019</v>
      </c>
      <c r="AL75" s="22">
        <f t="shared" si="58"/>
        <v>458.70928319621316</v>
      </c>
      <c r="AM75" s="62">
        <f t="shared" si="59"/>
        <v>752.04261652954642</v>
      </c>
      <c r="AN75" s="62">
        <f ca="1">AVERAGE(OFFSET($AM$3,0,0,'Données projet'!$E$10+1,1))-AVERAGE(OFFSET($H$3,0,0,'Données projet'!$E$10+1,1))</f>
        <v>364.3481978218424</v>
      </c>
      <c r="AO75" s="62">
        <f t="shared" si="90"/>
        <v>231.36959598460686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projet'!$B$11,Paramètres!$A$1:$I$89,3,0)*VLOOKUP('Données projet'!$B$11,Paramètres!$A$1:$I$89,5,0)</f>
        <v>236.66759999999996</v>
      </c>
      <c r="BF75" s="14">
        <f t="shared" si="91"/>
        <v>57.721965974560838</v>
      </c>
      <c r="BG75" s="22">
        <f t="shared" si="61"/>
        <v>512.72849407236004</v>
      </c>
      <c r="BH75" s="62">
        <f t="shared" si="62"/>
        <v>806.06182740569329</v>
      </c>
      <c r="BI75" s="62">
        <f ca="1">AVERAGE(OFFSET($BH$3,0,0,'Données projet'!$E$11+1,1))-AVERAGE(OFFSET($H$3,0,0,'Données projet'!$E$11+1,1))</f>
        <v>403.50418598112844</v>
      </c>
      <c r="BJ75" s="62">
        <f t="shared" si="92"/>
        <v>254.25036207346591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0</v>
      </c>
      <c r="BQ75" s="23">
        <f>EXP(-LN(2)/25)*BQ74+(1-EXP(-LN(2)/25))/(LN(2)/25)*Calculateur!BL75*Calculateur!BN75*VLOOKUP('Données projet'!$B$11,Paramètres!$A$1:$I$89,3,0)*0.475*44/12</f>
        <v>0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0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7.6</v>
      </c>
      <c r="BY75" s="13">
        <f>IF('Données projet'!$A$114&gt;35,BY74+BX75-CG74,IF(A75&lt;'Données projet'!$A$114,$BV$205^A75,IF(A75='Données projet'!$A$114,'Données projet'!$B$114,BY74+BX75-CG74)))</f>
        <v>231.19999999999982</v>
      </c>
      <c r="BZ75" s="14">
        <f>BY75*VLOOKUP('Données projet'!$B$12,Paramètres!$A$1:$I$89,3,0)*VLOOKUP('Données projet'!$B$12,Paramètres!$A$1:$I$89,5,0)</f>
        <v>198.36959999999988</v>
      </c>
      <c r="CA75" s="14">
        <f t="shared" si="93"/>
        <v>49.385684634618876</v>
      </c>
      <c r="CB75" s="22">
        <f t="shared" si="64"/>
        <v>431.50712073862763</v>
      </c>
      <c r="CC75" s="62">
        <f t="shared" si="65"/>
        <v>724.84045407196095</v>
      </c>
      <c r="CD75" s="62">
        <f ca="1">AVERAGE(OFFSET($CC$3,0,0,'Données projet'!$E$12+1,1))-AVERAGE(OFFSET($H$3,0,0,'Données projet'!$E$12+1,1))</f>
        <v>347.72886258008998</v>
      </c>
      <c r="CE75" s="62">
        <f t="shared" si="94"/>
        <v>176.81257896138806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0</v>
      </c>
      <c r="CL75" s="23">
        <f>EXP(-LN(2)/25)*CL74+(1-EXP(-LN(2)/25))/(LN(2)/25)*Calculateur!CG75*Calculateur!CI75*VLOOKUP('Données projet'!$B$12,Paramètres!$A$1:$I$89,3,0)*0.475*44/12</f>
        <v>0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0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3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5.6843418860808015E-14</v>
      </c>
      <c r="O76" s="14">
        <f>N76*VLOOKUP('Données projet'!$B$9,Paramètres!$A$1:$I$89,3,0)*VLOOKUP('Données projet'!$B$9,Paramètres!$A$1:$I$89,5,0)</f>
        <v>2.6602720026858149E-14</v>
      </c>
      <c r="P76" s="14">
        <f t="shared" si="87"/>
        <v>4.6624771586320878E-13</v>
      </c>
      <c r="Q76" s="22">
        <f t="shared" si="54"/>
        <v>8.583811758418665E-13</v>
      </c>
      <c r="R76" s="62">
        <f t="shared" si="55"/>
        <v>293.33333333333417</v>
      </c>
      <c r="S76" s="62">
        <f ca="1">AVERAGE(OFFSET($R$3,0,0,'Données projet'!$E$9+1,1))-AVERAGE(OFFSET($H$3,0,0,'Données projet'!$E$9+1,1))</f>
        <v>172.45217697899039</v>
      </c>
      <c r="T76" s="62">
        <f t="shared" si="88"/>
        <v>223.74038909289629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6.5582035368700984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5.2309090718734245E-6</v>
      </c>
      <c r="AC76" s="24">
        <f t="shared" si="57"/>
        <v>6.5582087677791705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6.2</v>
      </c>
      <c r="AI76" s="14">
        <f>IF('Données projet'!$A$62&gt;35,AI75+AH76-AQ75,IF(A76&lt;'Données projet'!$A$62,$AF$205^A76,IF(A76='Données projet'!$A$62,'Données projet'!$B$62,AI75+AH76-AQ75)))</f>
        <v>239.59999999999994</v>
      </c>
      <c r="AJ76" s="14">
        <f>AI76*VLOOKUP('Données projet'!$B$10,Paramètres!$A$1:$I$89,3,0)*VLOOKUP('Données projet'!$B$10,Paramètres!$A$1:$I$89,5,0)</f>
        <v>216.79007999999996</v>
      </c>
      <c r="AK76" s="14">
        <f t="shared" si="89"/>
        <v>53.416629794462551</v>
      </c>
      <c r="AL76" s="22">
        <f t="shared" si="58"/>
        <v>470.61001955868886</v>
      </c>
      <c r="AM76" s="62">
        <f t="shared" si="59"/>
        <v>763.94335289202218</v>
      </c>
      <c r="AN76" s="62">
        <f ca="1">AVERAGE(OFFSET($AM$3,0,0,'Données projet'!$E$10+1,1))-AVERAGE(OFFSET($H$3,0,0,'Données projet'!$E$10+1,1))</f>
        <v>364.3481978218424</v>
      </c>
      <c r="AO76" s="62">
        <f t="shared" si="90"/>
        <v>231.36959598460686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2">
        <f t="shared" si="62"/>
        <v>819.36740263248726</v>
      </c>
      <c r="BI76" s="62">
        <f ca="1">AVERAGE(OFFSET($BH$3,0,0,'Données projet'!$E$11+1,1))-AVERAGE(OFFSET($H$3,0,0,'Données projet'!$E$11+1,1))</f>
        <v>403.50418598112844</v>
      </c>
      <c r="BJ76" s="62">
        <f t="shared" si="92"/>
        <v>254.25036207346591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0</v>
      </c>
      <c r="BQ76" s="23">
        <f>EXP(-LN(2)/25)*BQ75+(1-EXP(-LN(2)/25))/(LN(2)/25)*Calculateur!BL76*Calculateur!BN76*VLOOKUP('Données projet'!$B$11,Paramètres!$A$1:$I$89,3,0)*0.475*44/12</f>
        <v>0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0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7.6</v>
      </c>
      <c r="BY76" s="13">
        <f>IF('Données projet'!$A$114&gt;35,BY75+BX76-CG75,IF(A76&lt;'Données projet'!$A$114,$BV$205^A76,IF(A76='Données projet'!$A$114,'Données projet'!$B$114,BY75+BX76-CG75)))</f>
        <v>238.79999999999981</v>
      </c>
      <c r="BZ76" s="14">
        <f>BY76*VLOOKUP('Données projet'!$B$12,Paramètres!$A$1:$I$89,3,0)*VLOOKUP('Données projet'!$B$12,Paramètres!$A$1:$I$89,5,0)</f>
        <v>204.89039999999989</v>
      </c>
      <c r="CA76" s="14">
        <f t="shared" si="93"/>
        <v>50.817413867340996</v>
      </c>
      <c r="CB76" s="22">
        <f t="shared" si="64"/>
        <v>445.35777581895201</v>
      </c>
      <c r="CC76" s="62">
        <f t="shared" si="65"/>
        <v>738.69110915228532</v>
      </c>
      <c r="CD76" s="62">
        <f ca="1">AVERAGE(OFFSET($CC$3,0,0,'Données projet'!$E$12+1,1))-AVERAGE(OFFSET($H$3,0,0,'Données projet'!$E$12+1,1))</f>
        <v>347.72886258008998</v>
      </c>
      <c r="CE76" s="62">
        <f t="shared" si="94"/>
        <v>176.81257896138806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0</v>
      </c>
      <c r="CL76" s="23">
        <f>EXP(-LN(2)/25)*CL75+(1-EXP(-LN(2)/25))/(LN(2)/25)*Calculateur!CG76*Calculateur!CI76*VLOOKUP('Données projet'!$B$12,Paramètres!$A$1:$I$89,3,0)*0.475*44/12</f>
        <v>0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0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3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5.6843418860808015E-14</v>
      </c>
      <c r="O77" s="14">
        <f>N77*VLOOKUP('Données projet'!$B$9,Paramètres!$A$1:$I$89,3,0)*VLOOKUP('Données projet'!$B$9,Paramètres!$A$1:$I$89,5,0)</f>
        <v>2.6602720026858149E-14</v>
      </c>
      <c r="P77" s="14">
        <f t="shared" si="87"/>
        <v>4.6624771586320878E-13</v>
      </c>
      <c r="Q77" s="22">
        <f t="shared" si="54"/>
        <v>8.583811758418665E-13</v>
      </c>
      <c r="R77" s="62">
        <f t="shared" si="55"/>
        <v>293.33333333333417</v>
      </c>
      <c r="S77" s="62">
        <f ca="1">AVERAGE(OFFSET($R$3,0,0,'Données projet'!$E$9+1,1))-AVERAGE(OFFSET($H$3,0,0,'Données projet'!$E$9+1,1))</f>
        <v>172.45217697899039</v>
      </c>
      <c r="T77" s="62">
        <f t="shared" si="88"/>
        <v>223.74038909289629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6.4296011656212553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3.6988112764919282E-6</v>
      </c>
      <c r="AC77" s="24">
        <f t="shared" si="57"/>
        <v>6.4296048644325321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6.2</v>
      </c>
      <c r="AI77" s="14">
        <f>IF('Données projet'!$A$62&gt;35,AI76+AH77-AQ76,IF(A77&lt;'Données projet'!$A$62,$AF$205^A77,IF(A77='Données projet'!$A$62,'Données projet'!$B$62,AI76+AH77-AQ76)))</f>
        <v>245.79999999999993</v>
      </c>
      <c r="AJ77" s="14">
        <f>AI77*VLOOKUP('Données projet'!$B$10,Paramètres!$A$1:$I$89,3,0)*VLOOKUP('Données projet'!$B$10,Paramètres!$A$1:$I$89,5,0)</f>
        <v>222.3998399999999</v>
      </c>
      <c r="AK77" s="14">
        <f t="shared" si="89"/>
        <v>54.636149281681448</v>
      </c>
      <c r="AL77" s="22">
        <f t="shared" si="58"/>
        <v>482.50434799892832</v>
      </c>
      <c r="AM77" s="62">
        <f t="shared" si="59"/>
        <v>775.83768133226158</v>
      </c>
      <c r="AN77" s="62">
        <f ca="1">AVERAGE(OFFSET($AM$3,0,0,'Données projet'!$E$10+1,1))-AVERAGE(OFFSET($H$3,0,0,'Données projet'!$E$10+1,1))</f>
        <v>364.3481978218424</v>
      </c>
      <c r="AO77" s="62">
        <f t="shared" si="90"/>
        <v>231.36959598460686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projet'!$B$11,Paramètres!$A$1:$I$89,3,0)*VLOOKUP('Données projet'!$B$11,Paramètres!$A$1:$I$89,5,0)</f>
        <v>249.24119999999994</v>
      </c>
      <c r="BF77" s="14">
        <f t="shared" si="91"/>
        <v>60.42342651744692</v>
      </c>
      <c r="BG77" s="22">
        <f t="shared" si="61"/>
        <v>539.33255785121992</v>
      </c>
      <c r="BH77" s="62">
        <f t="shared" si="62"/>
        <v>832.66589118455317</v>
      </c>
      <c r="BI77" s="62">
        <f ca="1">AVERAGE(OFFSET($BH$3,0,0,'Données projet'!$E$11+1,1))-AVERAGE(OFFSET($H$3,0,0,'Données projet'!$E$11+1,1))</f>
        <v>403.50418598112844</v>
      </c>
      <c r="BJ77" s="62">
        <f t="shared" si="92"/>
        <v>254.25036207346591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0</v>
      </c>
      <c r="BQ77" s="23">
        <f>EXP(-LN(2)/25)*BQ76+(1-EXP(-LN(2)/25))/(LN(2)/25)*Calculateur!BL77*Calculateur!BN77*VLOOKUP('Données projet'!$B$11,Paramètres!$A$1:$I$89,3,0)*0.475*44/12</f>
        <v>0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0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7.6</v>
      </c>
      <c r="BY77" s="13">
        <f>IF('Données projet'!$A$114&gt;35,BY76+BX77-CG76,IF(A77&lt;'Données projet'!$A$114,$BV$205^A77,IF(A77='Données projet'!$A$114,'Données projet'!$B$114,BY76+BX77-CG76)))</f>
        <v>246.39999999999981</v>
      </c>
      <c r="BZ77" s="14">
        <f>BY77*VLOOKUP('Données projet'!$B$12,Paramètres!$A$1:$I$89,3,0)*VLOOKUP('Données projet'!$B$12,Paramètres!$A$1:$I$89,5,0)</f>
        <v>211.41119999999984</v>
      </c>
      <c r="CA77" s="14">
        <f t="shared" si="93"/>
        <v>52.243848094411113</v>
      </c>
      <c r="CB77" s="22">
        <f t="shared" si="64"/>
        <v>459.1992087644324</v>
      </c>
      <c r="CC77" s="62">
        <f t="shared" si="65"/>
        <v>752.53254209776571</v>
      </c>
      <c r="CD77" s="62">
        <f ca="1">AVERAGE(OFFSET($CC$3,0,0,'Données projet'!$E$12+1,1))-AVERAGE(OFFSET($H$3,0,0,'Données projet'!$E$12+1,1))</f>
        <v>347.72886258008998</v>
      </c>
      <c r="CE77" s="62">
        <f t="shared" si="94"/>
        <v>176.81257896138806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0</v>
      </c>
      <c r="CL77" s="23">
        <f>EXP(-LN(2)/25)*CL76+(1-EXP(-LN(2)/25))/(LN(2)/25)*Calculateur!CG77*Calculateur!CI77*VLOOKUP('Données projet'!$B$12,Paramètres!$A$1:$I$89,3,0)*0.475*44/12</f>
        <v>0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0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3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5.6843418860808015E-14</v>
      </c>
      <c r="O78" s="14">
        <f>N78*VLOOKUP('Données projet'!$B$9,Paramètres!$A$1:$I$89,3,0)*VLOOKUP('Données projet'!$B$9,Paramètres!$A$1:$I$89,5,0)</f>
        <v>2.6602720026858149E-14</v>
      </c>
      <c r="P78" s="14">
        <f t="shared" si="87"/>
        <v>4.6624771586320878E-13</v>
      </c>
      <c r="Q78" s="22">
        <f t="shared" si="54"/>
        <v>8.583811758418665E-13</v>
      </c>
      <c r="R78" s="62">
        <f t="shared" si="55"/>
        <v>293.33333333333417</v>
      </c>
      <c r="S78" s="62">
        <f ca="1">AVERAGE(OFFSET($R$3,0,0,'Données projet'!$E$9+1,1))-AVERAGE(OFFSET($H$3,0,0,'Données projet'!$E$9+1,1))</f>
        <v>172.45217697899039</v>
      </c>
      <c r="T78" s="62">
        <f t="shared" si="88"/>
        <v>223.74038909289629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6.3035206084329012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2.6154545359367127E-6</v>
      </c>
      <c r="AC78" s="24">
        <f t="shared" si="57"/>
        <v>6.3035232238874368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252</v>
      </c>
      <c r="AG78" s="13">
        <f>VLOOKUP(A78,'Données projet'!$A$61:$I$81,9,0)</f>
        <v>6.2</v>
      </c>
      <c r="AH78" s="13">
        <f t="array" ref="AH78">INDEX(AG:AG,MIN(IF(ISNUMBER(AG78:AG274),ROW(AG78:AG274),"")))</f>
        <v>6.2</v>
      </c>
      <c r="AI78" s="14">
        <f>IF('Données projet'!$A$62&gt;35,AI77+AH78-AQ77,IF(A78&lt;'Données projet'!$A$62,$AF$205^A78,IF(A78='Données projet'!$A$62,'Données projet'!$B$62,AI77+AH78-AQ77)))</f>
        <v>251.99999999999991</v>
      </c>
      <c r="AJ78" s="14">
        <f>AI78*VLOOKUP('Données projet'!$B$10,Paramètres!$A$1:$I$89,3,0)*VLOOKUP('Données projet'!$B$10,Paramètres!$A$1:$I$89,5,0)</f>
        <v>228.00959999999992</v>
      </c>
      <c r="AK78" s="14">
        <f t="shared" si="89"/>
        <v>55.852093054619829</v>
      </c>
      <c r="AL78" s="22">
        <f t="shared" si="58"/>
        <v>494.3924487367961</v>
      </c>
      <c r="AM78" s="62">
        <f t="shared" si="59"/>
        <v>787.72578207012941</v>
      </c>
      <c r="AN78" s="62">
        <f ca="1">AVERAGE(OFFSET($AM$3,0,0,'Données projet'!$E$10+1,1))-AVERAGE(OFFSET($H$3,0,0,'Données projet'!$E$10+1,1))</f>
        <v>364.3481978218424</v>
      </c>
      <c r="AO78" s="62">
        <f t="shared" si="90"/>
        <v>231.36959598460686</v>
      </c>
      <c r="AP78" s="16">
        <f>IF(ISNA(VLOOKUP(A78,'Données projet'!$A$61:$I$81,3,0)),0,VLOOKUP(A78,'Données projet'!$A$61:$I$81,3,0))</f>
        <v>12</v>
      </c>
      <c r="AQ78" s="16">
        <f>IF(ISNA(VLOOKUP(A78,'Données projet'!$A$61:$I$81,4,0)),0,VLOOKUP(A78,'Données projet'!$A$61:$I$81,4,0))</f>
        <v>21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projet'!$B$11,Paramètres!$A$1:$I$89,3,0)*VLOOKUP('Données projet'!$B$11,Paramètres!$A$1:$I$89,5,0)</f>
        <v>255.52799999999993</v>
      </c>
      <c r="BF78" s="14">
        <f t="shared" si="91"/>
        <v>61.768167868721477</v>
      </c>
      <c r="BG78" s="22">
        <f t="shared" si="61"/>
        <v>552.62415903802309</v>
      </c>
      <c r="BH78" s="62">
        <f t="shared" si="62"/>
        <v>845.95749237135647</v>
      </c>
      <c r="BI78" s="62">
        <f ca="1">AVERAGE(OFFSET($BH$3,0,0,'Données projet'!$E$11+1,1))-AVERAGE(OFFSET($H$3,0,0,'Données projet'!$E$11+1,1))</f>
        <v>403.50418598112844</v>
      </c>
      <c r="BJ78" s="62">
        <f t="shared" si="92"/>
        <v>254.25036207346591</v>
      </c>
      <c r="BK78" s="16">
        <f>IF(ISNA(VLOOKUP(A78,'Données projet'!$A$87:$I$107,3,0)),0,VLOOKUP(A78,'Données projet'!$A$87:$I$107,3,0))</f>
        <v>12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0</v>
      </c>
      <c r="BQ78" s="23">
        <f>EXP(-LN(2)/25)*BQ77+(1-EXP(-LN(2)/25))/(LN(2)/25)*Calculateur!BL78*Calculateur!BN78*VLOOKUP('Données projet'!$B$11,Paramètres!$A$1:$I$89,3,0)*0.475*44/12</f>
        <v>0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0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>
        <f>VLOOKUP(A78,'Données projet'!$A$113:$I$133,2,0)</f>
        <v>254</v>
      </c>
      <c r="BW78" s="13">
        <f>VLOOKUP(A78,'Données projet'!$A$113:$I$133,9,0)</f>
        <v>7.6</v>
      </c>
      <c r="BX78" s="13">
        <f t="array" ref="BX78">INDEX(BW:BW,MIN(IF(ISNUMBER(BW78:BW274),ROW(BW78:BW274),"")))</f>
        <v>7.6</v>
      </c>
      <c r="BY78" s="13">
        <f>IF('Données projet'!$A$114&gt;35,BY77+BX78-CG77,IF(A78&lt;'Données projet'!$A$114,$BV$205^A78,IF(A78='Données projet'!$A$114,'Données projet'!$B$114,BY77+BX78-CG77)))</f>
        <v>253.9999999999998</v>
      </c>
      <c r="BZ78" s="14">
        <f>BY78*VLOOKUP('Données projet'!$B$12,Paramètres!$A$1:$I$89,3,0)*VLOOKUP('Données projet'!$B$12,Paramètres!$A$1:$I$89,5,0)</f>
        <v>217.93199999999985</v>
      </c>
      <c r="CA78" s="14">
        <f t="shared" si="93"/>
        <v>53.665169377903311</v>
      </c>
      <c r="CB78" s="22">
        <f t="shared" si="64"/>
        <v>473.03173666651463</v>
      </c>
      <c r="CC78" s="62">
        <f t="shared" si="65"/>
        <v>766.36506999984795</v>
      </c>
      <c r="CD78" s="62">
        <f ca="1">AVERAGE(OFFSET($CC$3,0,0,'Données projet'!$E$12+1,1))-AVERAGE(OFFSET($H$3,0,0,'Données projet'!$E$12+1,1))</f>
        <v>347.72886258008998</v>
      </c>
      <c r="CE78" s="62">
        <f t="shared" si="94"/>
        <v>176.81257896138806</v>
      </c>
      <c r="CF78" s="16">
        <f>IF(ISNA(VLOOKUP(A78,'Données projet'!$A$113:$I$133,3,0)),0,VLOOKUP(A78,'Données projet'!$A$113:$I$133,3,0))</f>
        <v>11</v>
      </c>
      <c r="CG78" s="16">
        <f>IF(ISNA(VLOOKUP(A78,'Données projet'!$A$113:$I$133,4,0)),0,VLOOKUP(A78,'Données projet'!$A$113:$I$133,4,0))</f>
        <v>21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0</v>
      </c>
      <c r="CL78" s="23">
        <f>EXP(-LN(2)/25)*CL77+(1-EXP(-LN(2)/25))/(LN(2)/25)*Calculateur!CG78*Calculateur!CI78*VLOOKUP('Données projet'!$B$12,Paramètres!$A$1:$I$89,3,0)*0.475*44/12</f>
        <v>0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0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3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5.6843418860808015E-14</v>
      </c>
      <c r="O79" s="14">
        <f>N79*VLOOKUP('Données projet'!$B$9,Paramètres!$A$1:$I$89,3,0)*VLOOKUP('Données projet'!$B$9,Paramètres!$A$1:$I$89,5,0)</f>
        <v>2.6602720026858149E-14</v>
      </c>
      <c r="P79" s="14">
        <f t="shared" si="87"/>
        <v>4.6624771586320878E-13</v>
      </c>
      <c r="Q79" s="22">
        <f t="shared" si="54"/>
        <v>8.583811758418665E-13</v>
      </c>
      <c r="R79" s="62">
        <f t="shared" si="55"/>
        <v>293.33333333333417</v>
      </c>
      <c r="S79" s="62">
        <f ca="1">AVERAGE(OFFSET($R$3,0,0,'Données projet'!$E$9+1,1))-AVERAGE(OFFSET($H$3,0,0,'Données projet'!$E$9+1,1))</f>
        <v>172.45217697899039</v>
      </c>
      <c r="T79" s="62">
        <f t="shared" si="88"/>
        <v>223.74038909289629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6.1799124140694639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1.8494056382459643E-6</v>
      </c>
      <c r="AC79" s="24">
        <f t="shared" si="57"/>
        <v>6.1799142634751023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6</v>
      </c>
      <c r="AI79" s="14">
        <f>IF('Données projet'!$A$62&gt;35,AI78+AH79-AQ78,IF(A79&lt;'Données projet'!$A$62,$AF$205^A79,IF(A79='Données projet'!$A$62,'Données projet'!$B$62,AI78+AH79-AQ78)))</f>
        <v>236.99999999999989</v>
      </c>
      <c r="AJ79" s="14">
        <f>AI79*VLOOKUP('Données projet'!$B$10,Paramètres!$A$1:$I$89,3,0)*VLOOKUP('Données projet'!$B$10,Paramètres!$A$1:$I$89,5,0)</f>
        <v>214.43759999999989</v>
      </c>
      <c r="AK79" s="14">
        <f t="shared" si="89"/>
        <v>52.904129603372375</v>
      </c>
      <c r="AL79" s="22">
        <f t="shared" si="58"/>
        <v>465.62017905920658</v>
      </c>
      <c r="AM79" s="62">
        <f t="shared" si="59"/>
        <v>758.95351239253989</v>
      </c>
      <c r="AN79" s="62">
        <f ca="1">AVERAGE(OFFSET($AM$3,0,0,'Données projet'!$E$10+1,1))-AVERAGE(OFFSET($H$3,0,0,'Données projet'!$E$10+1,1))</f>
        <v>364.3481978218424</v>
      </c>
      <c r="AO79" s="62">
        <f t="shared" si="90"/>
        <v>231.36959598460686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240.3179999999999</v>
      </c>
      <c r="BF79" s="14">
        <f t="shared" si="91"/>
        <v>58.507944457766484</v>
      </c>
      <c r="BG79" s="22">
        <f t="shared" si="61"/>
        <v>520.45518659727634</v>
      </c>
      <c r="BH79" s="62">
        <f t="shared" si="62"/>
        <v>813.78851993060971</v>
      </c>
      <c r="BI79" s="62">
        <f ca="1">AVERAGE(OFFSET($BH$3,0,0,'Données projet'!$E$11+1,1))-AVERAGE(OFFSET($H$3,0,0,'Données projet'!$E$11+1,1))</f>
        <v>403.50418598112844</v>
      </c>
      <c r="BJ79" s="62">
        <f t="shared" si="92"/>
        <v>254.25036207346591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0</v>
      </c>
      <c r="BQ79" s="23">
        <f>EXP(-LN(2)/25)*BQ78+(1-EXP(-LN(2)/25))/(LN(2)/25)*Calculateur!BL79*Calculateur!BN79*VLOOKUP('Données projet'!$B$11,Paramètres!$A$1:$I$89,3,0)*0.475*44/12</f>
        <v>0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0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7.4</v>
      </c>
      <c r="BY79" s="13">
        <f>IF('Données projet'!$A$114&gt;35,BY78+BX79-CG78,IF(A79&lt;'Données projet'!$A$114,$BV$205^A79,IF(A79='Données projet'!$A$114,'Données projet'!$B$114,BY78+BX79-CG78)))</f>
        <v>240.39999999999981</v>
      </c>
      <c r="BZ79" s="14">
        <f>BY79*VLOOKUP('Données projet'!$B$12,Paramètres!$A$1:$I$89,3,0)*VLOOKUP('Données projet'!$B$12,Paramètres!$A$1:$I$89,5,0)</f>
        <v>206.26319999999987</v>
      </c>
      <c r="CA79" s="14">
        <f t="shared" si="93"/>
        <v>51.118149550886002</v>
      </c>
      <c r="CB79" s="22">
        <f t="shared" si="64"/>
        <v>448.27251713445958</v>
      </c>
      <c r="CC79" s="62">
        <f t="shared" si="65"/>
        <v>741.60585046779283</v>
      </c>
      <c r="CD79" s="62">
        <f ca="1">AVERAGE(OFFSET($CC$3,0,0,'Données projet'!$E$12+1,1))-AVERAGE(OFFSET($H$3,0,0,'Données projet'!$E$12+1,1))</f>
        <v>347.72886258008998</v>
      </c>
      <c r="CE79" s="62">
        <f t="shared" si="94"/>
        <v>176.81257896138806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0</v>
      </c>
      <c r="CL79" s="23">
        <f>EXP(-LN(2)/25)*CL78+(1-EXP(-LN(2)/25))/(LN(2)/25)*Calculateur!CG79*Calculateur!CI79*VLOOKUP('Données projet'!$B$12,Paramètres!$A$1:$I$89,3,0)*0.475*44/12</f>
        <v>0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0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3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5.6843418860808015E-14</v>
      </c>
      <c r="O80" s="14">
        <f>N80*VLOOKUP('Données projet'!$B$9,Paramètres!$A$1:$I$89,3,0)*VLOOKUP('Données projet'!$B$9,Paramètres!$A$1:$I$89,5,0)</f>
        <v>2.6602720026858149E-14</v>
      </c>
      <c r="P80" s="14">
        <f t="shared" si="87"/>
        <v>4.6624771586320878E-13</v>
      </c>
      <c r="Q80" s="22">
        <f t="shared" si="54"/>
        <v>8.583811758418665E-13</v>
      </c>
      <c r="R80" s="62">
        <f t="shared" si="55"/>
        <v>293.33333333333417</v>
      </c>
      <c r="S80" s="62">
        <f ca="1">AVERAGE(OFFSET($R$3,0,0,'Données projet'!$E$9+1,1))-AVERAGE(OFFSET($H$3,0,0,'Données projet'!$E$9+1,1))</f>
        <v>172.45217697899039</v>
      </c>
      <c r="T80" s="62">
        <f t="shared" si="88"/>
        <v>223.74038909289629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6.0587281010039398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1.3077272679683566E-6</v>
      </c>
      <c r="AC80" s="24">
        <f t="shared" si="57"/>
        <v>6.0587294087312076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6</v>
      </c>
      <c r="AI80" s="14">
        <f>IF('Données projet'!$A$62&gt;35,AI79+AH80-AQ79,IF(A80&lt;'Données projet'!$A$62,$AF$205^A80,IF(A80='Données projet'!$A$62,'Données projet'!$B$62,AI79+AH80-AQ79)))</f>
        <v>242.99999999999989</v>
      </c>
      <c r="AJ80" s="14">
        <f>AI80*VLOOKUP('Données projet'!$B$10,Paramètres!$A$1:$I$89,3,0)*VLOOKUP('Données projet'!$B$10,Paramètres!$A$1:$I$89,5,0)</f>
        <v>219.86639999999989</v>
      </c>
      <c r="AK80" s="14">
        <f t="shared" si="89"/>
        <v>54.085847394182416</v>
      </c>
      <c r="AL80" s="22">
        <f t="shared" si="58"/>
        <v>477.13349754486745</v>
      </c>
      <c r="AM80" s="62">
        <f t="shared" si="59"/>
        <v>770.46683087820077</v>
      </c>
      <c r="AN80" s="62">
        <f ca="1">AVERAGE(OFFSET($AM$3,0,0,'Données projet'!$E$10+1,1))-AVERAGE(OFFSET($H$3,0,0,'Données projet'!$E$10+1,1))</f>
        <v>364.3481978218424</v>
      </c>
      <c r="AO80" s="62">
        <f t="shared" si="90"/>
        <v>231.36959598460686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246.4019999999999</v>
      </c>
      <c r="BF80" s="14">
        <f t="shared" si="91"/>
        <v>59.814834475385474</v>
      </c>
      <c r="BG80" s="22">
        <f t="shared" si="61"/>
        <v>533.32765337796286</v>
      </c>
      <c r="BH80" s="62">
        <f t="shared" si="62"/>
        <v>826.66098671129612</v>
      </c>
      <c r="BI80" s="62">
        <f ca="1">AVERAGE(OFFSET($BH$3,0,0,'Données projet'!$E$11+1,1))-AVERAGE(OFFSET($H$3,0,0,'Données projet'!$E$11+1,1))</f>
        <v>403.50418598112844</v>
      </c>
      <c r="BJ80" s="62">
        <f t="shared" si="92"/>
        <v>254.25036207346591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0</v>
      </c>
      <c r="BQ80" s="23">
        <f>EXP(-LN(2)/25)*BQ79+(1-EXP(-LN(2)/25))/(LN(2)/25)*Calculateur!BL80*Calculateur!BN80*VLOOKUP('Données projet'!$B$11,Paramètres!$A$1:$I$89,3,0)*0.475*44/12</f>
        <v>0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0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7.4</v>
      </c>
      <c r="BY80" s="13">
        <f>IF('Données projet'!$A$114&gt;35,BY79+BX80-CG79,IF(A80&lt;'Données projet'!$A$114,$BV$205^A80,IF(A80='Données projet'!$A$114,'Données projet'!$B$114,BY79+BX80-CG79)))</f>
        <v>247.79999999999981</v>
      </c>
      <c r="BZ80" s="14">
        <f>BY80*VLOOKUP('Données projet'!$B$12,Paramètres!$A$1:$I$89,3,0)*VLOOKUP('Données projet'!$B$12,Paramètres!$A$1:$I$89,5,0)</f>
        <v>212.61239999999987</v>
      </c>
      <c r="CA80" s="14">
        <f t="shared" si="93"/>
        <v>52.506049408060917</v>
      </c>
      <c r="CB80" s="22">
        <f t="shared" si="64"/>
        <v>461.74796605237248</v>
      </c>
      <c r="CC80" s="62">
        <f t="shared" si="65"/>
        <v>755.08129938570573</v>
      </c>
      <c r="CD80" s="62">
        <f ca="1">AVERAGE(OFFSET($CC$3,0,0,'Données projet'!$E$12+1,1))-AVERAGE(OFFSET($H$3,0,0,'Données projet'!$E$12+1,1))</f>
        <v>347.72886258008998</v>
      </c>
      <c r="CE80" s="62">
        <f t="shared" si="94"/>
        <v>176.81257896138806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0</v>
      </c>
      <c r="CL80" s="23">
        <f>EXP(-LN(2)/25)*CL79+(1-EXP(-LN(2)/25))/(LN(2)/25)*Calculateur!CG80*Calculateur!CI80*VLOOKUP('Données projet'!$B$12,Paramètres!$A$1:$I$89,3,0)*0.475*44/12</f>
        <v>0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0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3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5.6843418860808015E-14</v>
      </c>
      <c r="O81" s="14">
        <f>N81*VLOOKUP('Données projet'!$B$9,Paramètres!$A$1:$I$89,3,0)*VLOOKUP('Données projet'!$B$9,Paramètres!$A$1:$I$89,5,0)</f>
        <v>2.6602720026858149E-14</v>
      </c>
      <c r="P81" s="14">
        <f t="shared" si="87"/>
        <v>4.6624771586320878E-13</v>
      </c>
      <c r="Q81" s="22">
        <f t="shared" si="54"/>
        <v>8.583811758418665E-13</v>
      </c>
      <c r="R81" s="62">
        <f t="shared" si="55"/>
        <v>293.33333333333417</v>
      </c>
      <c r="S81" s="62">
        <f ca="1">AVERAGE(OFFSET($R$3,0,0,'Données projet'!$E$9+1,1))-AVERAGE(OFFSET($H$3,0,0,'Données projet'!$E$9+1,1))</f>
        <v>172.45217697899039</v>
      </c>
      <c r="T81" s="62">
        <f t="shared" si="88"/>
        <v>223.74038909289629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5.9399201384024982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9.2470281912298238E-7</v>
      </c>
      <c r="AC81" s="24">
        <f t="shared" si="57"/>
        <v>5.9399210631053174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6</v>
      </c>
      <c r="AI81" s="14">
        <f>IF('Données projet'!$A$62&gt;35,AI80+AH81-AQ80,IF(A81&lt;'Données projet'!$A$62,$AF$205^A81,IF(A81='Données projet'!$A$62,'Données projet'!$B$62,AI80+AH81-AQ80)))</f>
        <v>248.99999999999989</v>
      </c>
      <c r="AJ81" s="14">
        <f>AI81*VLOOKUP('Données projet'!$B$10,Paramètres!$A$1:$I$89,3,0)*VLOOKUP('Données projet'!$B$10,Paramètres!$A$1:$I$89,5,0)</f>
        <v>225.29519999999991</v>
      </c>
      <c r="AK81" s="14">
        <f t="shared" si="89"/>
        <v>55.264173352293078</v>
      </c>
      <c r="AL81" s="22">
        <f t="shared" si="58"/>
        <v>488.64090858857691</v>
      </c>
      <c r="AM81" s="62">
        <f t="shared" si="59"/>
        <v>781.97424192191022</v>
      </c>
      <c r="AN81" s="62">
        <f ca="1">AVERAGE(OFFSET($AM$3,0,0,'Données projet'!$E$10+1,1))-AVERAGE(OFFSET($H$3,0,0,'Données projet'!$E$10+1,1))</f>
        <v>364.3481978218424</v>
      </c>
      <c r="AO81" s="62">
        <f t="shared" si="90"/>
        <v>231.36959598460686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252.4859999999999</v>
      </c>
      <c r="BF81" s="14">
        <f t="shared" si="91"/>
        <v>61.117973383957384</v>
      </c>
      <c r="BG81" s="22">
        <f t="shared" si="61"/>
        <v>546.193586977059</v>
      </c>
      <c r="BH81" s="62">
        <f t="shared" si="62"/>
        <v>839.52692031039237</v>
      </c>
      <c r="BI81" s="62">
        <f ca="1">AVERAGE(OFFSET($BH$3,0,0,'Données projet'!$E$11+1,1))-AVERAGE(OFFSET($H$3,0,0,'Données projet'!$E$11+1,1))</f>
        <v>403.50418598112844</v>
      </c>
      <c r="BJ81" s="62">
        <f t="shared" si="92"/>
        <v>254.25036207346591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0</v>
      </c>
      <c r="BQ81" s="23">
        <f>EXP(-LN(2)/25)*BQ80+(1-EXP(-LN(2)/25))/(LN(2)/25)*Calculateur!BL81*Calculateur!BN81*VLOOKUP('Données projet'!$B$11,Paramètres!$A$1:$I$89,3,0)*0.475*44/12</f>
        <v>0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0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7.4</v>
      </c>
      <c r="BY81" s="13">
        <f>IF('Données projet'!$A$114&gt;35,BY80+BX81-CG80,IF(A81&lt;'Données projet'!$A$114,$BV$205^A81,IF(A81='Données projet'!$A$114,'Données projet'!$B$114,BY80+BX81-CG80)))</f>
        <v>255.19999999999982</v>
      </c>
      <c r="BZ81" s="14">
        <f>BY81*VLOOKUP('Données projet'!$B$12,Paramètres!$A$1:$I$89,3,0)*VLOOKUP('Données projet'!$B$12,Paramètres!$A$1:$I$89,5,0)</f>
        <v>218.96159999999986</v>
      </c>
      <c r="CA81" s="14">
        <f t="shared" si="93"/>
        <v>53.88913250370743</v>
      </c>
      <c r="CB81" s="22">
        <f t="shared" si="64"/>
        <v>475.21502577729012</v>
      </c>
      <c r="CC81" s="62">
        <f t="shared" si="65"/>
        <v>768.54835911062344</v>
      </c>
      <c r="CD81" s="62">
        <f ca="1">AVERAGE(OFFSET($CC$3,0,0,'Données projet'!$E$12+1,1))-AVERAGE(OFFSET($H$3,0,0,'Données projet'!$E$12+1,1))</f>
        <v>347.72886258008998</v>
      </c>
      <c r="CE81" s="62">
        <f t="shared" si="94"/>
        <v>176.81257896138806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0</v>
      </c>
      <c r="CL81" s="23">
        <f>EXP(-LN(2)/25)*CL80+(1-EXP(-LN(2)/25))/(LN(2)/25)*Calculateur!CG81*Calculateur!CI81*VLOOKUP('Données projet'!$B$12,Paramètres!$A$1:$I$89,3,0)*0.475*44/12</f>
        <v>0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0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3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5.6843418860808015E-14</v>
      </c>
      <c r="O82" s="14">
        <f>N82*VLOOKUP('Données projet'!$B$9,Paramètres!$A$1:$I$89,3,0)*VLOOKUP('Données projet'!$B$9,Paramètres!$A$1:$I$89,5,0)</f>
        <v>2.6602720026858149E-14</v>
      </c>
      <c r="P82" s="14">
        <f t="shared" si="87"/>
        <v>4.6624771586320878E-13</v>
      </c>
      <c r="Q82" s="22">
        <f t="shared" si="54"/>
        <v>8.583811758418665E-13</v>
      </c>
      <c r="R82" s="62">
        <f t="shared" si="55"/>
        <v>293.33333333333417</v>
      </c>
      <c r="S82" s="62">
        <f ca="1">AVERAGE(OFFSET($R$3,0,0,'Données projet'!$E$9+1,1))-AVERAGE(OFFSET($H$3,0,0,'Données projet'!$E$9+1,1))</f>
        <v>172.45217697899039</v>
      </c>
      <c r="T82" s="62">
        <f t="shared" si="88"/>
        <v>223.74038909289629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5.8234419274819684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6.5386363398417838E-7</v>
      </c>
      <c r="AC82" s="24">
        <f t="shared" si="57"/>
        <v>5.8234425813456028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6</v>
      </c>
      <c r="AI82" s="14">
        <f>IF('Données projet'!$A$62&gt;35,AI81+AH82-AQ81,IF(A82&lt;'Données projet'!$A$62,$AF$205^A82,IF(A82='Données projet'!$A$62,'Données projet'!$B$62,AI81+AH82-AQ81)))</f>
        <v>254.99999999999989</v>
      </c>
      <c r="AJ82" s="14">
        <f>AI82*VLOOKUP('Données projet'!$B$10,Paramètres!$A$1:$I$89,3,0)*VLOOKUP('Données projet'!$B$10,Paramètres!$A$1:$I$89,5,0)</f>
        <v>230.72399999999988</v>
      </c>
      <c r="AK82" s="14">
        <f t="shared" si="89"/>
        <v>56.439198612082045</v>
      </c>
      <c r="AL82" s="22">
        <f t="shared" si="58"/>
        <v>500.14257091604264</v>
      </c>
      <c r="AM82" s="62">
        <f t="shared" si="59"/>
        <v>793.47590424937596</v>
      </c>
      <c r="AN82" s="62">
        <f ca="1">AVERAGE(OFFSET($AM$3,0,0,'Données projet'!$E$10+1,1))-AVERAGE(OFFSET($H$3,0,0,'Données projet'!$E$10+1,1))</f>
        <v>364.3481978218424</v>
      </c>
      <c r="AO82" s="62">
        <f t="shared" si="90"/>
        <v>231.36959598460686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258.56999999999994</v>
      </c>
      <c r="BF82" s="14">
        <f t="shared" si="91"/>
        <v>62.417461971173843</v>
      </c>
      <c r="BG82" s="22">
        <f t="shared" si="61"/>
        <v>559.05316293312762</v>
      </c>
      <c r="BH82" s="62">
        <f t="shared" si="62"/>
        <v>852.38649626646088</v>
      </c>
      <c r="BI82" s="62">
        <f ca="1">AVERAGE(OFFSET($BH$3,0,0,'Données projet'!$E$11+1,1))-AVERAGE(OFFSET($H$3,0,0,'Données projet'!$E$11+1,1))</f>
        <v>403.50418598112844</v>
      </c>
      <c r="BJ82" s="62">
        <f t="shared" si="92"/>
        <v>254.25036207346591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0</v>
      </c>
      <c r="BQ82" s="23">
        <f>EXP(-LN(2)/25)*BQ81+(1-EXP(-LN(2)/25))/(LN(2)/25)*Calculateur!BL82*Calculateur!BN82*VLOOKUP('Données projet'!$B$11,Paramètres!$A$1:$I$89,3,0)*0.475*44/12</f>
        <v>0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0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7.4</v>
      </c>
      <c r="BY82" s="13">
        <f>IF('Données projet'!$A$114&gt;35,BY81+BX82-CG81,IF(A82&lt;'Données projet'!$A$114,$BV$205^A82,IF(A82='Données projet'!$A$114,'Données projet'!$B$114,BY81+BX82-CG81)))</f>
        <v>262.5999999999998</v>
      </c>
      <c r="BZ82" s="14">
        <f>BY82*VLOOKUP('Données projet'!$B$12,Paramètres!$A$1:$I$89,3,0)*VLOOKUP('Données projet'!$B$12,Paramètres!$A$1:$I$89,5,0)</f>
        <v>225.31079999999983</v>
      </c>
      <c r="CA82" s="14">
        <f t="shared" si="93"/>
        <v>55.267554547888764</v>
      </c>
      <c r="CB82" s="22">
        <f t="shared" si="64"/>
        <v>488.67396750423922</v>
      </c>
      <c r="CC82" s="62">
        <f t="shared" si="65"/>
        <v>782.00730083757253</v>
      </c>
      <c r="CD82" s="62">
        <f ca="1">AVERAGE(OFFSET($CC$3,0,0,'Données projet'!$E$12+1,1))-AVERAGE(OFFSET($H$3,0,0,'Données projet'!$E$12+1,1))</f>
        <v>347.72886258008998</v>
      </c>
      <c r="CE82" s="62">
        <f t="shared" si="94"/>
        <v>176.81257896138806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0</v>
      </c>
      <c r="CL82" s="23">
        <f>EXP(-LN(2)/25)*CL81+(1-EXP(-LN(2)/25))/(LN(2)/25)*Calculateur!CG82*Calculateur!CI82*VLOOKUP('Données projet'!$B$12,Paramètres!$A$1:$I$89,3,0)*0.475*44/12</f>
        <v>0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0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3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5.6843418860808015E-14</v>
      </c>
      <c r="O83" s="14">
        <f>N83*VLOOKUP('Données projet'!$B$9,Paramètres!$A$1:$I$89,3,0)*VLOOKUP('Données projet'!$B$9,Paramètres!$A$1:$I$89,5,0)</f>
        <v>2.6602720026858149E-14</v>
      </c>
      <c r="P83" s="14">
        <f t="shared" si="87"/>
        <v>4.6624771586320878E-13</v>
      </c>
      <c r="Q83" s="22">
        <f t="shared" si="54"/>
        <v>8.583811758418665E-13</v>
      </c>
      <c r="R83" s="62">
        <f t="shared" si="55"/>
        <v>293.33333333333417</v>
      </c>
      <c r="S83" s="62">
        <f ca="1">AVERAGE(OFFSET($R$3,0,0,'Données projet'!$E$9+1,1))-AVERAGE(OFFSET($H$3,0,0,'Données projet'!$E$9+1,1))</f>
        <v>172.45217697899039</v>
      </c>
      <c r="T83" s="62">
        <f t="shared" si="88"/>
        <v>223.74038909289629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5.7092477832328967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4.6235140956149124E-7</v>
      </c>
      <c r="AC83" s="24">
        <f t="shared" si="57"/>
        <v>5.7092482455843063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261</v>
      </c>
      <c r="AG83" s="13">
        <f>VLOOKUP(A83,'Données projet'!$A$61:$I$81,9,0)</f>
        <v>6</v>
      </c>
      <c r="AH83" s="13">
        <f t="array" ref="AH83">INDEX(AG:AG,MIN(IF(ISNUMBER(AG83:AG279),ROW(AG83:AG279),"")))</f>
        <v>6</v>
      </c>
      <c r="AI83" s="14">
        <f>IF('Données projet'!$A$62&gt;35,AI82+AH83-AQ82,IF(A83&lt;'Données projet'!$A$62,$AF$205^A83,IF(A83='Données projet'!$A$62,'Données projet'!$B$62,AI82+AH83-AQ82)))</f>
        <v>260.99999999999989</v>
      </c>
      <c r="AJ83" s="14">
        <f>AI83*VLOOKUP('Données projet'!$B$10,Paramètres!$A$1:$I$89,3,0)*VLOOKUP('Données projet'!$B$10,Paramètres!$A$1:$I$89,5,0)</f>
        <v>236.15279999999987</v>
      </c>
      <c r="AK83" s="14">
        <f t="shared" si="89"/>
        <v>57.61100977459931</v>
      </c>
      <c r="AL83" s="22">
        <f t="shared" si="58"/>
        <v>511.63863535742689</v>
      </c>
      <c r="AM83" s="62">
        <f t="shared" si="59"/>
        <v>804.97196869076015</v>
      </c>
      <c r="AN83" s="62">
        <f ca="1">AVERAGE(OFFSET($AM$3,0,0,'Données projet'!$E$10+1,1))-AVERAGE(OFFSET($H$3,0,0,'Données projet'!$E$10+1,1))</f>
        <v>364.3481978218424</v>
      </c>
      <c r="AO83" s="62">
        <f t="shared" si="90"/>
        <v>231.36959598460686</v>
      </c>
      <c r="AP83" s="16">
        <f>IF(ISNA(VLOOKUP(A83,'Données projet'!$A$61:$I$81,3,0)),0,VLOOKUP(A83,'Données projet'!$A$61:$I$81,3,0))</f>
        <v>13</v>
      </c>
      <c r="AQ83" s="16">
        <f>IF(ISNA(VLOOKUP(A83,'Données projet'!$A$61:$I$81,4,0)),0,VLOOKUP(A83,'Données projet'!$A$61:$I$81,4,0))</f>
        <v>21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264.65399999999988</v>
      </c>
      <c r="BF83" s="14">
        <f t="shared" si="91"/>
        <v>63.71339601121106</v>
      </c>
      <c r="BG83" s="22">
        <f t="shared" si="61"/>
        <v>571.90654805285897</v>
      </c>
      <c r="BH83" s="62">
        <f t="shared" si="62"/>
        <v>865.23988138619234</v>
      </c>
      <c r="BI83" s="62">
        <f ca="1">AVERAGE(OFFSET($BH$3,0,0,'Données projet'!$E$11+1,1))-AVERAGE(OFFSET($H$3,0,0,'Données projet'!$E$11+1,1))</f>
        <v>403.50418598112844</v>
      </c>
      <c r="BJ83" s="62">
        <f t="shared" si="92"/>
        <v>254.25036207346591</v>
      </c>
      <c r="BK83" s="16">
        <f>IF(ISNA(VLOOKUP(A83,'Données projet'!$A$87:$I$107,3,0)),0,VLOOKUP(A83,'Données projet'!$A$87:$I$107,3,0))</f>
        <v>13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0</v>
      </c>
      <c r="BQ83" s="23">
        <f>EXP(-LN(2)/25)*BQ82+(1-EXP(-LN(2)/25))/(LN(2)/25)*Calculateur!BL83*Calculateur!BN83*VLOOKUP('Données projet'!$B$11,Paramètres!$A$1:$I$89,3,0)*0.475*44/12</f>
        <v>0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0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270</v>
      </c>
      <c r="BW83" s="13">
        <f>VLOOKUP(A83,'Données projet'!$A$113:$I$133,9,0)</f>
        <v>7.4</v>
      </c>
      <c r="BX83" s="13">
        <f t="array" ref="BX83">INDEX(BW:BW,MIN(IF(ISNUMBER(BW83:BW279),ROW(BW83:BW279),"")))</f>
        <v>7.4</v>
      </c>
      <c r="BY83" s="13">
        <f>IF('Données projet'!$A$114&gt;35,BY82+BX83-CG82,IF(A83&lt;'Données projet'!$A$114,$BV$205^A83,IF(A83='Données projet'!$A$114,'Données projet'!$B$114,BY82+BX83-CG82)))</f>
        <v>269.99999999999977</v>
      </c>
      <c r="BZ83" s="14">
        <f>BY83*VLOOKUP('Données projet'!$B$12,Paramètres!$A$1:$I$89,3,0)*VLOOKUP('Données projet'!$B$12,Paramètres!$A$1:$I$89,5,0)</f>
        <v>231.65999999999983</v>
      </c>
      <c r="CA83" s="14">
        <f t="shared" si="93"/>
        <v>56.641461975682716</v>
      </c>
      <c r="CB83" s="22">
        <f t="shared" si="64"/>
        <v>502.12504627431366</v>
      </c>
      <c r="CC83" s="62">
        <f t="shared" si="65"/>
        <v>795.45837960764698</v>
      </c>
      <c r="CD83" s="62">
        <f ca="1">AVERAGE(OFFSET($CC$3,0,0,'Données projet'!$E$12+1,1))-AVERAGE(OFFSET($H$3,0,0,'Données projet'!$E$12+1,1))</f>
        <v>347.72886258008998</v>
      </c>
      <c r="CE83" s="62">
        <f t="shared" si="94"/>
        <v>176.81257896138806</v>
      </c>
      <c r="CF83" s="16">
        <f>IF(ISNA(VLOOKUP(A83,'Données projet'!$A$113:$I$133,3,0)),0,VLOOKUP(A83,'Données projet'!$A$113:$I$133,3,0))</f>
        <v>12</v>
      </c>
      <c r="CG83" s="16">
        <f>IF(ISNA(VLOOKUP(A83,'Données projet'!$A$113:$I$133,4,0)),0,VLOOKUP(A83,'Données projet'!$A$113:$I$133,4,0))</f>
        <v>21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0</v>
      </c>
      <c r="CL83" s="23">
        <f>EXP(-LN(2)/25)*CL82+(1-EXP(-LN(2)/25))/(LN(2)/25)*Calculateur!CG83*Calculateur!CI83*VLOOKUP('Données projet'!$B$12,Paramètres!$A$1:$I$89,3,0)*0.475*44/12</f>
        <v>0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0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3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5.6843418860808015E-14</v>
      </c>
      <c r="O84" s="14">
        <f>N84*VLOOKUP('Données projet'!$B$9,Paramètres!$A$1:$I$89,3,0)*VLOOKUP('Données projet'!$B$9,Paramètres!$A$1:$I$89,5,0)</f>
        <v>2.6602720026858149E-14</v>
      </c>
      <c r="P84" s="14">
        <f t="shared" si="87"/>
        <v>4.6624771586320878E-13</v>
      </c>
      <c r="Q84" s="22">
        <f t="shared" si="54"/>
        <v>8.583811758418665E-13</v>
      </c>
      <c r="R84" s="62">
        <f t="shared" si="55"/>
        <v>293.33333333333417</v>
      </c>
      <c r="S84" s="62">
        <f ca="1">AVERAGE(OFFSET($R$3,0,0,'Données projet'!$E$9+1,1))-AVERAGE(OFFSET($H$3,0,0,'Données projet'!$E$9+1,1))</f>
        <v>172.45217697899039</v>
      </c>
      <c r="T84" s="62">
        <f t="shared" si="88"/>
        <v>223.74038909289629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5.597292916500999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3.2693181699208925E-7</v>
      </c>
      <c r="AC84" s="24">
        <f t="shared" si="57"/>
        <v>5.5972932434328158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5.8</v>
      </c>
      <c r="AI84" s="14">
        <f>IF('Données projet'!$A$62&gt;35,AI83+AH84-AQ83,IF(A84&lt;'Données projet'!$A$62,$AF$205^A84,IF(A84='Données projet'!$A$62,'Données projet'!$B$62,AI83+AH84-AQ83)))</f>
        <v>245.7999999999999</v>
      </c>
      <c r="AJ84" s="14">
        <f>AI84*VLOOKUP('Données projet'!$B$10,Paramètres!$A$1:$I$89,3,0)*VLOOKUP('Données projet'!$B$10,Paramètres!$A$1:$I$89,5,0)</f>
        <v>222.3998399999999</v>
      </c>
      <c r="AK84" s="14">
        <f t="shared" si="89"/>
        <v>54.636149281681448</v>
      </c>
      <c r="AL84" s="22">
        <f t="shared" si="58"/>
        <v>482.50434799892832</v>
      </c>
      <c r="AM84" s="62">
        <f t="shared" si="59"/>
        <v>775.83768133226158</v>
      </c>
      <c r="AN84" s="62">
        <f ca="1">AVERAGE(OFFSET($AM$3,0,0,'Données projet'!$E$10+1,1))-AVERAGE(OFFSET($H$3,0,0,'Données projet'!$E$10+1,1))</f>
        <v>364.3481978218424</v>
      </c>
      <c r="AO84" s="62">
        <f t="shared" si="90"/>
        <v>231.36959598460686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projet'!$B$11,Paramètres!$A$1:$I$89,3,0)*VLOOKUP('Données projet'!$B$11,Paramètres!$A$1:$I$89,5,0)</f>
        <v>249.24119999999988</v>
      </c>
      <c r="BF84" s="14">
        <f t="shared" si="91"/>
        <v>60.42342651744687</v>
      </c>
      <c r="BG84" s="22">
        <f t="shared" si="61"/>
        <v>539.3325578512198</v>
      </c>
      <c r="BH84" s="62">
        <f t="shared" si="62"/>
        <v>832.66589118455317</v>
      </c>
      <c r="BI84" s="62">
        <f ca="1">AVERAGE(OFFSET($BH$3,0,0,'Données projet'!$E$11+1,1))-AVERAGE(OFFSET($H$3,0,0,'Données projet'!$E$11+1,1))</f>
        <v>403.50418598112844</v>
      </c>
      <c r="BJ84" s="62">
        <f t="shared" si="92"/>
        <v>254.25036207346591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0</v>
      </c>
      <c r="BQ84" s="23">
        <f>EXP(-LN(2)/25)*BQ83+(1-EXP(-LN(2)/25))/(LN(2)/25)*Calculateur!BL84*Calculateur!BN84*VLOOKUP('Données projet'!$B$11,Paramètres!$A$1:$I$89,3,0)*0.475*44/12</f>
        <v>0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0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7</v>
      </c>
      <c r="BY84" s="13">
        <f>IF('Données projet'!$A$114&gt;35,BY83+BX84-CG83,IF(A84&lt;'Données projet'!$A$114,$BV$205^A84,IF(A84='Données projet'!$A$114,'Données projet'!$B$114,BY83+BX84-CG83)))</f>
        <v>255.99999999999977</v>
      </c>
      <c r="BZ84" s="14">
        <f>BY84*VLOOKUP('Données projet'!$B$12,Paramètres!$A$1:$I$89,3,0)*VLOOKUP('Données projet'!$B$12,Paramètres!$A$1:$I$89,5,0)</f>
        <v>219.64799999999985</v>
      </c>
      <c r="CA84" s="14">
        <f t="shared" si="93"/>
        <v>54.03837313132567</v>
      </c>
      <c r="CB84" s="22">
        <f t="shared" si="64"/>
        <v>476.67043320372522</v>
      </c>
      <c r="CC84" s="62">
        <f t="shared" si="65"/>
        <v>770.00376653705848</v>
      </c>
      <c r="CD84" s="62">
        <f ca="1">AVERAGE(OFFSET($CC$3,0,0,'Données projet'!$E$12+1,1))-AVERAGE(OFFSET($H$3,0,0,'Données projet'!$E$12+1,1))</f>
        <v>347.72886258008998</v>
      </c>
      <c r="CE84" s="62">
        <f t="shared" si="94"/>
        <v>176.81257896138806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0</v>
      </c>
      <c r="CL84" s="23">
        <f>EXP(-LN(2)/25)*CL83+(1-EXP(-LN(2)/25))/(LN(2)/25)*Calculateur!CG84*Calculateur!CI84*VLOOKUP('Données projet'!$B$12,Paramètres!$A$1:$I$89,3,0)*0.475*44/12</f>
        <v>0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0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3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5.6843418860808015E-14</v>
      </c>
      <c r="O85" s="14">
        <f>N85*VLOOKUP('Données projet'!$B$9,Paramètres!$A$1:$I$89,3,0)*VLOOKUP('Données projet'!$B$9,Paramètres!$A$1:$I$89,5,0)</f>
        <v>2.6602720026858149E-14</v>
      </c>
      <c r="P85" s="14">
        <f t="shared" si="87"/>
        <v>4.6624771586320878E-13</v>
      </c>
      <c r="Q85" s="22">
        <f t="shared" si="54"/>
        <v>8.583811758418665E-13</v>
      </c>
      <c r="R85" s="62">
        <f t="shared" si="55"/>
        <v>293.33333333333417</v>
      </c>
      <c r="S85" s="62">
        <f ca="1">AVERAGE(OFFSET($R$3,0,0,'Données projet'!$E$9+1,1))-AVERAGE(OFFSET($H$3,0,0,'Données projet'!$E$9+1,1))</f>
        <v>172.45217697899039</v>
      </c>
      <c r="T85" s="62">
        <f t="shared" si="88"/>
        <v>223.74038909289629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5.4875334164199883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2.3117570478074567E-7</v>
      </c>
      <c r="AC85" s="24">
        <f t="shared" si="57"/>
        <v>5.4875336475956926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5.8</v>
      </c>
      <c r="AI85" s="14">
        <f>IF('Données projet'!$A$62&gt;35,AI84+AH85-AQ84,IF(A85&lt;'Données projet'!$A$62,$AF$205^A85,IF(A85='Données projet'!$A$62,'Données projet'!$B$62,AI84+AH85-AQ84)))</f>
        <v>251.59999999999991</v>
      </c>
      <c r="AJ85" s="14">
        <f>AI85*VLOOKUP('Données projet'!$B$10,Paramètres!$A$1:$I$89,3,0)*VLOOKUP('Données projet'!$B$10,Paramètres!$A$1:$I$89,5,0)</f>
        <v>227.64767999999992</v>
      </c>
      <c r="AK85" s="14">
        <f t="shared" si="89"/>
        <v>55.773751036838313</v>
      </c>
      <c r="AL85" s="22">
        <f t="shared" si="58"/>
        <v>493.62565905582659</v>
      </c>
      <c r="AM85" s="62">
        <f t="shared" si="59"/>
        <v>786.9589923891599</v>
      </c>
      <c r="AN85" s="62">
        <f ca="1">AVERAGE(OFFSET($AM$3,0,0,'Données projet'!$E$10+1,1))-AVERAGE(OFFSET($H$3,0,0,'Données projet'!$E$10+1,1))</f>
        <v>364.3481978218424</v>
      </c>
      <c r="AO85" s="62">
        <f t="shared" si="90"/>
        <v>231.36959598460686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projet'!$B$11,Paramètres!$A$1:$I$89,3,0)*VLOOKUP('Données projet'!$B$11,Paramètres!$A$1:$I$89,5,0)</f>
        <v>255.12239999999991</v>
      </c>
      <c r="BF85" s="14">
        <f t="shared" si="91"/>
        <v>61.681527554261443</v>
      </c>
      <c r="BG85" s="22">
        <f t="shared" si="61"/>
        <v>551.7668404903385</v>
      </c>
      <c r="BH85" s="62">
        <f t="shared" si="62"/>
        <v>845.10017382367187</v>
      </c>
      <c r="BI85" s="62">
        <f ca="1">AVERAGE(OFFSET($BH$3,0,0,'Données projet'!$E$11+1,1))-AVERAGE(OFFSET($H$3,0,0,'Données projet'!$E$11+1,1))</f>
        <v>403.50418598112844</v>
      </c>
      <c r="BJ85" s="62">
        <f t="shared" si="92"/>
        <v>254.25036207346591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0</v>
      </c>
      <c r="BQ85" s="23">
        <f>EXP(-LN(2)/25)*BQ84+(1-EXP(-LN(2)/25))/(LN(2)/25)*Calculateur!BL85*Calculateur!BN85*VLOOKUP('Données projet'!$B$11,Paramètres!$A$1:$I$89,3,0)*0.475*44/12</f>
        <v>0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0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7</v>
      </c>
      <c r="BY85" s="13">
        <f>IF('Données projet'!$A$114&gt;35,BY84+BX85-CG84,IF(A85&lt;'Données projet'!$A$114,$BV$205^A85,IF(A85='Données projet'!$A$114,'Données projet'!$B$114,BY84+BX85-CG84)))</f>
        <v>262.99999999999977</v>
      </c>
      <c r="BZ85" s="14">
        <f>BY85*VLOOKUP('Données projet'!$B$12,Paramètres!$A$1:$I$89,3,0)*VLOOKUP('Données projet'!$B$12,Paramètres!$A$1:$I$89,5,0)</f>
        <v>225.65399999999983</v>
      </c>
      <c r="CA85" s="14">
        <f t="shared" si="93"/>
        <v>55.341933960508968</v>
      </c>
      <c r="CB85" s="22">
        <f t="shared" si="64"/>
        <v>489.40125164788623</v>
      </c>
      <c r="CC85" s="62">
        <f t="shared" si="65"/>
        <v>782.73458498121954</v>
      </c>
      <c r="CD85" s="62">
        <f ca="1">AVERAGE(OFFSET($CC$3,0,0,'Données projet'!$E$12+1,1))-AVERAGE(OFFSET($H$3,0,0,'Données projet'!$E$12+1,1))</f>
        <v>347.72886258008998</v>
      </c>
      <c r="CE85" s="62">
        <f t="shared" si="94"/>
        <v>176.81257896138806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0</v>
      </c>
      <c r="CL85" s="23">
        <f>EXP(-LN(2)/25)*CL84+(1-EXP(-LN(2)/25))/(LN(2)/25)*Calculateur!CG85*Calculateur!CI85*VLOOKUP('Données projet'!$B$12,Paramètres!$A$1:$I$89,3,0)*0.475*44/12</f>
        <v>0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0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3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5.6843418860808015E-14</v>
      </c>
      <c r="O86" s="14">
        <f>N86*VLOOKUP('Données projet'!$B$9,Paramètres!$A$1:$I$89,3,0)*VLOOKUP('Données projet'!$B$9,Paramètres!$A$1:$I$89,5,0)</f>
        <v>2.6602720026858149E-14</v>
      </c>
      <c r="P86" s="14">
        <f t="shared" si="87"/>
        <v>4.6624771586320878E-13</v>
      </c>
      <c r="Q86" s="22">
        <f t="shared" si="54"/>
        <v>8.583811758418665E-13</v>
      </c>
      <c r="R86" s="62">
        <f t="shared" si="55"/>
        <v>293.33333333333417</v>
      </c>
      <c r="S86" s="62">
        <f ca="1">AVERAGE(OFFSET($R$3,0,0,'Données projet'!$E$9+1,1))-AVERAGE(OFFSET($H$3,0,0,'Données projet'!$E$9+1,1))</f>
        <v>172.45217697899039</v>
      </c>
      <c r="T86" s="62">
        <f t="shared" si="88"/>
        <v>223.74038909289629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5.3799262331888809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1.6346590849604465E-7</v>
      </c>
      <c r="AC86" s="24">
        <f t="shared" si="57"/>
        <v>5.3799263966547892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5.8</v>
      </c>
      <c r="AI86" s="14">
        <f>IF('Données projet'!$A$62&gt;35,AI85+AH86-AQ85,IF(A86&lt;'Données projet'!$A$62,$AF$205^A86,IF(A86='Données projet'!$A$62,'Données projet'!$B$62,AI85+AH86-AQ85)))</f>
        <v>257.39999999999992</v>
      </c>
      <c r="AJ86" s="14">
        <f>AI86*VLOOKUP('Données projet'!$B$10,Paramètres!$A$1:$I$89,3,0)*VLOOKUP('Données projet'!$B$10,Paramètres!$A$1:$I$89,5,0)</f>
        <v>232.89551999999992</v>
      </c>
      <c r="AK86" s="14">
        <f t="shared" si="89"/>
        <v>56.908304063818662</v>
      </c>
      <c r="AL86" s="22">
        <f t="shared" si="58"/>
        <v>504.74166024448397</v>
      </c>
      <c r="AM86" s="62">
        <f t="shared" si="59"/>
        <v>798.07499357781728</v>
      </c>
      <c r="AN86" s="62">
        <f ca="1">AVERAGE(OFFSET($AM$3,0,0,'Données projet'!$E$10+1,1))-AVERAGE(OFFSET($H$3,0,0,'Données projet'!$E$10+1,1))</f>
        <v>364.3481978218424</v>
      </c>
      <c r="AO86" s="62">
        <f t="shared" si="90"/>
        <v>231.36959598460686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projet'!$B$11,Paramètres!$A$1:$I$89,3,0)*VLOOKUP('Données projet'!$B$11,Paramètres!$A$1:$I$89,5,0)</f>
        <v>261.00359999999995</v>
      </c>
      <c r="BF86" s="14">
        <f t="shared" si="91"/>
        <v>62.936256929541173</v>
      </c>
      <c r="BG86" s="22">
        <f t="shared" si="61"/>
        <v>564.19525081895074</v>
      </c>
      <c r="BH86" s="62">
        <f t="shared" si="62"/>
        <v>857.52858415228411</v>
      </c>
      <c r="BI86" s="62">
        <f ca="1">AVERAGE(OFFSET($BH$3,0,0,'Données projet'!$E$11+1,1))-AVERAGE(OFFSET($H$3,0,0,'Données projet'!$E$11+1,1))</f>
        <v>403.50418598112844</v>
      </c>
      <c r="BJ86" s="62">
        <f t="shared" si="92"/>
        <v>254.25036207346591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0</v>
      </c>
      <c r="BQ86" s="23">
        <f>EXP(-LN(2)/25)*BQ85+(1-EXP(-LN(2)/25))/(LN(2)/25)*Calculateur!BL86*Calculateur!BN86*VLOOKUP('Données projet'!$B$11,Paramètres!$A$1:$I$89,3,0)*0.475*44/12</f>
        <v>0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0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7</v>
      </c>
      <c r="BY86" s="13">
        <f>IF('Données projet'!$A$114&gt;35,BY85+BX86-CG85,IF(A86&lt;'Données projet'!$A$114,$BV$205^A86,IF(A86='Données projet'!$A$114,'Données projet'!$B$114,BY85+BX86-CG85)))</f>
        <v>269.99999999999977</v>
      </c>
      <c r="BZ86" s="14">
        <f>BY86*VLOOKUP('Données projet'!$B$12,Paramètres!$A$1:$I$89,3,0)*VLOOKUP('Données projet'!$B$12,Paramètres!$A$1:$I$89,5,0)</f>
        <v>231.65999999999983</v>
      </c>
      <c r="CA86" s="14">
        <f t="shared" si="93"/>
        <v>56.641461975682716</v>
      </c>
      <c r="CB86" s="22">
        <f t="shared" si="64"/>
        <v>502.12504627431366</v>
      </c>
      <c r="CC86" s="62">
        <f t="shared" si="65"/>
        <v>795.45837960764698</v>
      </c>
      <c r="CD86" s="62">
        <f ca="1">AVERAGE(OFFSET($CC$3,0,0,'Données projet'!$E$12+1,1))-AVERAGE(OFFSET($H$3,0,0,'Données projet'!$E$12+1,1))</f>
        <v>347.72886258008998</v>
      </c>
      <c r="CE86" s="62">
        <f t="shared" si="94"/>
        <v>176.81257896138806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0</v>
      </c>
      <c r="CL86" s="23">
        <f>EXP(-LN(2)/25)*CL85+(1-EXP(-LN(2)/25))/(LN(2)/25)*Calculateur!CG86*Calculateur!CI86*VLOOKUP('Données projet'!$B$12,Paramètres!$A$1:$I$89,3,0)*0.475*44/12</f>
        <v>0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0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3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5.6843418860808015E-14</v>
      </c>
      <c r="O87" s="14">
        <f>N87*VLOOKUP('Données projet'!$B$9,Paramètres!$A$1:$I$89,3,0)*VLOOKUP('Données projet'!$B$9,Paramètres!$A$1:$I$89,5,0)</f>
        <v>2.6602720026858149E-14</v>
      </c>
      <c r="P87" s="14">
        <f t="shared" si="87"/>
        <v>4.6624771586320878E-13</v>
      </c>
      <c r="Q87" s="22">
        <f t="shared" si="54"/>
        <v>8.583811758418665E-13</v>
      </c>
      <c r="R87" s="62">
        <f t="shared" si="55"/>
        <v>293.33333333333417</v>
      </c>
      <c r="S87" s="62">
        <f ca="1">AVERAGE(OFFSET($R$3,0,0,'Données projet'!$E$9+1,1))-AVERAGE(OFFSET($H$3,0,0,'Données projet'!$E$9+1,1))</f>
        <v>172.45217697899039</v>
      </c>
      <c r="T87" s="62">
        <f t="shared" si="88"/>
        <v>223.74038909289629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5.2744291611870349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1.1558785239037285E-7</v>
      </c>
      <c r="AC87" s="24">
        <f t="shared" si="57"/>
        <v>5.274429276774887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5.8</v>
      </c>
      <c r="AI87" s="14">
        <f>IF('Données projet'!$A$62&gt;35,AI86+AH87-AQ86,IF(A87&lt;'Données projet'!$A$62,$AF$205^A87,IF(A87='Données projet'!$A$62,'Données projet'!$B$62,AI86+AH87-AQ86)))</f>
        <v>263.19999999999993</v>
      </c>
      <c r="AJ87" s="14">
        <f>AI87*VLOOKUP('Données projet'!$B$10,Paramètres!$A$1:$I$89,3,0)*VLOOKUP('Données projet'!$B$10,Paramètres!$A$1:$I$89,5,0)</f>
        <v>238.14335999999992</v>
      </c>
      <c r="AK87" s="14">
        <f t="shared" si="89"/>
        <v>58.039884968630489</v>
      </c>
      <c r="AL87" s="22">
        <f t="shared" si="58"/>
        <v>515.85248498703129</v>
      </c>
      <c r="AM87" s="62">
        <f t="shared" si="59"/>
        <v>809.18581832036466</v>
      </c>
      <c r="AN87" s="62">
        <f ca="1">AVERAGE(OFFSET($AM$3,0,0,'Données projet'!$E$10+1,1))-AVERAGE(OFFSET($H$3,0,0,'Données projet'!$E$10+1,1))</f>
        <v>364.3481978218424</v>
      </c>
      <c r="AO87" s="62">
        <f t="shared" si="90"/>
        <v>231.36959598460686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projet'!$B$11,Paramètres!$A$1:$I$89,3,0)*VLOOKUP('Données projet'!$B$11,Paramètres!$A$1:$I$89,5,0)</f>
        <v>266.88479999999993</v>
      </c>
      <c r="BF87" s="14">
        <f t="shared" si="91"/>
        <v>64.18769936370569</v>
      </c>
      <c r="BG87" s="22">
        <f t="shared" si="61"/>
        <v>576.61793639178723</v>
      </c>
      <c r="BH87" s="62">
        <f t="shared" si="62"/>
        <v>869.95126972512048</v>
      </c>
      <c r="BI87" s="62">
        <f ca="1">AVERAGE(OFFSET($BH$3,0,0,'Données projet'!$E$11+1,1))-AVERAGE(OFFSET($H$3,0,0,'Données projet'!$E$11+1,1))</f>
        <v>403.50418598112844</v>
      </c>
      <c r="BJ87" s="62">
        <f t="shared" si="92"/>
        <v>254.25036207346591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0</v>
      </c>
      <c r="BQ87" s="23">
        <f>EXP(-LN(2)/25)*BQ86+(1-EXP(-LN(2)/25))/(LN(2)/25)*Calculateur!BL87*Calculateur!BN87*VLOOKUP('Données projet'!$B$11,Paramètres!$A$1:$I$89,3,0)*0.475*44/12</f>
        <v>0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0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7</v>
      </c>
      <c r="BY87" s="13">
        <f>IF('Données projet'!$A$114&gt;35,BY86+BX87-CG86,IF(A87&lt;'Données projet'!$A$114,$BV$205^A87,IF(A87='Données projet'!$A$114,'Données projet'!$B$114,BY86+BX87-CG86)))</f>
        <v>276.99999999999977</v>
      </c>
      <c r="BZ87" s="14">
        <f>BY87*VLOOKUP('Données projet'!$B$12,Paramètres!$A$1:$I$89,3,0)*VLOOKUP('Données projet'!$B$12,Paramètres!$A$1:$I$89,5,0)</f>
        <v>237.66599999999983</v>
      </c>
      <c r="CA87" s="14">
        <f t="shared" si="93"/>
        <v>57.937073751904528</v>
      </c>
      <c r="CB87" s="22">
        <f t="shared" si="64"/>
        <v>514.84202011790001</v>
      </c>
      <c r="CC87" s="62">
        <f t="shared" si="65"/>
        <v>808.17535345123338</v>
      </c>
      <c r="CD87" s="62">
        <f ca="1">AVERAGE(OFFSET($CC$3,0,0,'Données projet'!$E$12+1,1))-AVERAGE(OFFSET($H$3,0,0,'Données projet'!$E$12+1,1))</f>
        <v>347.72886258008998</v>
      </c>
      <c r="CE87" s="62">
        <f t="shared" si="94"/>
        <v>176.81257896138806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0</v>
      </c>
      <c r="CL87" s="23">
        <f>EXP(-LN(2)/25)*CL86+(1-EXP(-LN(2)/25))/(LN(2)/25)*Calculateur!CG87*Calculateur!CI87*VLOOKUP('Données projet'!$B$12,Paramètres!$A$1:$I$89,3,0)*0.475*44/12</f>
        <v>0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0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3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5.6843418860808015E-14</v>
      </c>
      <c r="O88" s="14">
        <f>N88*VLOOKUP('Données projet'!$B$9,Paramètres!$A$1:$I$89,3,0)*VLOOKUP('Données projet'!$B$9,Paramètres!$A$1:$I$89,5,0)</f>
        <v>2.6602720026858149E-14</v>
      </c>
      <c r="P88" s="14">
        <f t="shared" si="87"/>
        <v>4.6624771586320878E-13</v>
      </c>
      <c r="Q88" s="22">
        <f t="shared" si="54"/>
        <v>8.583811758418665E-13</v>
      </c>
      <c r="R88" s="62">
        <f t="shared" si="55"/>
        <v>293.33333333333417</v>
      </c>
      <c r="S88" s="62">
        <f ca="1">AVERAGE(OFFSET($R$3,0,0,'Données projet'!$E$9+1,1))-AVERAGE(OFFSET($H$3,0,0,'Données projet'!$E$9+1,1))</f>
        <v>172.45217697899039</v>
      </c>
      <c r="T88" s="62">
        <f t="shared" si="88"/>
        <v>223.74038909289629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5.171000822420285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8.1732954248022338E-8</v>
      </c>
      <c r="AC88" s="24">
        <f t="shared" si="57"/>
        <v>5.1710009041532397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269</v>
      </c>
      <c r="AG88" s="13">
        <f>VLOOKUP(A88,'Données projet'!$A$61:$I$81,9,0)</f>
        <v>5.8</v>
      </c>
      <c r="AH88" s="13">
        <f t="array" ref="AH88">INDEX(AG:AG,MIN(IF(ISNUMBER(AG88:AG284),ROW(AG88:AG284),"")))</f>
        <v>5.8</v>
      </c>
      <c r="AI88" s="14">
        <f>IF('Données projet'!$A$62&gt;35,AI87+AH88-AQ87,IF(A88&lt;'Données projet'!$A$62,$AF$205^A88,IF(A88='Données projet'!$A$62,'Données projet'!$B$62,AI87+AH88-AQ87)))</f>
        <v>268.99999999999994</v>
      </c>
      <c r="AJ88" s="14">
        <f>AI88*VLOOKUP('Données projet'!$B$10,Paramètres!$A$1:$I$89,3,0)*VLOOKUP('Données projet'!$B$10,Paramètres!$A$1:$I$89,5,0)</f>
        <v>243.39119999999994</v>
      </c>
      <c r="AK88" s="14">
        <f t="shared" si="89"/>
        <v>59.168566788241527</v>
      </c>
      <c r="AL88" s="22">
        <f t="shared" si="58"/>
        <v>526.95826048952051</v>
      </c>
      <c r="AM88" s="62">
        <f t="shared" si="59"/>
        <v>820.29159382285388</v>
      </c>
      <c r="AN88" s="62">
        <f ca="1">AVERAGE(OFFSET($AM$3,0,0,'Données projet'!$E$10+1,1))-AVERAGE(OFFSET($H$3,0,0,'Données projet'!$E$10+1,1))</f>
        <v>364.3481978218424</v>
      </c>
      <c r="AO88" s="62">
        <f t="shared" si="90"/>
        <v>231.36959598460686</v>
      </c>
      <c r="AP88" s="16">
        <f>IF(ISNA(VLOOKUP(A88,'Données projet'!$A$61:$I$81,3,0)),0,VLOOKUP(A88,'Données projet'!$A$61:$I$81,3,0))</f>
        <v>14</v>
      </c>
      <c r="AQ88" s="16">
        <f>IF(ISNA(VLOOKUP(A88,'Données projet'!$A$61:$I$81,4,0)),0,VLOOKUP(A88,'Données projet'!$A$61:$I$81,4,0))</f>
        <v>21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projet'!$B$11,Paramètres!$A$1:$I$89,3,0)*VLOOKUP('Données projet'!$B$11,Paramètres!$A$1:$I$89,5,0)</f>
        <v>272.76599999999996</v>
      </c>
      <c r="BF88" s="14">
        <f t="shared" si="91"/>
        <v>65.43593563008757</v>
      </c>
      <c r="BG88" s="22">
        <f t="shared" si="61"/>
        <v>589.03503788906914</v>
      </c>
      <c r="BH88" s="62">
        <f t="shared" si="62"/>
        <v>882.3683712224024</v>
      </c>
      <c r="BI88" s="62">
        <f ca="1">AVERAGE(OFFSET($BH$3,0,0,'Données projet'!$E$11+1,1))-AVERAGE(OFFSET($H$3,0,0,'Données projet'!$E$11+1,1))</f>
        <v>403.50418598112844</v>
      </c>
      <c r="BJ88" s="62">
        <f t="shared" si="92"/>
        <v>254.25036207346591</v>
      </c>
      <c r="BK88" s="16">
        <f>IF(ISNA(VLOOKUP(A88,'Données projet'!$A$87:$I$107,3,0)),0,VLOOKUP(A88,'Données projet'!$A$87:$I$107,3,0))</f>
        <v>14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0</v>
      </c>
      <c r="BQ88" s="23">
        <f>EXP(-LN(2)/25)*BQ87+(1-EXP(-LN(2)/25))/(LN(2)/25)*Calculateur!BL88*Calculateur!BN88*VLOOKUP('Données projet'!$B$11,Paramètres!$A$1:$I$89,3,0)*0.475*44/12</f>
        <v>0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0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>
        <f>VLOOKUP(A88,'Données projet'!$A$113:$I$133,2,0)</f>
        <v>284</v>
      </c>
      <c r="BW88" s="13">
        <f>VLOOKUP(A88,'Données projet'!$A$113:$I$133,9,0)</f>
        <v>7</v>
      </c>
      <c r="BX88" s="13">
        <f t="array" ref="BX88">INDEX(BW:BW,MIN(IF(ISNUMBER(BW88:BW284),ROW(BW88:BW284),"")))</f>
        <v>7</v>
      </c>
      <c r="BY88" s="13">
        <f>IF('Données projet'!$A$114&gt;35,BY87+BX88-CG87,IF(A88&lt;'Données projet'!$A$114,$BV$205^A88,IF(A88='Données projet'!$A$114,'Données projet'!$B$114,BY87+BX88-CG87)))</f>
        <v>283.99999999999977</v>
      </c>
      <c r="BZ88" s="14">
        <f>BY88*VLOOKUP('Données projet'!$B$12,Paramètres!$A$1:$I$89,3,0)*VLOOKUP('Données projet'!$B$12,Paramètres!$A$1:$I$89,5,0)</f>
        <v>243.67199999999983</v>
      </c>
      <c r="CA88" s="14">
        <f t="shared" si="93"/>
        <v>59.228879636606152</v>
      </c>
      <c r="CB88" s="22">
        <f t="shared" si="64"/>
        <v>527.55236536708867</v>
      </c>
      <c r="CC88" s="62">
        <f t="shared" si="65"/>
        <v>820.88569870042193</v>
      </c>
      <c r="CD88" s="62">
        <f ca="1">AVERAGE(OFFSET($CC$3,0,0,'Données projet'!$E$12+1,1))-AVERAGE(OFFSET($H$3,0,0,'Données projet'!$E$12+1,1))</f>
        <v>347.72886258008998</v>
      </c>
      <c r="CE88" s="62">
        <f t="shared" si="94"/>
        <v>176.81257896138806</v>
      </c>
      <c r="CF88" s="16">
        <f>IF(ISNA(VLOOKUP(A88,'Données projet'!$A$113:$I$133,3,0)),0,VLOOKUP(A88,'Données projet'!$A$113:$I$133,3,0))</f>
        <v>13</v>
      </c>
      <c r="CG88" s="16">
        <f>IF(ISNA(VLOOKUP(A88,'Données projet'!$A$113:$I$133,4,0)),0,VLOOKUP(A88,'Données projet'!$A$113:$I$133,4,0))</f>
        <v>21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0</v>
      </c>
      <c r="CL88" s="23">
        <f>EXP(-LN(2)/25)*CL87+(1-EXP(-LN(2)/25))/(LN(2)/25)*Calculateur!CG88*Calculateur!CI88*VLOOKUP('Données projet'!$B$12,Paramètres!$A$1:$I$89,3,0)*0.475*44/12</f>
        <v>0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0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3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5.6843418860808015E-14</v>
      </c>
      <c r="O89" s="14">
        <f>N89*VLOOKUP('Données projet'!$B$9,Paramètres!$A$1:$I$89,3,0)*VLOOKUP('Données projet'!$B$9,Paramètres!$A$1:$I$89,5,0)</f>
        <v>2.6602720026858149E-14</v>
      </c>
      <c r="P89" s="14">
        <f t="shared" si="87"/>
        <v>4.6624771586320878E-13</v>
      </c>
      <c r="Q89" s="22">
        <f t="shared" si="54"/>
        <v>8.583811758418665E-13</v>
      </c>
      <c r="R89" s="62">
        <f t="shared" si="55"/>
        <v>293.33333333333417</v>
      </c>
      <c r="S89" s="62">
        <f ca="1">AVERAGE(OFFSET($R$3,0,0,'Données projet'!$E$9+1,1))-AVERAGE(OFFSET($H$3,0,0,'Données projet'!$E$9+1,1))</f>
        <v>172.45217697899039</v>
      </c>
      <c r="T89" s="62">
        <f t="shared" si="88"/>
        <v>223.74038909289629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5.0696006502916937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5.7793926195186438E-8</v>
      </c>
      <c r="AC89" s="24">
        <f t="shared" si="57"/>
        <v>5.0696007080856198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5.4</v>
      </c>
      <c r="AI89" s="14">
        <f>IF('Données projet'!$A$62&gt;35,AI88+AH89-AQ88,IF(A89&lt;'Données projet'!$A$62,$AF$205^A89,IF(A89='Données projet'!$A$62,'Données projet'!$B$62,AI88+AH89-AQ88)))</f>
        <v>253.39999999999992</v>
      </c>
      <c r="AJ89" s="14">
        <f>AI89*VLOOKUP('Données projet'!$B$10,Paramètres!$A$1:$I$89,3,0)*VLOOKUP('Données projet'!$B$10,Paramètres!$A$1:$I$89,5,0)</f>
        <v>229.27631999999994</v>
      </c>
      <c r="AK89" s="14">
        <f t="shared" si="89"/>
        <v>56.126176307517476</v>
      </c>
      <c r="AL89" s="22">
        <f t="shared" si="58"/>
        <v>497.07601440225949</v>
      </c>
      <c r="AM89" s="62">
        <f t="shared" si="59"/>
        <v>790.40934773559275</v>
      </c>
      <c r="AN89" s="62">
        <f ca="1">AVERAGE(OFFSET($AM$3,0,0,'Données projet'!$E$10+1,1))-AVERAGE(OFFSET($H$3,0,0,'Données projet'!$E$10+1,1))</f>
        <v>364.3481978218424</v>
      </c>
      <c r="AO89" s="62">
        <f t="shared" si="90"/>
        <v>231.36959598460686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projet'!$B$11,Paramètres!$A$1:$I$89,3,0)*VLOOKUP('Données projet'!$B$11,Paramètres!$A$1:$I$89,5,0)</f>
        <v>256.94759999999991</v>
      </c>
      <c r="BF89" s="14">
        <f t="shared" si="91"/>
        <v>62.071283104858246</v>
      </c>
      <c r="BG89" s="22">
        <f t="shared" si="61"/>
        <v>555.62455474096134</v>
      </c>
      <c r="BH89" s="62">
        <f t="shared" si="62"/>
        <v>848.95788807429471</v>
      </c>
      <c r="BI89" s="62">
        <f ca="1">AVERAGE(OFFSET($BH$3,0,0,'Données projet'!$E$11+1,1))-AVERAGE(OFFSET($H$3,0,0,'Données projet'!$E$11+1,1))</f>
        <v>403.50418598112844</v>
      </c>
      <c r="BJ89" s="62">
        <f t="shared" si="92"/>
        <v>254.25036207346591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0</v>
      </c>
      <c r="BQ89" s="23">
        <f>EXP(-LN(2)/25)*BQ88+(1-EXP(-LN(2)/25))/(LN(2)/25)*Calculateur!BL89*Calculateur!BN89*VLOOKUP('Données projet'!$B$11,Paramètres!$A$1:$I$89,3,0)*0.475*44/12</f>
        <v>0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0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6.6</v>
      </c>
      <c r="BY89" s="13">
        <f>IF('Données projet'!$A$114&gt;35,BY88+BX89-CG88,IF(A89&lt;'Données projet'!$A$114,$BV$205^A89,IF(A89='Données projet'!$A$114,'Données projet'!$B$114,BY88+BX89-CG88)))</f>
        <v>269.5999999999998</v>
      </c>
      <c r="BZ89" s="14">
        <f>BY89*VLOOKUP('Données projet'!$B$12,Paramètres!$A$1:$I$89,3,0)*VLOOKUP('Données projet'!$B$12,Paramètres!$A$1:$I$89,5,0)</f>
        <v>231.31679999999983</v>
      </c>
      <c r="CA89" s="14">
        <f t="shared" si="93"/>
        <v>56.567309807584202</v>
      </c>
      <c r="CB89" s="22">
        <f t="shared" si="64"/>
        <v>501.39815791487553</v>
      </c>
      <c r="CC89" s="62">
        <f t="shared" si="65"/>
        <v>794.73149124820884</v>
      </c>
      <c r="CD89" s="62">
        <f ca="1">AVERAGE(OFFSET($CC$3,0,0,'Données projet'!$E$12+1,1))-AVERAGE(OFFSET($H$3,0,0,'Données projet'!$E$12+1,1))</f>
        <v>347.72886258008998</v>
      </c>
      <c r="CE89" s="62">
        <f t="shared" si="94"/>
        <v>176.81257896138806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0</v>
      </c>
      <c r="CL89" s="23">
        <f>EXP(-LN(2)/25)*CL88+(1-EXP(-LN(2)/25))/(LN(2)/25)*Calculateur!CG89*Calculateur!CI89*VLOOKUP('Données projet'!$B$12,Paramètres!$A$1:$I$89,3,0)*0.475*44/12</f>
        <v>0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0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3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5.6843418860808015E-14</v>
      </c>
      <c r="O90" s="14">
        <f>N90*VLOOKUP('Données projet'!$B$9,Paramètres!$A$1:$I$89,3,0)*VLOOKUP('Données projet'!$B$9,Paramètres!$A$1:$I$89,5,0)</f>
        <v>2.6602720026858149E-14</v>
      </c>
      <c r="P90" s="14">
        <f t="shared" si="87"/>
        <v>4.6624771586320878E-13</v>
      </c>
      <c r="Q90" s="22">
        <f t="shared" si="54"/>
        <v>8.583811758418665E-13</v>
      </c>
      <c r="R90" s="62">
        <f t="shared" si="55"/>
        <v>293.33333333333417</v>
      </c>
      <c r="S90" s="62">
        <f ca="1">AVERAGE(OFFSET($R$3,0,0,'Données projet'!$E$9+1,1))-AVERAGE(OFFSET($H$3,0,0,'Données projet'!$E$9+1,1))</f>
        <v>172.45217697899039</v>
      </c>
      <c r="T90" s="62">
        <f t="shared" si="88"/>
        <v>223.74038909289629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4.970188873690546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4.0866477124011175E-8</v>
      </c>
      <c r="AC90" s="24">
        <f t="shared" si="57"/>
        <v>4.9701889145570233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5.4</v>
      </c>
      <c r="AI90" s="14">
        <f>IF('Données projet'!$A$62&gt;35,AI89+AH90-AQ89,IF(A90&lt;'Données projet'!$A$62,$AF$205^A90,IF(A90='Données projet'!$A$62,'Données projet'!$B$62,AI89+AH90-AQ89)))</f>
        <v>258.7999999999999</v>
      </c>
      <c r="AJ90" s="14">
        <f>AI90*VLOOKUP('Données projet'!$B$10,Paramètres!$A$1:$I$89,3,0)*VLOOKUP('Données projet'!$B$10,Paramètres!$A$1:$I$89,5,0)</f>
        <v>234.16223999999988</v>
      </c>
      <c r="AK90" s="14">
        <f t="shared" si="89"/>
        <v>57.181713578143047</v>
      </c>
      <c r="AL90" s="22">
        <f t="shared" si="58"/>
        <v>507.42405248193222</v>
      </c>
      <c r="AM90" s="62">
        <f t="shared" si="59"/>
        <v>800.75738581526548</v>
      </c>
      <c r="AN90" s="62">
        <f ca="1">AVERAGE(OFFSET($AM$3,0,0,'Données projet'!$E$10+1,1))-AVERAGE(OFFSET($H$3,0,0,'Données projet'!$E$10+1,1))</f>
        <v>364.3481978218424</v>
      </c>
      <c r="AO90" s="62">
        <f t="shared" si="90"/>
        <v>231.36959598460686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projet'!$B$11,Paramètres!$A$1:$I$89,3,0)*VLOOKUP('Données projet'!$B$11,Paramètres!$A$1:$I$89,5,0)</f>
        <v>262.42319999999989</v>
      </c>
      <c r="BF90" s="14">
        <f t="shared" si="91"/>
        <v>63.238627062047733</v>
      </c>
      <c r="BG90" s="22">
        <f t="shared" si="61"/>
        <v>567.19434879973289</v>
      </c>
      <c r="BH90" s="62">
        <f t="shared" si="62"/>
        <v>860.52768213306626</v>
      </c>
      <c r="BI90" s="62">
        <f ca="1">AVERAGE(OFFSET($BH$3,0,0,'Données projet'!$E$11+1,1))-AVERAGE(OFFSET($H$3,0,0,'Données projet'!$E$11+1,1))</f>
        <v>403.50418598112844</v>
      </c>
      <c r="BJ90" s="62">
        <f t="shared" si="92"/>
        <v>254.25036207346591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0</v>
      </c>
      <c r="BQ90" s="23">
        <f>EXP(-LN(2)/25)*BQ89+(1-EXP(-LN(2)/25))/(LN(2)/25)*Calculateur!BL90*Calculateur!BN90*VLOOKUP('Données projet'!$B$11,Paramètres!$A$1:$I$89,3,0)*0.475*44/12</f>
        <v>0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0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6.6</v>
      </c>
      <c r="BY90" s="13">
        <f>IF('Données projet'!$A$114&gt;35,BY89+BX90-CG89,IF(A90&lt;'Données projet'!$A$114,$BV$205^A90,IF(A90='Données projet'!$A$114,'Données projet'!$B$114,BY89+BX90-CG89)))</f>
        <v>276.19999999999982</v>
      </c>
      <c r="BZ90" s="14">
        <f>BY90*VLOOKUP('Données projet'!$B$12,Paramètres!$A$1:$I$89,3,0)*VLOOKUP('Données projet'!$B$12,Paramètres!$A$1:$I$89,5,0)</f>
        <v>236.97959999999986</v>
      </c>
      <c r="CA90" s="14">
        <f t="shared" si="93"/>
        <v>57.789198481081975</v>
      </c>
      <c r="CB90" s="22">
        <f t="shared" si="64"/>
        <v>513.38899068788419</v>
      </c>
      <c r="CC90" s="62">
        <f t="shared" si="65"/>
        <v>806.72232402121745</v>
      </c>
      <c r="CD90" s="62">
        <f ca="1">AVERAGE(OFFSET($CC$3,0,0,'Données projet'!$E$12+1,1))-AVERAGE(OFFSET($H$3,0,0,'Données projet'!$E$12+1,1))</f>
        <v>347.72886258008998</v>
      </c>
      <c r="CE90" s="62">
        <f t="shared" si="94"/>
        <v>176.81257896138806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0</v>
      </c>
      <c r="CL90" s="23">
        <f>EXP(-LN(2)/25)*CL89+(1-EXP(-LN(2)/25))/(LN(2)/25)*Calculateur!CG90*Calculateur!CI90*VLOOKUP('Données projet'!$B$12,Paramètres!$A$1:$I$89,3,0)*0.475*44/12</f>
        <v>0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0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3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5.6843418860808015E-14</v>
      </c>
      <c r="O91" s="14">
        <f>N91*VLOOKUP('Données projet'!$B$9,Paramètres!$A$1:$I$89,3,0)*VLOOKUP('Données projet'!$B$9,Paramètres!$A$1:$I$89,5,0)</f>
        <v>2.6602720026858149E-14</v>
      </c>
      <c r="P91" s="14">
        <f t="shared" si="87"/>
        <v>4.6624771586320878E-13</v>
      </c>
      <c r="Q91" s="22">
        <f t="shared" si="54"/>
        <v>8.583811758418665E-13</v>
      </c>
      <c r="R91" s="62">
        <f t="shared" si="55"/>
        <v>293.33333333333417</v>
      </c>
      <c r="S91" s="62">
        <f ca="1">AVERAGE(OFFSET($R$3,0,0,'Données projet'!$E$9+1,1))-AVERAGE(OFFSET($H$3,0,0,'Données projet'!$E$9+1,1))</f>
        <v>172.45217697899039</v>
      </c>
      <c r="T91" s="62">
        <f t="shared" si="88"/>
        <v>223.74038909289629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4.8727265013933501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2.8896963097593222E-8</v>
      </c>
      <c r="AC91" s="24">
        <f t="shared" si="57"/>
        <v>4.8727265302903131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5.4</v>
      </c>
      <c r="AI91" s="14">
        <f>IF('Données projet'!$A$62&gt;35,AI90+AH91-AQ90,IF(A91&lt;'Données projet'!$A$62,$AF$205^A91,IF(A91='Données projet'!$A$62,'Données projet'!$B$62,AI90+AH91-AQ90)))</f>
        <v>264.19999999999987</v>
      </c>
      <c r="AJ91" s="14">
        <f>AI91*VLOOKUP('Données projet'!$B$10,Paramètres!$A$1:$I$89,3,0)*VLOOKUP('Données projet'!$B$10,Paramètres!$A$1:$I$89,5,0)</f>
        <v>239.04815999999985</v>
      </c>
      <c r="AK91" s="14">
        <f t="shared" si="89"/>
        <v>58.234690128947292</v>
      </c>
      <c r="AL91" s="22">
        <f t="shared" si="58"/>
        <v>517.76763064124964</v>
      </c>
      <c r="AM91" s="62">
        <f t="shared" si="59"/>
        <v>811.10096397458301</v>
      </c>
      <c r="AN91" s="62">
        <f ca="1">AVERAGE(OFFSET($AM$3,0,0,'Données projet'!$E$10+1,1))-AVERAGE(OFFSET($H$3,0,0,'Données projet'!$E$10+1,1))</f>
        <v>364.3481978218424</v>
      </c>
      <c r="AO91" s="62">
        <f t="shared" si="90"/>
        <v>231.36959598460686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projet'!$B$11,Paramètres!$A$1:$I$89,3,0)*VLOOKUP('Données projet'!$B$11,Paramètres!$A$1:$I$89,5,0)</f>
        <v>267.89879999999988</v>
      </c>
      <c r="BF91" s="14">
        <f t="shared" si="91"/>
        <v>64.403139057834508</v>
      </c>
      <c r="BG91" s="22">
        <f t="shared" si="61"/>
        <v>578.75921052572812</v>
      </c>
      <c r="BH91" s="62">
        <f t="shared" si="62"/>
        <v>872.09254385906138</v>
      </c>
      <c r="BI91" s="62">
        <f ca="1">AVERAGE(OFFSET($BH$3,0,0,'Données projet'!$E$11+1,1))-AVERAGE(OFFSET($H$3,0,0,'Données projet'!$E$11+1,1))</f>
        <v>403.50418598112844</v>
      </c>
      <c r="BJ91" s="62">
        <f t="shared" si="92"/>
        <v>254.25036207346591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0</v>
      </c>
      <c r="BQ91" s="23">
        <f>EXP(-LN(2)/25)*BQ90+(1-EXP(-LN(2)/25))/(LN(2)/25)*Calculateur!BL91*Calculateur!BN91*VLOOKUP('Données projet'!$B$11,Paramètres!$A$1:$I$89,3,0)*0.475*44/12</f>
        <v>0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0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6.6</v>
      </c>
      <c r="BY91" s="13">
        <f>IF('Données projet'!$A$114&gt;35,BY90+BX91-CG90,IF(A91&lt;'Données projet'!$A$114,$BV$205^A91,IF(A91='Données projet'!$A$114,'Données projet'!$B$114,BY90+BX91-CG90)))</f>
        <v>282.79999999999984</v>
      </c>
      <c r="BZ91" s="14">
        <f>BY91*VLOOKUP('Données projet'!$B$12,Paramètres!$A$1:$I$89,3,0)*VLOOKUP('Données projet'!$B$12,Paramètres!$A$1:$I$89,5,0)</f>
        <v>242.6423999999999</v>
      </c>
      <c r="CA91" s="14">
        <f t="shared" si="93"/>
        <v>59.007692897618249</v>
      </c>
      <c r="CB91" s="22">
        <f t="shared" si="64"/>
        <v>525.37391179668487</v>
      </c>
      <c r="CC91" s="62">
        <f t="shared" si="65"/>
        <v>818.70724513001824</v>
      </c>
      <c r="CD91" s="62">
        <f ca="1">AVERAGE(OFFSET($CC$3,0,0,'Données projet'!$E$12+1,1))-AVERAGE(OFFSET($H$3,0,0,'Données projet'!$E$12+1,1))</f>
        <v>347.72886258008998</v>
      </c>
      <c r="CE91" s="62">
        <f t="shared" si="94"/>
        <v>176.81257896138806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0</v>
      </c>
      <c r="CL91" s="23">
        <f>EXP(-LN(2)/25)*CL90+(1-EXP(-LN(2)/25))/(LN(2)/25)*Calculateur!CG91*Calculateur!CI91*VLOOKUP('Données projet'!$B$12,Paramètres!$A$1:$I$89,3,0)*0.475*44/12</f>
        <v>0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0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3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5.6843418860808015E-14</v>
      </c>
      <c r="O92" s="14">
        <f>N92*VLOOKUP('Données projet'!$B$9,Paramètres!$A$1:$I$89,3,0)*VLOOKUP('Données projet'!$B$9,Paramètres!$A$1:$I$89,5,0)</f>
        <v>2.6602720026858149E-14</v>
      </c>
      <c r="P92" s="14">
        <f t="shared" si="87"/>
        <v>4.6624771586320878E-13</v>
      </c>
      <c r="Q92" s="22">
        <f t="shared" si="54"/>
        <v>8.583811758418665E-13</v>
      </c>
      <c r="R92" s="62">
        <f t="shared" si="55"/>
        <v>293.33333333333417</v>
      </c>
      <c r="S92" s="62">
        <f ca="1">AVERAGE(OFFSET($R$3,0,0,'Données projet'!$E$9+1,1))-AVERAGE(OFFSET($H$3,0,0,'Données projet'!$E$9+1,1))</f>
        <v>172.45217697899039</v>
      </c>
      <c r="T92" s="62">
        <f t="shared" si="88"/>
        <v>223.74038909289629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4.777175306770725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2.0433238562005591E-8</v>
      </c>
      <c r="AC92" s="24">
        <f t="shared" si="57"/>
        <v>4.7771753272039632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5.4</v>
      </c>
      <c r="AI92" s="14">
        <f>IF('Données projet'!$A$62&gt;35,AI91+AH92-AQ91,IF(A92&lt;'Données projet'!$A$62,$AF$205^A92,IF(A92='Données projet'!$A$62,'Données projet'!$B$62,AI91+AH92-AQ91)))</f>
        <v>269.59999999999985</v>
      </c>
      <c r="AJ92" s="14">
        <f>AI92*VLOOKUP('Données projet'!$B$10,Paramètres!$A$1:$I$89,3,0)*VLOOKUP('Données projet'!$B$10,Paramètres!$A$1:$I$89,5,0)</f>
        <v>243.93407999999988</v>
      </c>
      <c r="AK92" s="14">
        <f t="shared" si="89"/>
        <v>59.285164329617594</v>
      </c>
      <c r="AL92" s="22">
        <f t="shared" si="58"/>
        <v>528.10685054075043</v>
      </c>
      <c r="AM92" s="62">
        <f t="shared" si="59"/>
        <v>821.44018387408369</v>
      </c>
      <c r="AN92" s="62">
        <f ca="1">AVERAGE(OFFSET($AM$3,0,0,'Données projet'!$E$10+1,1))-AVERAGE(OFFSET($H$3,0,0,'Données projet'!$E$10+1,1))</f>
        <v>364.3481978218424</v>
      </c>
      <c r="AO92" s="62">
        <f t="shared" si="90"/>
        <v>231.36959598460686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projet'!$B$11,Paramètres!$A$1:$I$89,3,0)*VLOOKUP('Données projet'!$B$11,Paramètres!$A$1:$I$89,5,0)</f>
        <v>273.37439999999987</v>
      </c>
      <c r="BF92" s="14">
        <f t="shared" si="91"/>
        <v>65.564883644654373</v>
      </c>
      <c r="BG92" s="22">
        <f t="shared" si="61"/>
        <v>590.3192523477727</v>
      </c>
      <c r="BH92" s="62">
        <f t="shared" si="62"/>
        <v>883.65258568110607</v>
      </c>
      <c r="BI92" s="62">
        <f ca="1">AVERAGE(OFFSET($BH$3,0,0,'Données projet'!$E$11+1,1))-AVERAGE(OFFSET($H$3,0,0,'Données projet'!$E$11+1,1))</f>
        <v>403.50418598112844</v>
      </c>
      <c r="BJ92" s="62">
        <f t="shared" si="92"/>
        <v>254.25036207346591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0</v>
      </c>
      <c r="BQ92" s="23">
        <f>EXP(-LN(2)/25)*BQ91+(1-EXP(-LN(2)/25))/(LN(2)/25)*Calculateur!BL92*Calculateur!BN92*VLOOKUP('Données projet'!$B$11,Paramètres!$A$1:$I$89,3,0)*0.475*44/12</f>
        <v>0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0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6.6</v>
      </c>
      <c r="BY92" s="13">
        <f>IF('Données projet'!$A$114&gt;35,BY91+BX92-CG91,IF(A92&lt;'Données projet'!$A$114,$BV$205^A92,IF(A92='Données projet'!$A$114,'Données projet'!$B$114,BY91+BX92-CG91)))</f>
        <v>289.39999999999986</v>
      </c>
      <c r="BZ92" s="14">
        <f>BY92*VLOOKUP('Données projet'!$B$12,Paramètres!$A$1:$I$89,3,0)*VLOOKUP('Données projet'!$B$12,Paramètres!$A$1:$I$89,5,0)</f>
        <v>248.3051999999999</v>
      </c>
      <c r="CA92" s="14">
        <f t="shared" si="93"/>
        <v>60.222881389387204</v>
      </c>
      <c r="CB92" s="22">
        <f t="shared" si="64"/>
        <v>537.3530750865159</v>
      </c>
      <c r="CC92" s="62">
        <f t="shared" si="65"/>
        <v>830.68640841984916</v>
      </c>
      <c r="CD92" s="62">
        <f ca="1">AVERAGE(OFFSET($CC$3,0,0,'Données projet'!$E$12+1,1))-AVERAGE(OFFSET($H$3,0,0,'Données projet'!$E$12+1,1))</f>
        <v>347.72886258008998</v>
      </c>
      <c r="CE92" s="62">
        <f t="shared" si="94"/>
        <v>176.81257896138806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0</v>
      </c>
      <c r="CL92" s="23">
        <f>EXP(-LN(2)/25)*CL91+(1-EXP(-LN(2)/25))/(LN(2)/25)*Calculateur!CG92*Calculateur!CI92*VLOOKUP('Données projet'!$B$12,Paramètres!$A$1:$I$89,3,0)*0.475*44/12</f>
        <v>0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0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3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5.6843418860808015E-14</v>
      </c>
      <c r="O93" s="14">
        <f>N93*VLOOKUP('Données projet'!$B$9,Paramètres!$A$1:$I$89,3,0)*VLOOKUP('Données projet'!$B$9,Paramètres!$A$1:$I$89,5,0)</f>
        <v>2.6602720026858149E-14</v>
      </c>
      <c r="P93" s="14">
        <f t="shared" si="87"/>
        <v>4.6624771586320878E-13</v>
      </c>
      <c r="Q93" s="22">
        <f t="shared" si="54"/>
        <v>8.583811758418665E-13</v>
      </c>
      <c r="R93" s="62">
        <f t="shared" si="55"/>
        <v>293.33333333333417</v>
      </c>
      <c r="S93" s="62">
        <f ca="1">AVERAGE(OFFSET($R$3,0,0,'Données projet'!$E$9+1,1))-AVERAGE(OFFSET($H$3,0,0,'Données projet'!$E$9+1,1))</f>
        <v>172.45217697899039</v>
      </c>
      <c r="T93" s="62">
        <f t="shared" si="88"/>
        <v>223.74038909289629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4.6834978127941751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1.4448481548796613E-8</v>
      </c>
      <c r="AC93" s="24">
        <f t="shared" si="57"/>
        <v>4.6834978272426566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275</v>
      </c>
      <c r="AG93" s="13">
        <f>VLOOKUP(A93,'Données projet'!$A$61:$I$81,9,0)</f>
        <v>5.4</v>
      </c>
      <c r="AH93" s="13">
        <f t="array" ref="AH93">INDEX(AG:AG,MIN(IF(ISNUMBER(AG93:AG289),ROW(AG93:AG289),"")))</f>
        <v>5.4</v>
      </c>
      <c r="AI93" s="14">
        <f>IF('Données projet'!$A$62&gt;35,AI92+AH93-AQ92,IF(A93&lt;'Données projet'!$A$62,$AF$205^A93,IF(A93='Données projet'!$A$62,'Données projet'!$B$62,AI92+AH93-AQ92)))</f>
        <v>274.99999999999983</v>
      </c>
      <c r="AJ93" s="14">
        <f>AI93*VLOOKUP('Données projet'!$B$10,Paramètres!$A$1:$I$89,3,0)*VLOOKUP('Données projet'!$B$10,Paramètres!$A$1:$I$89,5,0)</f>
        <v>248.81999999999982</v>
      </c>
      <c r="AK93" s="14">
        <f t="shared" si="89"/>
        <v>60.333192077890018</v>
      </c>
      <c r="AL93" s="22">
        <f t="shared" si="58"/>
        <v>538.44180953565808</v>
      </c>
      <c r="AM93" s="62">
        <f t="shared" si="59"/>
        <v>831.77514286899145</v>
      </c>
      <c r="AN93" s="62">
        <f ca="1">AVERAGE(OFFSET($AM$3,0,0,'Données projet'!$E$10+1,1))-AVERAGE(OFFSET($H$3,0,0,'Données projet'!$E$10+1,1))</f>
        <v>364.3481978218424</v>
      </c>
      <c r="AO93" s="62">
        <f t="shared" si="90"/>
        <v>231.36959598460686</v>
      </c>
      <c r="AP93" s="16">
        <f>IF(ISNA(VLOOKUP(A93,'Données projet'!$A$61:$I$81,3,0)),0,VLOOKUP(A93,'Données projet'!$A$61:$I$81,3,0))</f>
        <v>15</v>
      </c>
      <c r="AQ93" s="16">
        <f>IF(ISNA(VLOOKUP(A93,'Données projet'!$A$61:$I$81,4,0)),0,VLOOKUP(A93,'Données projet'!$A$61:$I$81,4,0))</f>
        <v>21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projet'!$B$11,Paramètres!$A$1:$I$89,3,0)*VLOOKUP('Données projet'!$B$11,Paramètres!$A$1:$I$89,5,0)</f>
        <v>278.84999999999985</v>
      </c>
      <c r="BF93" s="14">
        <f t="shared" si="91"/>
        <v>66.723922641152967</v>
      </c>
      <c r="BG93" s="22">
        <f t="shared" si="61"/>
        <v>601.87458193334112</v>
      </c>
      <c r="BH93" s="62">
        <f t="shared" si="62"/>
        <v>895.20791526667449</v>
      </c>
      <c r="BI93" s="62">
        <f ca="1">AVERAGE(OFFSET($BH$3,0,0,'Données projet'!$E$11+1,1))-AVERAGE(OFFSET($H$3,0,0,'Données projet'!$E$11+1,1))</f>
        <v>403.50418598112844</v>
      </c>
      <c r="BJ93" s="62">
        <f t="shared" si="92"/>
        <v>254.25036207346591</v>
      </c>
      <c r="BK93" s="16">
        <f>IF(ISNA(VLOOKUP(A93,'Données projet'!$A$87:$I$107,3,0)),0,VLOOKUP(A93,'Données projet'!$A$87:$I$107,3,0))</f>
        <v>15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0</v>
      </c>
      <c r="BQ93" s="23">
        <f>EXP(-LN(2)/25)*BQ92+(1-EXP(-LN(2)/25))/(LN(2)/25)*Calculateur!BL93*Calculateur!BN93*VLOOKUP('Données projet'!$B$11,Paramètres!$A$1:$I$89,3,0)*0.475*44/12</f>
        <v>0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0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296</v>
      </c>
      <c r="BW93" s="13">
        <f>VLOOKUP(A93,'Données projet'!$A$113:$I$133,9,0)</f>
        <v>6.6</v>
      </c>
      <c r="BX93" s="13">
        <f t="array" ref="BX93">INDEX(BW:BW,MIN(IF(ISNUMBER(BW93:BW289),ROW(BW93:BW289),"")))</f>
        <v>6.6</v>
      </c>
      <c r="BY93" s="13">
        <f>IF('Données projet'!$A$114&gt;35,BY92+BX93-CG92,IF(A93&lt;'Données projet'!$A$114,$BV$205^A93,IF(A93='Données projet'!$A$114,'Données projet'!$B$114,BY92+BX93-CG92)))</f>
        <v>295.99999999999989</v>
      </c>
      <c r="BZ93" s="14">
        <f>BY93*VLOOKUP('Données projet'!$B$12,Paramètres!$A$1:$I$89,3,0)*VLOOKUP('Données projet'!$B$12,Paramètres!$A$1:$I$89,5,0)</f>
        <v>253.96799999999993</v>
      </c>
      <c r="CA93" s="14">
        <f t="shared" si="93"/>
        <v>61.434848029666512</v>
      </c>
      <c r="CB93" s="22">
        <f t="shared" si="64"/>
        <v>549.32662698500235</v>
      </c>
      <c r="CC93" s="62">
        <f t="shared" si="65"/>
        <v>842.65996031833561</v>
      </c>
      <c r="CD93" s="62">
        <f ca="1">AVERAGE(OFFSET($CC$3,0,0,'Données projet'!$E$12+1,1))-AVERAGE(OFFSET($H$3,0,0,'Données projet'!$E$12+1,1))</f>
        <v>347.72886258008998</v>
      </c>
      <c r="CE93" s="62">
        <f t="shared" si="94"/>
        <v>176.81257896138806</v>
      </c>
      <c r="CF93" s="16">
        <f>IF(ISNA(VLOOKUP(A93,'Données projet'!$A$113:$I$133,3,0)),0,VLOOKUP(A93,'Données projet'!$A$113:$I$133,3,0))</f>
        <v>14</v>
      </c>
      <c r="CG93" s="16">
        <f>IF(ISNA(VLOOKUP(A93,'Données projet'!$A$113:$I$133,4,0)),0,VLOOKUP(A93,'Données projet'!$A$113:$I$133,4,0))</f>
        <v>21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0</v>
      </c>
      <c r="CL93" s="23">
        <f>EXP(-LN(2)/25)*CL92+(1-EXP(-LN(2)/25))/(LN(2)/25)*Calculateur!CG93*Calculateur!CI93*VLOOKUP('Données projet'!$B$12,Paramètres!$A$1:$I$89,3,0)*0.475*44/12</f>
        <v>0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0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3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5.6843418860808015E-14</v>
      </c>
      <c r="O94" s="14">
        <f>N94*VLOOKUP('Données projet'!$B$9,Paramètres!$A$1:$I$89,3,0)*VLOOKUP('Données projet'!$B$9,Paramètres!$A$1:$I$89,5,0)</f>
        <v>2.6602720026858149E-14</v>
      </c>
      <c r="P94" s="14">
        <f t="shared" si="87"/>
        <v>4.6624771586320878E-13</v>
      </c>
      <c r="Q94" s="22">
        <f t="shared" si="54"/>
        <v>8.583811758418665E-13</v>
      </c>
      <c r="R94" s="62">
        <f t="shared" si="55"/>
        <v>293.33333333333417</v>
      </c>
      <c r="S94" s="62">
        <f ca="1">AVERAGE(OFFSET($R$3,0,0,'Données projet'!$E$9+1,1))-AVERAGE(OFFSET($H$3,0,0,'Données projet'!$E$9+1,1))</f>
        <v>172.45217697899039</v>
      </c>
      <c r="T94" s="62">
        <f t="shared" si="88"/>
        <v>223.74038909289629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4.5916572773368758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1.0216619281002797E-8</v>
      </c>
      <c r="AC94" s="24">
        <f t="shared" si="57"/>
        <v>4.5916572875534953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5</v>
      </c>
      <c r="AI94" s="14">
        <f>IF('Données projet'!$A$62&gt;35,AI93+AH94-AQ93,IF(A94&lt;'Données projet'!$A$62,$AF$205^A94,IF(A94='Données projet'!$A$62,'Données projet'!$B$62,AI93+AH94-AQ93)))</f>
        <v>258.99999999999983</v>
      </c>
      <c r="AJ94" s="14">
        <f>AI94*VLOOKUP('Données projet'!$B$10,Paramètres!$A$1:$I$89,3,0)*VLOOKUP('Données projet'!$B$10,Paramètres!$A$1:$I$89,5,0)</f>
        <v>234.34319999999983</v>
      </c>
      <c r="AK94" s="14">
        <f t="shared" si="89"/>
        <v>57.220758006491614</v>
      </c>
      <c r="AL94" s="22">
        <f t="shared" si="58"/>
        <v>507.80722686130588</v>
      </c>
      <c r="AM94" s="62">
        <f t="shared" si="59"/>
        <v>801.14056019463919</v>
      </c>
      <c r="AN94" s="62">
        <f ca="1">AVERAGE(OFFSET($AM$3,0,0,'Données projet'!$E$10+1,1))-AVERAGE(OFFSET($H$3,0,0,'Données projet'!$E$10+1,1))</f>
        <v>364.3481978218424</v>
      </c>
      <c r="AO94" s="62">
        <f t="shared" si="90"/>
        <v>231.36959598460686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projet'!$B$11,Paramètres!$A$1:$I$89,3,0)*VLOOKUP('Données projet'!$B$11,Paramètres!$A$1:$I$89,5,0)</f>
        <v>262.62599999999986</v>
      </c>
      <c r="BF94" s="14">
        <f t="shared" si="91"/>
        <v>63.281807230823397</v>
      </c>
      <c r="BG94" s="22">
        <f t="shared" si="61"/>
        <v>567.62276426035044</v>
      </c>
      <c r="BH94" s="62">
        <f t="shared" si="62"/>
        <v>860.95609759368381</v>
      </c>
      <c r="BI94" s="62">
        <f ca="1">AVERAGE(OFFSET($BH$3,0,0,'Données projet'!$E$11+1,1))-AVERAGE(OFFSET($H$3,0,0,'Données projet'!$E$11+1,1))</f>
        <v>403.50418598112844</v>
      </c>
      <c r="BJ94" s="62">
        <f t="shared" si="92"/>
        <v>254.25036207346591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0</v>
      </c>
      <c r="BQ94" s="23">
        <f>EXP(-LN(2)/25)*BQ93+(1-EXP(-LN(2)/25))/(LN(2)/25)*Calculateur!BL94*Calculateur!BN94*VLOOKUP('Données projet'!$B$11,Paramètres!$A$1:$I$89,3,0)*0.475*44/12</f>
        <v>0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0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6.2</v>
      </c>
      <c r="BY94" s="13">
        <f>IF('Données projet'!$A$114&gt;35,BY93+BX94-CG93,IF(A94&lt;'Données projet'!$A$114,$BV$205^A94,IF(A94='Données projet'!$A$114,'Données projet'!$B$114,BY93+BX94-CG93)))</f>
        <v>281.19999999999987</v>
      </c>
      <c r="BZ94" s="14">
        <f>BY94*VLOOKUP('Données projet'!$B$12,Paramètres!$A$1:$I$89,3,0)*VLOOKUP('Données projet'!$B$12,Paramètres!$A$1:$I$89,5,0)</f>
        <v>241.26959999999991</v>
      </c>
      <c r="CA94" s="14">
        <f t="shared" si="93"/>
        <v>58.71260717188342</v>
      </c>
      <c r="CB94" s="22">
        <f t="shared" si="64"/>
        <v>522.46901082436341</v>
      </c>
      <c r="CC94" s="62">
        <f t="shared" si="65"/>
        <v>815.80234415769678</v>
      </c>
      <c r="CD94" s="62">
        <f ca="1">AVERAGE(OFFSET($CC$3,0,0,'Données projet'!$E$12+1,1))-AVERAGE(OFFSET($H$3,0,0,'Données projet'!$E$12+1,1))</f>
        <v>347.72886258008998</v>
      </c>
      <c r="CE94" s="62">
        <f t="shared" si="94"/>
        <v>176.81257896138806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0</v>
      </c>
      <c r="CL94" s="23">
        <f>EXP(-LN(2)/25)*CL93+(1-EXP(-LN(2)/25))/(LN(2)/25)*Calculateur!CG94*Calculateur!CI94*VLOOKUP('Données projet'!$B$12,Paramètres!$A$1:$I$89,3,0)*0.475*44/12</f>
        <v>0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0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3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5.6843418860808015E-14</v>
      </c>
      <c r="O95" s="14">
        <f>N95*VLOOKUP('Données projet'!$B$9,Paramètres!$A$1:$I$89,3,0)*VLOOKUP('Données projet'!$B$9,Paramètres!$A$1:$I$89,5,0)</f>
        <v>2.6602720026858149E-14</v>
      </c>
      <c r="P95" s="14">
        <f t="shared" si="87"/>
        <v>4.6624771586320878E-13</v>
      </c>
      <c r="Q95" s="22">
        <f t="shared" si="54"/>
        <v>8.583811758418665E-13</v>
      </c>
      <c r="R95" s="62">
        <f t="shared" si="55"/>
        <v>293.33333333333417</v>
      </c>
      <c r="S95" s="62">
        <f ca="1">AVERAGE(OFFSET($R$3,0,0,'Données projet'!$E$9+1,1))-AVERAGE(OFFSET($H$3,0,0,'Données projet'!$E$9+1,1))</f>
        <v>172.45217697899039</v>
      </c>
      <c r="T95" s="62">
        <f t="shared" si="88"/>
        <v>223.74038909289629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4.5016176787626989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7.2242407743983081E-9</v>
      </c>
      <c r="AC95" s="24">
        <f t="shared" si="57"/>
        <v>4.5016176859869397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5</v>
      </c>
      <c r="AI95" s="14">
        <f>IF('Données projet'!$A$62&gt;35,AI94+AH95-AQ94,IF(A95&lt;'Données projet'!$A$62,$AF$205^A95,IF(A95='Données projet'!$A$62,'Données projet'!$B$62,AI94+AH95-AQ94)))</f>
        <v>263.99999999999983</v>
      </c>
      <c r="AJ95" s="14">
        <f>AI95*VLOOKUP('Données projet'!$B$10,Paramètres!$A$1:$I$89,3,0)*VLOOKUP('Données projet'!$B$10,Paramètres!$A$1:$I$89,5,0)</f>
        <v>238.86719999999983</v>
      </c>
      <c r="AK95" s="14">
        <f t="shared" si="89"/>
        <v>58.195735973104156</v>
      </c>
      <c r="AL95" s="22">
        <f t="shared" si="58"/>
        <v>517.38461348648946</v>
      </c>
      <c r="AM95" s="62">
        <f t="shared" si="59"/>
        <v>810.71794681982283</v>
      </c>
      <c r="AN95" s="62">
        <f ca="1">AVERAGE(OFFSET($AM$3,0,0,'Données projet'!$E$10+1,1))-AVERAGE(OFFSET($H$3,0,0,'Données projet'!$E$10+1,1))</f>
        <v>364.3481978218424</v>
      </c>
      <c r="AO95" s="62">
        <f t="shared" si="90"/>
        <v>231.36959598460686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projet'!$B$11,Paramètres!$A$1:$I$89,3,0)*VLOOKUP('Données projet'!$B$11,Paramètres!$A$1:$I$89,5,0)</f>
        <v>267.69599999999986</v>
      </c>
      <c r="BF95" s="14">
        <f t="shared" si="91"/>
        <v>64.360058723585439</v>
      </c>
      <c r="BG95" s="22">
        <f t="shared" si="61"/>
        <v>578.33096894357766</v>
      </c>
      <c r="BH95" s="62">
        <f t="shared" si="62"/>
        <v>871.66430227691103</v>
      </c>
      <c r="BI95" s="62">
        <f ca="1">AVERAGE(OFFSET($BH$3,0,0,'Données projet'!$E$11+1,1))-AVERAGE(OFFSET($H$3,0,0,'Données projet'!$E$11+1,1))</f>
        <v>403.50418598112844</v>
      </c>
      <c r="BJ95" s="62">
        <f t="shared" si="92"/>
        <v>254.25036207346591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0</v>
      </c>
      <c r="BQ95" s="23">
        <f>EXP(-LN(2)/25)*BQ94+(1-EXP(-LN(2)/25))/(LN(2)/25)*Calculateur!BL95*Calculateur!BN95*VLOOKUP('Données projet'!$B$11,Paramètres!$A$1:$I$89,3,0)*0.475*44/12</f>
        <v>0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0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6.2</v>
      </c>
      <c r="BY95" s="13">
        <f>IF('Données projet'!$A$114&gt;35,BY94+BX95-CG94,IF(A95&lt;'Données projet'!$A$114,$BV$205^A95,IF(A95='Données projet'!$A$114,'Données projet'!$B$114,BY94+BX95-CG94)))</f>
        <v>287.39999999999986</v>
      </c>
      <c r="BZ95" s="14">
        <f>BY95*VLOOKUP('Données projet'!$B$12,Paramètres!$A$1:$I$89,3,0)*VLOOKUP('Données projet'!$B$12,Paramètres!$A$1:$I$89,5,0)</f>
        <v>246.58919999999992</v>
      </c>
      <c r="CA95" s="14">
        <f t="shared" si="93"/>
        <v>59.854986461295475</v>
      </c>
      <c r="CB95" s="22">
        <f t="shared" si="64"/>
        <v>533.72362475342277</v>
      </c>
      <c r="CC95" s="62">
        <f t="shared" si="65"/>
        <v>827.05695808675614</v>
      </c>
      <c r="CD95" s="62">
        <f ca="1">AVERAGE(OFFSET($CC$3,0,0,'Données projet'!$E$12+1,1))-AVERAGE(OFFSET($H$3,0,0,'Données projet'!$E$12+1,1))</f>
        <v>347.72886258008998</v>
      </c>
      <c r="CE95" s="62">
        <f t="shared" si="94"/>
        <v>176.81257896138806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0</v>
      </c>
      <c r="CL95" s="23">
        <f>EXP(-LN(2)/25)*CL94+(1-EXP(-LN(2)/25))/(LN(2)/25)*Calculateur!CG95*Calculateur!CI95*VLOOKUP('Données projet'!$B$12,Paramètres!$A$1:$I$89,3,0)*0.475*44/12</f>
        <v>0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0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3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5.6843418860808015E-14</v>
      </c>
      <c r="O96" s="14">
        <f>N96*VLOOKUP('Données projet'!$B$9,Paramètres!$A$1:$I$89,3,0)*VLOOKUP('Données projet'!$B$9,Paramètres!$A$1:$I$89,5,0)</f>
        <v>2.6602720026858149E-14</v>
      </c>
      <c r="P96" s="14">
        <f t="shared" si="87"/>
        <v>4.6624771586320878E-13</v>
      </c>
      <c r="Q96" s="22">
        <f t="shared" si="54"/>
        <v>8.583811758418665E-13</v>
      </c>
      <c r="R96" s="62">
        <f t="shared" si="55"/>
        <v>293.33333333333417</v>
      </c>
      <c r="S96" s="62">
        <f ca="1">AVERAGE(OFFSET($R$3,0,0,'Données projet'!$E$9+1,1))-AVERAGE(OFFSET($H$3,0,0,'Données projet'!$E$9+1,1))</f>
        <v>172.45217697899039</v>
      </c>
      <c r="T96" s="62">
        <f t="shared" si="88"/>
        <v>223.74038909289629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4.4133437017978299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5.1083096405013994E-9</v>
      </c>
      <c r="AC96" s="24">
        <f t="shared" si="57"/>
        <v>4.4133437069061392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5</v>
      </c>
      <c r="AI96" s="14">
        <f>IF('Données projet'!$A$62&gt;35,AI95+AH96-AQ95,IF(A96&lt;'Données projet'!$A$62,$AF$205^A96,IF(A96='Données projet'!$A$62,'Données projet'!$B$62,AI95+AH96-AQ95)))</f>
        <v>268.99999999999983</v>
      </c>
      <c r="AJ96" s="14">
        <f>AI96*VLOOKUP('Données projet'!$B$10,Paramètres!$A$1:$I$89,3,0)*VLOOKUP('Données projet'!$B$10,Paramètres!$A$1:$I$89,5,0)</f>
        <v>243.39119999999986</v>
      </c>
      <c r="AK96" s="14">
        <f t="shared" si="89"/>
        <v>59.168566788241527</v>
      </c>
      <c r="AL96" s="22">
        <f t="shared" si="58"/>
        <v>526.95826048952051</v>
      </c>
      <c r="AM96" s="62">
        <f t="shared" si="59"/>
        <v>820.29159382285388</v>
      </c>
      <c r="AN96" s="62">
        <f ca="1">AVERAGE(OFFSET($AM$3,0,0,'Données projet'!$E$10+1,1))-AVERAGE(OFFSET($H$3,0,0,'Données projet'!$E$10+1,1))</f>
        <v>364.3481978218424</v>
      </c>
      <c r="AO96" s="62">
        <f t="shared" si="90"/>
        <v>231.36959598460686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projet'!$B$11,Paramètres!$A$1:$I$89,3,0)*VLOOKUP('Données projet'!$B$11,Paramètres!$A$1:$I$89,5,0)</f>
        <v>272.76599999999985</v>
      </c>
      <c r="BF96" s="14">
        <f t="shared" si="91"/>
        <v>65.43593563008757</v>
      </c>
      <c r="BG96" s="22">
        <f t="shared" si="61"/>
        <v>589.03503788906892</v>
      </c>
      <c r="BH96" s="62">
        <f t="shared" si="62"/>
        <v>882.36837122240217</v>
      </c>
      <c r="BI96" s="62">
        <f ca="1">AVERAGE(OFFSET($BH$3,0,0,'Données projet'!$E$11+1,1))-AVERAGE(OFFSET($H$3,0,0,'Données projet'!$E$11+1,1))</f>
        <v>403.50418598112844</v>
      </c>
      <c r="BJ96" s="62">
        <f t="shared" si="92"/>
        <v>254.25036207346591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0</v>
      </c>
      <c r="BQ96" s="23">
        <f>EXP(-LN(2)/25)*BQ95+(1-EXP(-LN(2)/25))/(LN(2)/25)*Calculateur!BL96*Calculateur!BN96*VLOOKUP('Données projet'!$B$11,Paramètres!$A$1:$I$89,3,0)*0.475*44/12</f>
        <v>0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0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6.2</v>
      </c>
      <c r="BY96" s="13">
        <f>IF('Données projet'!$A$114&gt;35,BY95+BX96-CG95,IF(A96&lt;'Données projet'!$A$114,$BV$205^A96,IF(A96='Données projet'!$A$114,'Données projet'!$B$114,BY95+BX96-CG95)))</f>
        <v>293.59999999999985</v>
      </c>
      <c r="BZ96" s="14">
        <f>BY96*VLOOKUP('Données projet'!$B$12,Paramètres!$A$1:$I$89,3,0)*VLOOKUP('Données projet'!$B$12,Paramètres!$A$1:$I$89,5,0)</f>
        <v>251.9087999999999</v>
      </c>
      <c r="CA96" s="14">
        <f t="shared" si="93"/>
        <v>60.99450052606884</v>
      </c>
      <c r="CB96" s="22">
        <f t="shared" si="64"/>
        <v>544.97324841623629</v>
      </c>
      <c r="CC96" s="62">
        <f t="shared" si="65"/>
        <v>838.30658174956966</v>
      </c>
      <c r="CD96" s="62">
        <f ca="1">AVERAGE(OFFSET($CC$3,0,0,'Données projet'!$E$12+1,1))-AVERAGE(OFFSET($H$3,0,0,'Données projet'!$E$12+1,1))</f>
        <v>347.72886258008998</v>
      </c>
      <c r="CE96" s="62">
        <f t="shared" si="94"/>
        <v>176.81257896138806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0</v>
      </c>
      <c r="CL96" s="23">
        <f>EXP(-LN(2)/25)*CL95+(1-EXP(-LN(2)/25))/(LN(2)/25)*Calculateur!CG96*Calculateur!CI96*VLOOKUP('Données projet'!$B$12,Paramètres!$A$1:$I$89,3,0)*0.475*44/12</f>
        <v>0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0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3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5.6843418860808015E-14</v>
      </c>
      <c r="O97" s="14">
        <f>N97*VLOOKUP('Données projet'!$B$9,Paramètres!$A$1:$I$89,3,0)*VLOOKUP('Données projet'!$B$9,Paramètres!$A$1:$I$89,5,0)</f>
        <v>2.6602720026858149E-14</v>
      </c>
      <c r="P97" s="14">
        <f t="shared" si="87"/>
        <v>4.6624771586320878E-13</v>
      </c>
      <c r="Q97" s="22">
        <f t="shared" si="54"/>
        <v>8.583811758418665E-13</v>
      </c>
      <c r="R97" s="62">
        <f t="shared" si="55"/>
        <v>293.33333333333417</v>
      </c>
      <c r="S97" s="62">
        <f ca="1">AVERAGE(OFFSET($R$3,0,0,'Données projet'!$E$9+1,1))-AVERAGE(OFFSET($H$3,0,0,'Données projet'!$E$9+1,1))</f>
        <v>172.45217697899039</v>
      </c>
      <c r="T97" s="62">
        <f t="shared" si="88"/>
        <v>223.74038909289629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4.3268007236794324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3.6121203871991545E-9</v>
      </c>
      <c r="AC97" s="24">
        <f t="shared" si="57"/>
        <v>4.3268007272915527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5</v>
      </c>
      <c r="AI97" s="14">
        <f>IF('Données projet'!$A$62&gt;35,AI96+AH97-AQ96,IF(A97&lt;'Données projet'!$A$62,$AF$205^A97,IF(A97='Données projet'!$A$62,'Données projet'!$B$62,AI96+AH97-AQ96)))</f>
        <v>273.99999999999983</v>
      </c>
      <c r="AJ97" s="14">
        <f>AI97*VLOOKUP('Données projet'!$B$10,Paramètres!$A$1:$I$89,3,0)*VLOOKUP('Données projet'!$B$10,Paramètres!$A$1:$I$89,5,0)</f>
        <v>247.91519999999986</v>
      </c>
      <c r="AK97" s="14">
        <f t="shared" si="89"/>
        <v>60.139294964297406</v>
      </c>
      <c r="AL97" s="22">
        <f t="shared" si="58"/>
        <v>536.52824539615096</v>
      </c>
      <c r="AM97" s="62">
        <f t="shared" si="59"/>
        <v>829.86157872948434</v>
      </c>
      <c r="AN97" s="62">
        <f ca="1">AVERAGE(OFFSET($AM$3,0,0,'Données projet'!$E$10+1,1))-AVERAGE(OFFSET($H$3,0,0,'Données projet'!$E$10+1,1))</f>
        <v>364.3481978218424</v>
      </c>
      <c r="AO97" s="62">
        <f t="shared" si="90"/>
        <v>231.36959598460686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projet'!$B$11,Paramètres!$A$1:$I$89,3,0)*VLOOKUP('Données projet'!$B$11,Paramètres!$A$1:$I$89,5,0)</f>
        <v>277.83599999999984</v>
      </c>
      <c r="BF97" s="14">
        <f t="shared" si="91"/>
        <v>66.509487177652261</v>
      </c>
      <c r="BG97" s="22">
        <f t="shared" si="61"/>
        <v>599.73505683441078</v>
      </c>
      <c r="BH97" s="62">
        <f t="shared" si="62"/>
        <v>893.06839016774416</v>
      </c>
      <c r="BI97" s="62">
        <f ca="1">AVERAGE(OFFSET($BH$3,0,0,'Données projet'!$E$11+1,1))-AVERAGE(OFFSET($H$3,0,0,'Données projet'!$E$11+1,1))</f>
        <v>403.50418598112844</v>
      </c>
      <c r="BJ97" s="62">
        <f t="shared" si="92"/>
        <v>254.25036207346591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0</v>
      </c>
      <c r="BQ97" s="23">
        <f>EXP(-LN(2)/25)*BQ96+(1-EXP(-LN(2)/25))/(LN(2)/25)*Calculateur!BL97*Calculateur!BN97*VLOOKUP('Données projet'!$B$11,Paramètres!$A$1:$I$89,3,0)*0.475*44/12</f>
        <v>0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0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6.2</v>
      </c>
      <c r="BY97" s="13">
        <f>IF('Données projet'!$A$114&gt;35,BY96+BX97-CG96,IF(A97&lt;'Données projet'!$A$114,$BV$205^A97,IF(A97='Données projet'!$A$114,'Données projet'!$B$114,BY96+BX97-CG96)))</f>
        <v>299.79999999999984</v>
      </c>
      <c r="BZ97" s="14">
        <f>BY97*VLOOKUP('Données projet'!$B$12,Paramètres!$A$1:$I$89,3,0)*VLOOKUP('Données projet'!$B$12,Paramètres!$A$1:$I$89,5,0)</f>
        <v>257.22839999999991</v>
      </c>
      <c r="CA97" s="14">
        <f t="shared" si="93"/>
        <v>62.131216841636373</v>
      </c>
      <c r="CB97" s="22">
        <f t="shared" si="64"/>
        <v>556.21799933251657</v>
      </c>
      <c r="CC97" s="62">
        <f t="shared" si="65"/>
        <v>849.55133266584994</v>
      </c>
      <c r="CD97" s="62">
        <f ca="1">AVERAGE(OFFSET($CC$3,0,0,'Données projet'!$E$12+1,1))-AVERAGE(OFFSET($H$3,0,0,'Données projet'!$E$12+1,1))</f>
        <v>347.72886258008998</v>
      </c>
      <c r="CE97" s="62">
        <f t="shared" si="94"/>
        <v>176.81257896138806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0</v>
      </c>
      <c r="CL97" s="23">
        <f>EXP(-LN(2)/25)*CL96+(1-EXP(-LN(2)/25))/(LN(2)/25)*Calculateur!CG97*Calculateur!CI97*VLOOKUP('Données projet'!$B$12,Paramètres!$A$1:$I$89,3,0)*0.475*44/12</f>
        <v>0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0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3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5.6843418860808015E-14</v>
      </c>
      <c r="O98" s="14">
        <f>N98*VLOOKUP('Données projet'!$B$9,Paramètres!$A$1:$I$89,3,0)*VLOOKUP('Données projet'!$B$9,Paramètres!$A$1:$I$89,5,0)</f>
        <v>2.6602720026858149E-14</v>
      </c>
      <c r="P98" s="14">
        <f t="shared" si="87"/>
        <v>4.6624771586320878E-13</v>
      </c>
      <c r="Q98" s="22">
        <f t="shared" si="54"/>
        <v>8.583811758418665E-13</v>
      </c>
      <c r="R98" s="62">
        <f t="shared" si="55"/>
        <v>293.33333333333417</v>
      </c>
      <c r="S98" s="62">
        <f ca="1">AVERAGE(OFFSET($R$3,0,0,'Données projet'!$E$9+1,1))-AVERAGE(OFFSET($H$3,0,0,'Données projet'!$E$9+1,1))</f>
        <v>172.45217697899039</v>
      </c>
      <c r="T98" s="62">
        <f t="shared" si="88"/>
        <v>223.74038909289629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4.2419548005759316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2.5541548202507001E-9</v>
      </c>
      <c r="AC98" s="24">
        <f t="shared" si="57"/>
        <v>4.2419548031300867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279</v>
      </c>
      <c r="AG98" s="13">
        <f>VLOOKUP(A98,'Données projet'!$A$61:$I$81,9,0)</f>
        <v>5</v>
      </c>
      <c r="AH98" s="13">
        <f t="array" ref="AH98">INDEX(AG:AG,MIN(IF(ISNUMBER(AG98:AG294),ROW(AG98:AG294),"")))</f>
        <v>5</v>
      </c>
      <c r="AI98" s="14">
        <f>IF('Données projet'!$A$62&gt;35,AI97+AH98-AQ97,IF(A98&lt;'Données projet'!$A$62,$AF$205^A98,IF(A98='Données projet'!$A$62,'Données projet'!$B$62,AI97+AH98-AQ97)))</f>
        <v>278.99999999999983</v>
      </c>
      <c r="AJ98" s="14">
        <f>AI98*VLOOKUP('Données projet'!$B$10,Paramètres!$A$1:$I$89,3,0)*VLOOKUP('Données projet'!$B$10,Paramètres!$A$1:$I$89,5,0)</f>
        <v>252.43919999999983</v>
      </c>
      <c r="AK98" s="14">
        <f t="shared" si="89"/>
        <v>61.107963296116218</v>
      </c>
      <c r="AL98" s="22">
        <f t="shared" si="58"/>
        <v>546.09464274073537</v>
      </c>
      <c r="AM98" s="62">
        <f t="shared" si="59"/>
        <v>839.42797607406874</v>
      </c>
      <c r="AN98" s="62">
        <f ca="1">AVERAGE(OFFSET($AM$3,0,0,'Données projet'!$E$10+1,1))-AVERAGE(OFFSET($H$3,0,0,'Données projet'!$E$10+1,1))</f>
        <v>364.3481978218424</v>
      </c>
      <c r="AO98" s="62">
        <f t="shared" si="90"/>
        <v>231.36959598460686</v>
      </c>
      <c r="AP98" s="16">
        <f>IF(ISNA(VLOOKUP(A98,'Données projet'!$A$61:$I$81,3,0)),0,VLOOKUP(A98,'Données projet'!$A$61:$I$81,3,0))</f>
        <v>16</v>
      </c>
      <c r="AQ98" s="16">
        <f>IF(ISNA(VLOOKUP(A98,'Données projet'!$A$61:$I$81,4,0)),0,VLOOKUP(A98,'Données projet'!$A$61:$I$81,4,0))</f>
        <v>21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projet'!$B$11,Paramètres!$A$1:$I$89,3,0)*VLOOKUP('Données projet'!$B$11,Paramètres!$A$1:$I$89,5,0)</f>
        <v>282.90599999999989</v>
      </c>
      <c r="BF98" s="14">
        <f t="shared" si="91"/>
        <v>67.580760694123455</v>
      </c>
      <c r="BG98" s="22">
        <f t="shared" si="61"/>
        <v>610.43110820893151</v>
      </c>
      <c r="BH98" s="62">
        <f t="shared" si="62"/>
        <v>903.76444154226488</v>
      </c>
      <c r="BI98" s="62">
        <f ca="1">AVERAGE(OFFSET($BH$3,0,0,'Données projet'!$E$11+1,1))-AVERAGE(OFFSET($H$3,0,0,'Données projet'!$E$11+1,1))</f>
        <v>403.50418598112844</v>
      </c>
      <c r="BJ98" s="62">
        <f t="shared" si="92"/>
        <v>254.25036207346591</v>
      </c>
      <c r="BK98" s="16">
        <f>IF(ISNA(VLOOKUP(A98,'Données projet'!$A$87:$I$107,3,0)),0,VLOOKUP(A98,'Données projet'!$A$87:$I$107,3,0))</f>
        <v>16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0</v>
      </c>
      <c r="BQ98" s="23">
        <f>EXP(-LN(2)/25)*BQ97+(1-EXP(-LN(2)/25))/(LN(2)/25)*Calculateur!BL98*Calculateur!BN98*VLOOKUP('Données projet'!$B$11,Paramètres!$A$1:$I$89,3,0)*0.475*44/12</f>
        <v>0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0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>
        <f>VLOOKUP(A98,'Données projet'!$A$113:$I$133,2,0)</f>
        <v>306</v>
      </c>
      <c r="BW98" s="13">
        <f>VLOOKUP(A98,'Données projet'!$A$113:$I$133,9,0)</f>
        <v>6.2</v>
      </c>
      <c r="BX98" s="13">
        <f t="array" ref="BX98">INDEX(BW:BW,MIN(IF(ISNUMBER(BW98:BW294),ROW(BW98:BW294),"")))</f>
        <v>6.2</v>
      </c>
      <c r="BY98" s="13">
        <f>IF('Données projet'!$A$114&gt;35,BY97+BX98-CG97,IF(A98&lt;'Données projet'!$A$114,$BV$205^A98,IF(A98='Données projet'!$A$114,'Données projet'!$B$114,BY97+BX98-CG97)))</f>
        <v>305.99999999999983</v>
      </c>
      <c r="BZ98" s="14">
        <f>BY98*VLOOKUP('Données projet'!$B$12,Paramètres!$A$1:$I$89,3,0)*VLOOKUP('Données projet'!$B$12,Paramètres!$A$1:$I$89,5,0)</f>
        <v>262.54799999999989</v>
      </c>
      <c r="CA98" s="14">
        <f t="shared" si="93"/>
        <v>63.265199933079387</v>
      </c>
      <c r="CB98" s="22">
        <f t="shared" si="64"/>
        <v>567.45798988344643</v>
      </c>
      <c r="CC98" s="62">
        <f t="shared" si="65"/>
        <v>860.7913232167798</v>
      </c>
      <c r="CD98" s="62">
        <f ca="1">AVERAGE(OFFSET($CC$3,0,0,'Données projet'!$E$12+1,1))-AVERAGE(OFFSET($H$3,0,0,'Données projet'!$E$12+1,1))</f>
        <v>347.72886258008998</v>
      </c>
      <c r="CE98" s="62">
        <f t="shared" si="94"/>
        <v>176.81257896138806</v>
      </c>
      <c r="CF98" s="16">
        <f>IF(ISNA(VLOOKUP(A98,'Données projet'!$A$113:$I$133,3,0)),0,VLOOKUP(A98,'Données projet'!$A$113:$I$133,3,0))</f>
        <v>15</v>
      </c>
      <c r="CG98" s="16">
        <f>IF(ISNA(VLOOKUP(A98,'Données projet'!$A$113:$I$133,4,0)),0,VLOOKUP(A98,'Données projet'!$A$113:$I$133,4,0))</f>
        <v>20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0</v>
      </c>
      <c r="CL98" s="23">
        <f>EXP(-LN(2)/25)*CL97+(1-EXP(-LN(2)/25))/(LN(2)/25)*Calculateur!CG98*Calculateur!CI98*VLOOKUP('Données projet'!$B$12,Paramètres!$A$1:$I$89,3,0)*0.475*44/12</f>
        <v>0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0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3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5.6843418860808015E-14</v>
      </c>
      <c r="O99" s="14">
        <f>N99*VLOOKUP('Données projet'!$B$9,Paramètres!$A$1:$I$89,3,0)*VLOOKUP('Données projet'!$B$9,Paramètres!$A$1:$I$89,5,0)</f>
        <v>2.6602720026858149E-14</v>
      </c>
      <c r="P99" s="14">
        <f t="shared" si="87"/>
        <v>4.6624771586320878E-13</v>
      </c>
      <c r="Q99" s="22">
        <f t="shared" ref="Q99:Q130" si="107">(O99+P99)*0.475*44/12</f>
        <v>8.583811758418665E-13</v>
      </c>
      <c r="R99" s="62">
        <f t="shared" si="55"/>
        <v>293.33333333333417</v>
      </c>
      <c r="S99" s="62">
        <f ca="1">AVERAGE(OFFSET($R$3,0,0,'Données projet'!$E$9+1,1))-AVERAGE(OFFSET($H$3,0,0,'Données projet'!$E$9+1,1))</f>
        <v>172.45217697899039</v>
      </c>
      <c r="T99" s="62">
        <f t="shared" si="88"/>
        <v>223.74038909289629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4.1587726542735872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1.8060601935995776E-9</v>
      </c>
      <c r="AC99" s="24">
        <f t="shared" si="57"/>
        <v>4.1587726560796474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4.8</v>
      </c>
      <c r="AI99" s="14">
        <f>IF('Données projet'!$A$62&gt;35,AI98+AH99-AQ98,IF(A99&lt;'Données projet'!$A$62,$AF$205^A99,IF(A99='Données projet'!$A$62,'Données projet'!$B$62,AI98+AH99-AQ98)))</f>
        <v>262.79999999999984</v>
      </c>
      <c r="AJ99" s="14">
        <f>AI99*VLOOKUP('Données projet'!$B$10,Paramètres!$A$1:$I$89,3,0)*VLOOKUP('Données projet'!$B$10,Paramètres!$A$1:$I$89,5,0)</f>
        <v>237.78143999999983</v>
      </c>
      <c r="AK99" s="14">
        <f t="shared" si="89"/>
        <v>57.9619387969109</v>
      </c>
      <c r="AL99" s="22">
        <f t="shared" si="58"/>
        <v>515.08638473795281</v>
      </c>
      <c r="AM99" s="62">
        <f t="shared" si="59"/>
        <v>808.41971807128607</v>
      </c>
      <c r="AN99" s="62">
        <f ca="1">AVERAGE(OFFSET($AM$3,0,0,'Données projet'!$E$10+1,1))-AVERAGE(OFFSET($H$3,0,0,'Données projet'!$E$10+1,1))</f>
        <v>364.3481978218424</v>
      </c>
      <c r="AO99" s="62">
        <f t="shared" si="90"/>
        <v>231.36959598460686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projet'!$B$11,Paramètres!$A$1:$I$89,3,0)*VLOOKUP('Données projet'!$B$11,Paramètres!$A$1:$I$89,5,0)</f>
        <v>266.47919999999988</v>
      </c>
      <c r="BF99" s="14">
        <f t="shared" si="91"/>
        <v>64.101496824889622</v>
      </c>
      <c r="BG99" s="22">
        <f t="shared" si="61"/>
        <v>575.76138030334926</v>
      </c>
      <c r="BH99" s="62">
        <f t="shared" si="62"/>
        <v>869.09471363668263</v>
      </c>
      <c r="BI99" s="62">
        <f ca="1">AVERAGE(OFFSET($BH$3,0,0,'Données projet'!$E$11+1,1))-AVERAGE(OFFSET($H$3,0,0,'Données projet'!$E$11+1,1))</f>
        <v>403.50418598112844</v>
      </c>
      <c r="BJ99" s="62">
        <f t="shared" si="92"/>
        <v>254.25036207346591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0</v>
      </c>
      <c r="BQ99" s="23">
        <f>EXP(-LN(2)/25)*BQ98+(1-EXP(-LN(2)/25))/(LN(2)/25)*Calculateur!BL99*Calculateur!BN99*VLOOKUP('Données projet'!$B$11,Paramètres!$A$1:$I$89,3,0)*0.475*44/12</f>
        <v>0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0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6</v>
      </c>
      <c r="BY99" s="13">
        <f>IF('Données projet'!$A$114&gt;35,BY98+BX99-CG98,IF(A99&lt;'Données projet'!$A$114,$BV$205^A99,IF(A99='Données projet'!$A$114,'Données projet'!$B$114,BY98+BX99-CG98)))</f>
        <v>291.99999999999983</v>
      </c>
      <c r="BZ99" s="14">
        <f>BY99*VLOOKUP('Données projet'!$B$12,Paramètres!$A$1:$I$89,3,0)*VLOOKUP('Données projet'!$B$12,Paramètres!$A$1:$I$89,5,0)</f>
        <v>250.53599999999986</v>
      </c>
      <c r="CA99" s="14">
        <f t="shared" si="93"/>
        <v>60.700702874726744</v>
      </c>
      <c r="CB99" s="22">
        <f t="shared" si="64"/>
        <v>542.07059084014872</v>
      </c>
      <c r="CC99" s="62">
        <f t="shared" si="65"/>
        <v>835.40392417348198</v>
      </c>
      <c r="CD99" s="62">
        <f ca="1">AVERAGE(OFFSET($CC$3,0,0,'Données projet'!$E$12+1,1))-AVERAGE(OFFSET($H$3,0,0,'Données projet'!$E$12+1,1))</f>
        <v>347.72886258008998</v>
      </c>
      <c r="CE99" s="62">
        <f t="shared" si="94"/>
        <v>176.81257896138806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0</v>
      </c>
      <c r="CL99" s="23">
        <f>EXP(-LN(2)/25)*CL98+(1-EXP(-LN(2)/25))/(LN(2)/25)*Calculateur!CG99*Calculateur!CI99*VLOOKUP('Données projet'!$B$12,Paramètres!$A$1:$I$89,3,0)*0.475*44/12</f>
        <v>0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0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3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5.6843418860808015E-14</v>
      </c>
      <c r="O100" s="14">
        <f>N100*VLOOKUP('Données projet'!$B$9,Paramètres!$A$1:$I$89,3,0)*VLOOKUP('Données projet'!$B$9,Paramètres!$A$1:$I$89,5,0)</f>
        <v>2.6602720026858149E-14</v>
      </c>
      <c r="P100" s="14">
        <f t="shared" si="87"/>
        <v>4.6624771586320878E-13</v>
      </c>
      <c r="Q100" s="22">
        <f t="shared" si="107"/>
        <v>8.583811758418665E-13</v>
      </c>
      <c r="R100" s="62">
        <f t="shared" si="55"/>
        <v>293.33333333333417</v>
      </c>
      <c r="S100" s="62">
        <f ca="1">AVERAGE(OFFSET($R$3,0,0,'Données projet'!$E$9+1,1))-AVERAGE(OFFSET($H$3,0,0,'Données projet'!$E$9+1,1))</f>
        <v>172.45217697899039</v>
      </c>
      <c r="T100" s="62">
        <f t="shared" si="88"/>
        <v>223.74038909289629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4.0772216591241328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1.2770774101253503E-9</v>
      </c>
      <c r="AC100" s="24">
        <f t="shared" si="57"/>
        <v>4.0772216604012099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4.8</v>
      </c>
      <c r="AI100" s="14">
        <f>IF('Données projet'!$A$62&gt;35,AI99+AH100-AQ99,IF(A100&lt;'Données projet'!$A$62,$AF$205^A100,IF(A100='Données projet'!$A$62,'Données projet'!$B$62,AI99+AH100-AQ99)))</f>
        <v>267.59999999999985</v>
      </c>
      <c r="AJ100" s="14">
        <f>AI100*VLOOKUP('Données projet'!$B$10,Paramètres!$A$1:$I$89,3,0)*VLOOKUP('Données projet'!$B$10,Paramètres!$A$1:$I$89,5,0)</f>
        <v>242.12447999999986</v>
      </c>
      <c r="AK100" s="14">
        <f t="shared" si="89"/>
        <v>58.896387987806008</v>
      </c>
      <c r="AL100" s="22">
        <f t="shared" si="58"/>
        <v>524.27801174542856</v>
      </c>
      <c r="AM100" s="62">
        <f t="shared" si="59"/>
        <v>817.61134507876181</v>
      </c>
      <c r="AN100" s="62">
        <f ca="1">AVERAGE(OFFSET($AM$3,0,0,'Données projet'!$E$10+1,1))-AVERAGE(OFFSET($H$3,0,0,'Données projet'!$E$10+1,1))</f>
        <v>364.3481978218424</v>
      </c>
      <c r="AO100" s="62">
        <f t="shared" si="90"/>
        <v>231.36959598460686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projet'!$B$11,Paramètres!$A$1:$I$89,3,0)*VLOOKUP('Données projet'!$B$11,Paramètres!$A$1:$I$89,5,0)</f>
        <v>271.34639999999985</v>
      </c>
      <c r="BF100" s="14">
        <f t="shared" si="91"/>
        <v>65.134926573557308</v>
      </c>
      <c r="BG100" s="22">
        <f t="shared" si="61"/>
        <v>586.03831044894537</v>
      </c>
      <c r="BH100" s="62">
        <f t="shared" si="62"/>
        <v>879.37164378227862</v>
      </c>
      <c r="BI100" s="62">
        <f ca="1">AVERAGE(OFFSET($BH$3,0,0,'Données projet'!$E$11+1,1))-AVERAGE(OFFSET($H$3,0,0,'Données projet'!$E$11+1,1))</f>
        <v>403.50418598112844</v>
      </c>
      <c r="BJ100" s="62">
        <f t="shared" si="92"/>
        <v>254.25036207346591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0</v>
      </c>
      <c r="BQ100" s="23">
        <f>EXP(-LN(2)/25)*BQ99+(1-EXP(-LN(2)/25))/(LN(2)/25)*Calculateur!BL100*Calculateur!BN100*VLOOKUP('Données projet'!$B$11,Paramètres!$A$1:$I$89,3,0)*0.475*44/12</f>
        <v>0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0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6</v>
      </c>
      <c r="BY100" s="13">
        <f>IF('Données projet'!$A$114&gt;35,BY99+BX100-CG99,IF(A100&lt;'Données projet'!$A$114,$BV$205^A100,IF(A100='Données projet'!$A$114,'Données projet'!$B$114,BY99+BX100-CG99)))</f>
        <v>297.99999999999983</v>
      </c>
      <c r="BZ100" s="14">
        <f>BY100*VLOOKUP('Données projet'!$B$12,Paramètres!$A$1:$I$89,3,0)*VLOOKUP('Données projet'!$B$12,Paramètres!$A$1:$I$89,5,0)</f>
        <v>255.68399999999988</v>
      </c>
      <c r="CA100" s="14">
        <f t="shared" si="93"/>
        <v>61.801486802993999</v>
      </c>
      <c r="CB100" s="22">
        <f t="shared" si="64"/>
        <v>552.9538895152142</v>
      </c>
      <c r="CC100" s="62">
        <f t="shared" si="65"/>
        <v>846.28722284854757</v>
      </c>
      <c r="CD100" s="62">
        <f ca="1">AVERAGE(OFFSET($CC$3,0,0,'Données projet'!$E$12+1,1))-AVERAGE(OFFSET($H$3,0,0,'Données projet'!$E$12+1,1))</f>
        <v>347.72886258008998</v>
      </c>
      <c r="CE100" s="62">
        <f t="shared" si="94"/>
        <v>176.81257896138806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0</v>
      </c>
      <c r="CL100" s="23">
        <f>EXP(-LN(2)/25)*CL99+(1-EXP(-LN(2)/25))/(LN(2)/25)*Calculateur!CG100*Calculateur!CI100*VLOOKUP('Données projet'!$B$12,Paramètres!$A$1:$I$89,3,0)*0.475*44/12</f>
        <v>0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0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3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5.6843418860808015E-14</v>
      </c>
      <c r="O101" s="14">
        <f>N101*VLOOKUP('Données projet'!$B$9,Paramètres!$A$1:$I$89,3,0)*VLOOKUP('Données projet'!$B$9,Paramètres!$A$1:$I$89,5,0)</f>
        <v>2.6602720026858149E-14</v>
      </c>
      <c r="P101" s="14">
        <f t="shared" si="87"/>
        <v>4.6624771586320878E-13</v>
      </c>
      <c r="Q101" s="22">
        <f t="shared" si="107"/>
        <v>8.583811758418665E-13</v>
      </c>
      <c r="R101" s="62">
        <f t="shared" si="55"/>
        <v>293.33333333333417</v>
      </c>
      <c r="S101" s="62">
        <f ca="1">AVERAGE(OFFSET($R$3,0,0,'Données projet'!$E$9+1,1))-AVERAGE(OFFSET($H$3,0,0,'Données projet'!$E$9+1,1))</f>
        <v>172.45217697899039</v>
      </c>
      <c r="T101" s="62">
        <f t="shared" si="88"/>
        <v>223.74038909289629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3.9972698292483635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9.0303009679978893E-10</v>
      </c>
      <c r="AC101" s="24">
        <f t="shared" si="57"/>
        <v>3.9972698301513936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4.8</v>
      </c>
      <c r="AI101" s="14">
        <f>IF('Données projet'!$A$62&gt;35,AI100+AH101-AQ100,IF(A101&lt;'Données projet'!$A$62,$AF$205^A101,IF(A101='Données projet'!$A$62,'Données projet'!$B$62,AI100+AH101-AQ100)))</f>
        <v>272.39999999999986</v>
      </c>
      <c r="AJ101" s="14">
        <f>AI101*VLOOKUP('Données projet'!$B$10,Paramètres!$A$1:$I$89,3,0)*VLOOKUP('Données projet'!$B$10,Paramètres!$A$1:$I$89,5,0)</f>
        <v>246.46751999999987</v>
      </c>
      <c r="AK101" s="14">
        <f t="shared" si="89"/>
        <v>59.828888074216977</v>
      </c>
      <c r="AL101" s="22">
        <f t="shared" si="58"/>
        <v>533.46624406259423</v>
      </c>
      <c r="AM101" s="62">
        <f t="shared" si="59"/>
        <v>826.7995773959276</v>
      </c>
      <c r="AN101" s="62">
        <f ca="1">AVERAGE(OFFSET($AM$3,0,0,'Données projet'!$E$10+1,1))-AVERAGE(OFFSET($H$3,0,0,'Données projet'!$E$10+1,1))</f>
        <v>364.3481978218424</v>
      </c>
      <c r="AO101" s="62">
        <f t="shared" si="90"/>
        <v>231.36959598460686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projet'!$B$11,Paramètres!$A$1:$I$89,3,0)*VLOOKUP('Données projet'!$B$11,Paramètres!$A$1:$I$89,5,0)</f>
        <v>276.21359999999987</v>
      </c>
      <c r="BF101" s="14">
        <f t="shared" si="91"/>
        <v>66.166200760877416</v>
      </c>
      <c r="BG101" s="22">
        <f t="shared" si="61"/>
        <v>596.31148632519455</v>
      </c>
      <c r="BH101" s="62">
        <f t="shared" si="62"/>
        <v>889.64481965852792</v>
      </c>
      <c r="BI101" s="62">
        <f ca="1">AVERAGE(OFFSET($BH$3,0,0,'Données projet'!$E$11+1,1))-AVERAGE(OFFSET($H$3,0,0,'Données projet'!$E$11+1,1))</f>
        <v>403.50418598112844</v>
      </c>
      <c r="BJ101" s="62">
        <f t="shared" si="92"/>
        <v>254.25036207346591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0</v>
      </c>
      <c r="BQ101" s="23">
        <f>EXP(-LN(2)/25)*BQ100+(1-EXP(-LN(2)/25))/(LN(2)/25)*Calculateur!BL101*Calculateur!BN101*VLOOKUP('Données projet'!$B$11,Paramètres!$A$1:$I$89,3,0)*0.475*44/12</f>
        <v>0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0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6</v>
      </c>
      <c r="BY101" s="13">
        <f>IF('Données projet'!$A$114&gt;35,BY100+BX101-CG100,IF(A101&lt;'Données projet'!$A$114,$BV$205^A101,IF(A101='Données projet'!$A$114,'Données projet'!$B$114,BY100+BX101-CG100)))</f>
        <v>303.99999999999983</v>
      </c>
      <c r="BZ101" s="14">
        <f>BY101*VLOOKUP('Données projet'!$B$12,Paramètres!$A$1:$I$89,3,0)*VLOOKUP('Données projet'!$B$12,Paramètres!$A$1:$I$89,5,0)</f>
        <v>260.83199999999988</v>
      </c>
      <c r="CA101" s="14">
        <f t="shared" si="93"/>
        <v>62.899693744110721</v>
      </c>
      <c r="CB101" s="22">
        <f t="shared" si="64"/>
        <v>563.8326999376593</v>
      </c>
      <c r="CC101" s="62">
        <f t="shared" si="65"/>
        <v>857.16603327099256</v>
      </c>
      <c r="CD101" s="62">
        <f ca="1">AVERAGE(OFFSET($CC$3,0,0,'Données projet'!$E$12+1,1))-AVERAGE(OFFSET($H$3,0,0,'Données projet'!$E$12+1,1))</f>
        <v>347.72886258008998</v>
      </c>
      <c r="CE101" s="62">
        <f t="shared" si="94"/>
        <v>176.81257896138806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0</v>
      </c>
      <c r="CL101" s="23">
        <f>EXP(-LN(2)/25)*CL100+(1-EXP(-LN(2)/25))/(LN(2)/25)*Calculateur!CG101*Calculateur!CI101*VLOOKUP('Données projet'!$B$12,Paramètres!$A$1:$I$89,3,0)*0.475*44/12</f>
        <v>0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0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3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5.6843418860808015E-14</v>
      </c>
      <c r="O102" s="14">
        <f>N102*VLOOKUP('Données projet'!$B$9,Paramètres!$A$1:$I$89,3,0)*VLOOKUP('Données projet'!$B$9,Paramètres!$A$1:$I$89,5,0)</f>
        <v>2.6602720026858149E-14</v>
      </c>
      <c r="P102" s="14">
        <f t="shared" si="87"/>
        <v>4.6624771586320878E-13</v>
      </c>
      <c r="Q102" s="22">
        <f t="shared" si="107"/>
        <v>8.583811758418665E-13</v>
      </c>
      <c r="R102" s="62">
        <f t="shared" si="55"/>
        <v>293.33333333333417</v>
      </c>
      <c r="S102" s="62">
        <f ca="1">AVERAGE(OFFSET($R$3,0,0,'Données projet'!$E$9+1,1))-AVERAGE(OFFSET($H$3,0,0,'Données projet'!$E$9+1,1))</f>
        <v>172.45217697899039</v>
      </c>
      <c r="T102" s="62">
        <f t="shared" si="88"/>
        <v>223.74038909289629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3.9188858059906573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6.3853870506267524E-10</v>
      </c>
      <c r="AC102" s="24">
        <f t="shared" si="57"/>
        <v>3.9188858066291958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4.8</v>
      </c>
      <c r="AI102" s="14">
        <f>IF('Données projet'!$A$62&gt;35,AI101+AH102-AQ101,IF(A102&lt;'Données projet'!$A$62,$AF$205^A102,IF(A102='Données projet'!$A$62,'Données projet'!$B$62,AI101+AH102-AQ101)))</f>
        <v>277.19999999999987</v>
      </c>
      <c r="AJ102" s="14">
        <f>AI102*VLOOKUP('Données projet'!$B$10,Paramètres!$A$1:$I$89,3,0)*VLOOKUP('Données projet'!$B$10,Paramètres!$A$1:$I$89,5,0)</f>
        <v>250.8105599999999</v>
      </c>
      <c r="AK102" s="14">
        <f t="shared" si="89"/>
        <v>60.75947736410869</v>
      </c>
      <c r="AL102" s="22">
        <f t="shared" si="58"/>
        <v>542.65114840915578</v>
      </c>
      <c r="AM102" s="62">
        <f t="shared" si="59"/>
        <v>835.98448174248915</v>
      </c>
      <c r="AN102" s="62">
        <f ca="1">AVERAGE(OFFSET($AM$3,0,0,'Données projet'!$E$10+1,1))-AVERAGE(OFFSET($H$3,0,0,'Données projet'!$E$10+1,1))</f>
        <v>364.3481978218424</v>
      </c>
      <c r="AO102" s="62">
        <f t="shared" si="90"/>
        <v>231.36959598460686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projet'!$B$11,Paramètres!$A$1:$I$89,3,0)*VLOOKUP('Données projet'!$B$11,Paramètres!$A$1:$I$89,5,0)</f>
        <v>281.0807999999999</v>
      </c>
      <c r="BF102" s="14">
        <f t="shared" si="91"/>
        <v>67.19536175254612</v>
      </c>
      <c r="BG102" s="22">
        <f t="shared" si="61"/>
        <v>606.58098171901759</v>
      </c>
      <c r="BH102" s="62">
        <f t="shared" si="62"/>
        <v>899.91431505235096</v>
      </c>
      <c r="BI102" s="62">
        <f ca="1">AVERAGE(OFFSET($BH$3,0,0,'Données projet'!$E$11+1,1))-AVERAGE(OFFSET($H$3,0,0,'Données projet'!$E$11+1,1))</f>
        <v>403.50418598112844</v>
      </c>
      <c r="BJ102" s="62">
        <f t="shared" si="92"/>
        <v>254.25036207346591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0</v>
      </c>
      <c r="BQ102" s="23">
        <f>EXP(-LN(2)/25)*BQ101+(1-EXP(-LN(2)/25))/(LN(2)/25)*Calculateur!BL102*Calculateur!BN102*VLOOKUP('Données projet'!$B$11,Paramètres!$A$1:$I$89,3,0)*0.475*44/12</f>
        <v>0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0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6</v>
      </c>
      <c r="BY102" s="13">
        <f>IF('Données projet'!$A$114&gt;35,BY101+BX102-CG101,IF(A102&lt;'Données projet'!$A$114,$BV$205^A102,IF(A102='Données projet'!$A$114,'Données projet'!$B$114,BY101+BX102-CG101)))</f>
        <v>309.99999999999983</v>
      </c>
      <c r="BZ102" s="14">
        <f>BY102*VLOOKUP('Données projet'!$B$12,Paramètres!$A$1:$I$89,3,0)*VLOOKUP('Données projet'!$B$12,Paramètres!$A$1:$I$89,5,0)</f>
        <v>265.9799999999999</v>
      </c>
      <c r="CA102" s="14">
        <f t="shared" si="93"/>
        <v>63.995380422211589</v>
      </c>
      <c r="CB102" s="22">
        <f t="shared" si="64"/>
        <v>574.70712090201835</v>
      </c>
      <c r="CC102" s="62">
        <f t="shared" si="65"/>
        <v>868.04045423535172</v>
      </c>
      <c r="CD102" s="62">
        <f ca="1">AVERAGE(OFFSET($CC$3,0,0,'Données projet'!$E$12+1,1))-AVERAGE(OFFSET($H$3,0,0,'Données projet'!$E$12+1,1))</f>
        <v>347.72886258008998</v>
      </c>
      <c r="CE102" s="62">
        <f t="shared" si="94"/>
        <v>176.81257896138806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0</v>
      </c>
      <c r="CL102" s="23">
        <f>EXP(-LN(2)/25)*CL101+(1-EXP(-LN(2)/25))/(LN(2)/25)*Calculateur!CG102*Calculateur!CI102*VLOOKUP('Données projet'!$B$12,Paramètres!$A$1:$I$89,3,0)*0.475*44/12</f>
        <v>0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0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3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5.6843418860808015E-14</v>
      </c>
      <c r="O103" s="14">
        <f>N103*VLOOKUP('Données projet'!$B$9,Paramètres!$A$1:$I$89,3,0)*VLOOKUP('Données projet'!$B$9,Paramètres!$A$1:$I$89,5,0)</f>
        <v>2.6602720026858149E-14</v>
      </c>
      <c r="P103" s="14">
        <f t="shared" si="87"/>
        <v>4.6624771586320878E-13</v>
      </c>
      <c r="Q103" s="22">
        <f t="shared" si="107"/>
        <v>8.583811758418665E-13</v>
      </c>
      <c r="R103" s="62">
        <f t="shared" si="55"/>
        <v>293.33333333333417</v>
      </c>
      <c r="S103" s="62">
        <f ca="1">AVERAGE(OFFSET($R$3,0,0,'Données projet'!$E$9+1,1))-AVERAGE(OFFSET($H$3,0,0,'Données projet'!$E$9+1,1))</f>
        <v>172.45217697899039</v>
      </c>
      <c r="T103" s="62">
        <f t="shared" si="88"/>
        <v>223.74038909289629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3.8420388456195012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4.5151504839989451E-10</v>
      </c>
      <c r="AC103" s="24">
        <f t="shared" si="57"/>
        <v>3.8420388460710164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282</v>
      </c>
      <c r="AG103" s="13">
        <f>VLOOKUP(A103,'Données projet'!$A$61:$I$81,9,0)</f>
        <v>4.8</v>
      </c>
      <c r="AH103" s="13">
        <f t="array" ref="AH103">INDEX(AG:AG,MIN(IF(ISNUMBER(AG103:AG299),ROW(AG103:AG299),"")))</f>
        <v>4.8</v>
      </c>
      <c r="AI103" s="14">
        <f>IF('Données projet'!$A$62&gt;35,AI102+AH103-AQ102,IF(A103&lt;'Données projet'!$A$62,$AF$205^A103,IF(A103='Données projet'!$A$62,'Données projet'!$B$62,AI102+AH103-AQ102)))</f>
        <v>281.99999999999989</v>
      </c>
      <c r="AJ103" s="14">
        <f>AI103*VLOOKUP('Données projet'!$B$10,Paramètres!$A$1:$I$89,3,0)*VLOOKUP('Données projet'!$B$10,Paramètres!$A$1:$I$89,5,0)</f>
        <v>255.15359999999987</v>
      </c>
      <c r="AK103" s="14">
        <f t="shared" si="89"/>
        <v>61.688192762754376</v>
      </c>
      <c r="AL103" s="22">
        <f t="shared" si="58"/>
        <v>551.83278906179692</v>
      </c>
      <c r="AM103" s="62">
        <f t="shared" si="59"/>
        <v>845.16612239513029</v>
      </c>
      <c r="AN103" s="62">
        <f ca="1">AVERAGE(OFFSET($AM$3,0,0,'Données projet'!$E$10+1,1))-AVERAGE(OFFSET($H$3,0,0,'Données projet'!$E$10+1,1))</f>
        <v>364.3481978218424</v>
      </c>
      <c r="AO103" s="62">
        <f t="shared" si="90"/>
        <v>231.36959598460686</v>
      </c>
      <c r="AP103" s="16">
        <f>IF(ISNA(VLOOKUP(A103,'Données projet'!$A$61:$I$81,3,0)),0,VLOOKUP(A103,'Données projet'!$A$61:$I$81,3,0))</f>
        <v>17</v>
      </c>
      <c r="AQ103" s="16">
        <f>IF(ISNA(VLOOKUP(A103,'Données projet'!$A$61:$I$81,4,0)),0,VLOOKUP(A103,'Données projet'!$A$61:$I$81,4,0))</f>
        <v>21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projet'!$B$11,Paramètres!$A$1:$I$89,3,0)*VLOOKUP('Données projet'!$B$11,Paramètres!$A$1:$I$89,5,0)</f>
        <v>285.94799999999992</v>
      </c>
      <c r="BF103" s="14">
        <f t="shared" si="91"/>
        <v>68.222450362989363</v>
      </c>
      <c r="BG103" s="22">
        <f t="shared" si="61"/>
        <v>616.84686771553959</v>
      </c>
      <c r="BH103" s="62">
        <f t="shared" si="62"/>
        <v>910.18020104887296</v>
      </c>
      <c r="BI103" s="62">
        <f ca="1">AVERAGE(OFFSET($BH$3,0,0,'Données projet'!$E$11+1,1))-AVERAGE(OFFSET($H$3,0,0,'Données projet'!$E$11+1,1))</f>
        <v>403.50418598112844</v>
      </c>
      <c r="BJ103" s="62">
        <f t="shared" si="92"/>
        <v>254.25036207346591</v>
      </c>
      <c r="BK103" s="16">
        <f>IF(ISNA(VLOOKUP(A103,'Données projet'!$A$87:$I$107,3,0)),0,VLOOKUP(A103,'Données projet'!$A$87:$I$107,3,0))</f>
        <v>17</v>
      </c>
      <c r="BL103" s="16">
        <f>IF(ISNA(VLOOKUP(A103,'Données projet'!$A$87:$I$107,4,0)),0,VLOOKUP(A103,'Données projet'!$A$87:$I$107,4,0))</f>
        <v>21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0</v>
      </c>
      <c r="BQ103" s="23">
        <f>EXP(-LN(2)/25)*BQ102+(1-EXP(-LN(2)/25))/(LN(2)/25)*Calculateur!BL103*Calculateur!BN103*VLOOKUP('Données projet'!$B$11,Paramètres!$A$1:$I$89,3,0)*0.475*44/12</f>
        <v>0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0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316</v>
      </c>
      <c r="BW103" s="13">
        <f>VLOOKUP(A103,'Données projet'!$A$113:$I$133,9,0)</f>
        <v>6</v>
      </c>
      <c r="BX103" s="13">
        <f t="array" ref="BX103">INDEX(BW:BW,MIN(IF(ISNUMBER(BW103:BW299),ROW(BW103:BW299),"")))</f>
        <v>6</v>
      </c>
      <c r="BY103" s="13">
        <f>IF('Données projet'!$A$114&gt;35,BY102+BX103-CG102,IF(A103&lt;'Données projet'!$A$114,$BV$205^A103,IF(A103='Données projet'!$A$114,'Données projet'!$B$114,BY102+BX103-CG102)))</f>
        <v>315.99999999999983</v>
      </c>
      <c r="BZ103" s="14">
        <f>BY103*VLOOKUP('Données projet'!$B$12,Paramètres!$A$1:$I$89,3,0)*VLOOKUP('Données projet'!$B$12,Paramètres!$A$1:$I$89,5,0)</f>
        <v>271.12799999999987</v>
      </c>
      <c r="CA103" s="14">
        <f t="shared" si="93"/>
        <v>65.088601240045278</v>
      </c>
      <c r="CB103" s="22">
        <f t="shared" si="64"/>
        <v>585.5772471597453</v>
      </c>
      <c r="CC103" s="62">
        <f t="shared" si="65"/>
        <v>878.91058049307867</v>
      </c>
      <c r="CD103" s="62">
        <f ca="1">AVERAGE(OFFSET($CC$3,0,0,'Données projet'!$E$12+1,1))-AVERAGE(OFFSET($H$3,0,0,'Données projet'!$E$12+1,1))</f>
        <v>347.72886258008998</v>
      </c>
      <c r="CE103" s="62">
        <f t="shared" si="94"/>
        <v>176.81257896138806</v>
      </c>
      <c r="CF103" s="16">
        <f>IF(ISNA(VLOOKUP(A103,'Données projet'!$A$113:$I$133,3,0)),0,VLOOKUP(A103,'Données projet'!$A$113:$I$133,3,0))</f>
        <v>16</v>
      </c>
      <c r="CG103" s="16">
        <f>IF(ISNA(VLOOKUP(A103,'Données projet'!$A$113:$I$133,4,0)),0,VLOOKUP(A103,'Données projet'!$A$113:$I$133,4,0))</f>
        <v>19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0</v>
      </c>
      <c r="CL103" s="23">
        <f>EXP(-LN(2)/25)*CL102+(1-EXP(-LN(2)/25))/(LN(2)/25)*Calculateur!CG103*Calculateur!CI103*VLOOKUP('Données projet'!$B$12,Paramètres!$A$1:$I$89,3,0)*0.475*44/12</f>
        <v>0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0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3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5.6843418860808015E-14</v>
      </c>
      <c r="O104" s="14">
        <f>N104*VLOOKUP('Données projet'!$B$9,Paramètres!$A$1:$I$89,3,0)*VLOOKUP('Données projet'!$B$9,Paramètres!$A$1:$I$89,5,0)</f>
        <v>2.6602720026858149E-14</v>
      </c>
      <c r="P104" s="14">
        <f t="shared" si="87"/>
        <v>4.6624771586320878E-13</v>
      </c>
      <c r="Q104" s="22">
        <f t="shared" si="107"/>
        <v>8.583811758418665E-13</v>
      </c>
      <c r="R104" s="62">
        <f t="shared" si="55"/>
        <v>293.33333333333417</v>
      </c>
      <c r="S104" s="62">
        <f ca="1">AVERAGE(OFFSET($R$3,0,0,'Données projet'!$E$9+1,1))-AVERAGE(OFFSET($H$3,0,0,'Données projet'!$E$9+1,1))</f>
        <v>172.45217697899039</v>
      </c>
      <c r="T104" s="62">
        <f t="shared" si="88"/>
        <v>223.74038909289629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3.766698807269206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3.1926935253133767E-10</v>
      </c>
      <c r="AC104" s="24">
        <f t="shared" si="57"/>
        <v>3.7666988075884755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4.5999999999999996</v>
      </c>
      <c r="AI104" s="14">
        <f>IF('Données projet'!$A$62&gt;35,AI103+AH104-AQ103,IF(A104&lt;'Données projet'!$A$62,$AF$205^A104,IF(A104='Données projet'!$A$62,'Données projet'!$B$62,AI103+AH104-AQ103)))</f>
        <v>265.59999999999991</v>
      </c>
      <c r="AJ104" s="14">
        <f>AI104*VLOOKUP('Données projet'!$B$10,Paramètres!$A$1:$I$89,3,0)*VLOOKUP('Données projet'!$B$10,Paramètres!$A$1:$I$89,5,0)</f>
        <v>240.31487999999993</v>
      </c>
      <c r="AK104" s="14">
        <f t="shared" si="89"/>
        <v>58.50727327751612</v>
      </c>
      <c r="AL104" s="22">
        <f t="shared" si="58"/>
        <v>520.44858362500713</v>
      </c>
      <c r="AM104" s="62">
        <f t="shared" si="59"/>
        <v>813.78191695834039</v>
      </c>
      <c r="AN104" s="62">
        <f ca="1">AVERAGE(OFFSET($AM$3,0,0,'Données projet'!$E$10+1,1))-AVERAGE(OFFSET($H$3,0,0,'Données projet'!$E$10+1,1))</f>
        <v>364.3481978218424</v>
      </c>
      <c r="AO104" s="62">
        <f t="shared" si="90"/>
        <v>231.36959598460686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4.5999999999999996</v>
      </c>
      <c r="BD104" s="13">
        <f>IF('Données projet'!$A$88&gt;35,BD103+BC104-BL103,IF(A104&lt;'Données projet'!$A$88,$BA$205^A104,IF(A104='Données projet'!$A$88,'Données projet'!$B$88,BD103+BC104-BL103)))</f>
        <v>265.59999999999991</v>
      </c>
      <c r="BE104" s="14">
        <f>BD104*VLOOKUP('Données projet'!$B$11,Paramètres!$A$1:$I$89,3,0)*VLOOKUP('Données projet'!$B$11,Paramètres!$A$1:$I$89,5,0)</f>
        <v>269.31839999999994</v>
      </c>
      <c r="BF104" s="14">
        <f t="shared" si="91"/>
        <v>64.70459529265311</v>
      </c>
      <c r="BG104" s="22">
        <f t="shared" si="61"/>
        <v>581.75671680137077</v>
      </c>
      <c r="BH104" s="62">
        <f t="shared" si="62"/>
        <v>875.09005013470414</v>
      </c>
      <c r="BI104" s="62">
        <f ca="1">AVERAGE(OFFSET($BH$3,0,0,'Données projet'!$E$11+1,1))-AVERAGE(OFFSET($H$3,0,0,'Données projet'!$E$11+1,1))</f>
        <v>403.50418598112844</v>
      </c>
      <c r="BJ104" s="62">
        <f t="shared" si="92"/>
        <v>254.25036207346591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0</v>
      </c>
      <c r="BQ104" s="23">
        <f>EXP(-LN(2)/25)*BQ103+(1-EXP(-LN(2)/25))/(LN(2)/25)*Calculateur!BL104*Calculateur!BN104*VLOOKUP('Données projet'!$B$11,Paramètres!$A$1:$I$89,3,0)*0.475*44/12</f>
        <v>0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0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5.4</v>
      </c>
      <c r="BY104" s="13">
        <f>IF('Données projet'!$A$114&gt;35,BY103+BX104-CG103,IF(A104&lt;'Données projet'!$A$114,$BV$205^A104,IF(A104='Données projet'!$A$114,'Données projet'!$B$114,BY103+BX104-CG103)))</f>
        <v>302.39999999999981</v>
      </c>
      <c r="BZ104" s="14">
        <f>BY104*VLOOKUP('Données projet'!$B$12,Paramètres!$A$1:$I$89,3,0)*VLOOKUP('Données projet'!$B$12,Paramètres!$A$1:$I$89,5,0)</f>
        <v>259.45919999999984</v>
      </c>
      <c r="CA104" s="14">
        <f t="shared" si="93"/>
        <v>62.607087284635128</v>
      </c>
      <c r="CB104" s="22">
        <f t="shared" si="64"/>
        <v>560.93211702073916</v>
      </c>
      <c r="CC104" s="62">
        <f t="shared" si="65"/>
        <v>854.26545035407253</v>
      </c>
      <c r="CD104" s="62">
        <f ca="1">AVERAGE(OFFSET($CC$3,0,0,'Données projet'!$E$12+1,1))-AVERAGE(OFFSET($H$3,0,0,'Données projet'!$E$12+1,1))</f>
        <v>347.72886258008998</v>
      </c>
      <c r="CE104" s="62">
        <f t="shared" si="94"/>
        <v>176.81257896138806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0</v>
      </c>
      <c r="CL104" s="23">
        <f>EXP(-LN(2)/25)*CL103+(1-EXP(-LN(2)/25))/(LN(2)/25)*Calculateur!CG104*Calculateur!CI104*VLOOKUP('Données projet'!$B$12,Paramètres!$A$1:$I$89,3,0)*0.475*44/12</f>
        <v>0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0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3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5.6843418860808015E-14</v>
      </c>
      <c r="O105" s="14">
        <f>N105*VLOOKUP('Données projet'!$B$9,Paramètres!$A$1:$I$89,3,0)*VLOOKUP('Données projet'!$B$9,Paramètres!$A$1:$I$89,5,0)</f>
        <v>2.6602720026858149E-14</v>
      </c>
      <c r="P105" s="14">
        <f t="shared" si="87"/>
        <v>4.6624771586320878E-13</v>
      </c>
      <c r="Q105" s="22">
        <f t="shared" si="107"/>
        <v>8.583811758418665E-13</v>
      </c>
      <c r="R105" s="62">
        <f t="shared" si="55"/>
        <v>293.33333333333417</v>
      </c>
      <c r="S105" s="62">
        <f ca="1">AVERAGE(OFFSET($R$3,0,0,'Données projet'!$E$9+1,1))-AVERAGE(OFFSET($H$3,0,0,'Données projet'!$E$9+1,1))</f>
        <v>172.45217697899039</v>
      </c>
      <c r="T105" s="62">
        <f t="shared" si="88"/>
        <v>223.74038909289629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3.6928361411180739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2.2575752419994731E-10</v>
      </c>
      <c r="AC105" s="24">
        <f t="shared" si="57"/>
        <v>3.6928361413438315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4.5999999999999996</v>
      </c>
      <c r="AI105" s="14">
        <f>IF('Données projet'!$A$62&gt;35,AI104+AH105-AQ104,IF(A105&lt;'Données projet'!$A$62,$AF$205^A105,IF(A105='Données projet'!$A$62,'Données projet'!$B$62,AI104+AH105-AQ104)))</f>
        <v>270.19999999999993</v>
      </c>
      <c r="AJ105" s="14">
        <f>AI105*VLOOKUP('Données projet'!$B$10,Paramètres!$A$1:$I$89,3,0)*VLOOKUP('Données projet'!$B$10,Paramètres!$A$1:$I$89,5,0)</f>
        <v>244.47695999999993</v>
      </c>
      <c r="AK105" s="14">
        <f t="shared" si="89"/>
        <v>59.401731670234192</v>
      </c>
      <c r="AL105" s="22">
        <f t="shared" si="58"/>
        <v>529.25538799232447</v>
      </c>
      <c r="AM105" s="62">
        <f t="shared" si="59"/>
        <v>822.58872132565784</v>
      </c>
      <c r="AN105" s="62">
        <f ca="1">AVERAGE(OFFSET($AM$3,0,0,'Données projet'!$E$10+1,1))-AVERAGE(OFFSET($H$3,0,0,'Données projet'!$E$10+1,1))</f>
        <v>364.3481978218424</v>
      </c>
      <c r="AO105" s="62">
        <f t="shared" si="90"/>
        <v>231.36959598460686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4.5999999999999996</v>
      </c>
      <c r="BD105" s="13">
        <f>IF('Données projet'!$A$88&gt;35,BD104+BC105-BL104,IF(A105&lt;'Données projet'!$A$88,$BA$205^A105,IF(A105='Données projet'!$A$88,'Données projet'!$B$88,BD104+BC105-BL104)))</f>
        <v>270.19999999999993</v>
      </c>
      <c r="BE105" s="14">
        <f>BD105*VLOOKUP('Données projet'!$B$11,Paramètres!$A$1:$I$89,3,0)*VLOOKUP('Données projet'!$B$11,Paramètres!$A$1:$I$89,5,0)</f>
        <v>273.98279999999994</v>
      </c>
      <c r="BF105" s="14">
        <f t="shared" si="91"/>
        <v>65.693798259477774</v>
      </c>
      <c r="BG105" s="22">
        <f t="shared" si="61"/>
        <v>591.6034086352571</v>
      </c>
      <c r="BH105" s="62">
        <f t="shared" si="62"/>
        <v>884.93674196859047</v>
      </c>
      <c r="BI105" s="62">
        <f ca="1">AVERAGE(OFFSET($BH$3,0,0,'Données projet'!$E$11+1,1))-AVERAGE(OFFSET($H$3,0,0,'Données projet'!$E$11+1,1))</f>
        <v>403.50418598112844</v>
      </c>
      <c r="BJ105" s="62">
        <f t="shared" si="92"/>
        <v>254.25036207346591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0</v>
      </c>
      <c r="BQ105" s="23">
        <f>EXP(-LN(2)/25)*BQ104+(1-EXP(-LN(2)/25))/(LN(2)/25)*Calculateur!BL105*Calculateur!BN105*VLOOKUP('Données projet'!$B$11,Paramètres!$A$1:$I$89,3,0)*0.475*44/12</f>
        <v>0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0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5.4</v>
      </c>
      <c r="BY105" s="13">
        <f>IF('Données projet'!$A$114&gt;35,BY104+BX105-CG104,IF(A105&lt;'Données projet'!$A$114,$BV$205^A105,IF(A105='Données projet'!$A$114,'Données projet'!$B$114,BY104+BX105-CG104)))</f>
        <v>307.79999999999978</v>
      </c>
      <c r="BZ105" s="14">
        <f>BY105*VLOOKUP('Données projet'!$B$12,Paramètres!$A$1:$I$89,3,0)*VLOOKUP('Données projet'!$B$12,Paramètres!$A$1:$I$89,5,0)</f>
        <v>264.09239999999988</v>
      </c>
      <c r="CA105" s="14">
        <f t="shared" si="93"/>
        <v>63.593917783124894</v>
      </c>
      <c r="CB105" s="22">
        <f t="shared" si="64"/>
        <v>570.72033680560889</v>
      </c>
      <c r="CC105" s="62">
        <f t="shared" si="65"/>
        <v>864.05367013894215</v>
      </c>
      <c r="CD105" s="62">
        <f ca="1">AVERAGE(OFFSET($CC$3,0,0,'Données projet'!$E$12+1,1))-AVERAGE(OFFSET($H$3,0,0,'Données projet'!$E$12+1,1))</f>
        <v>347.72886258008998</v>
      </c>
      <c r="CE105" s="62">
        <f t="shared" si="94"/>
        <v>176.81257896138806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0</v>
      </c>
      <c r="CL105" s="23">
        <f>EXP(-LN(2)/25)*CL104+(1-EXP(-LN(2)/25))/(LN(2)/25)*Calculateur!CG105*Calculateur!CI105*VLOOKUP('Données projet'!$B$12,Paramètres!$A$1:$I$89,3,0)*0.475*44/12</f>
        <v>0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0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3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5.6843418860808015E-14</v>
      </c>
      <c r="O106" s="14">
        <f>N106*VLOOKUP('Données projet'!$B$9,Paramètres!$A$1:$I$89,3,0)*VLOOKUP('Données projet'!$B$9,Paramètres!$A$1:$I$89,5,0)</f>
        <v>2.6602720026858149E-14</v>
      </c>
      <c r="P106" s="14">
        <f t="shared" si="87"/>
        <v>4.6624771586320878E-13</v>
      </c>
      <c r="Q106" s="22">
        <f t="shared" si="107"/>
        <v>8.583811758418665E-13</v>
      </c>
      <c r="R106" s="62">
        <f t="shared" si="55"/>
        <v>293.33333333333417</v>
      </c>
      <c r="S106" s="62">
        <f ca="1">AVERAGE(OFFSET($R$3,0,0,'Données projet'!$E$9+1,1))-AVERAGE(OFFSET($H$3,0,0,'Données projet'!$E$9+1,1))</f>
        <v>172.45217697899039</v>
      </c>
      <c r="T106" s="62">
        <f t="shared" si="88"/>
        <v>223.74038909289629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3.6204218767983876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1.5963467626566886E-10</v>
      </c>
      <c r="AC106" s="24">
        <f t="shared" si="57"/>
        <v>3.6204218769580221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4.5999999999999996</v>
      </c>
      <c r="AI106" s="14">
        <f>IF('Données projet'!$A$62&gt;35,AI105+AH106-AQ105,IF(A106&lt;'Données projet'!$A$62,$AF$205^A106,IF(A106='Données projet'!$A$62,'Données projet'!$B$62,AI105+AH106-AQ105)))</f>
        <v>274.79999999999995</v>
      </c>
      <c r="AJ106" s="14">
        <f>AI106*VLOOKUP('Données projet'!$B$10,Paramètres!$A$1:$I$89,3,0)*VLOOKUP('Données projet'!$B$10,Paramètres!$A$1:$I$89,5,0)</f>
        <v>248.63903999999994</v>
      </c>
      <c r="AK106" s="14">
        <f t="shared" si="89"/>
        <v>60.294419230169922</v>
      </c>
      <c r="AL106" s="22">
        <f t="shared" si="58"/>
        <v>538.05910815921254</v>
      </c>
      <c r="AM106" s="62">
        <f t="shared" si="59"/>
        <v>831.39244149254591</v>
      </c>
      <c r="AN106" s="62">
        <f ca="1">AVERAGE(OFFSET($AM$3,0,0,'Données projet'!$E$10+1,1))-AVERAGE(OFFSET($H$3,0,0,'Données projet'!$E$10+1,1))</f>
        <v>364.3481978218424</v>
      </c>
      <c r="AO106" s="62">
        <f t="shared" si="90"/>
        <v>231.36959598460686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4.5999999999999996</v>
      </c>
      <c r="BD106" s="13">
        <f>IF('Données projet'!$A$88&gt;35,BD105+BC106-BL105,IF(A106&lt;'Données projet'!$A$88,$BA$205^A106,IF(A106='Données projet'!$A$88,'Données projet'!$B$88,BD105+BC106-BL105)))</f>
        <v>274.79999999999995</v>
      </c>
      <c r="BE106" s="14">
        <f>BD106*VLOOKUP('Données projet'!$B$11,Paramètres!$A$1:$I$89,3,0)*VLOOKUP('Données projet'!$B$11,Paramètres!$A$1:$I$89,5,0)</f>
        <v>278.6472</v>
      </c>
      <c r="BF106" s="14">
        <f t="shared" si="91"/>
        <v>66.681042819901123</v>
      </c>
      <c r="BG106" s="22">
        <f t="shared" si="61"/>
        <v>601.44668957799445</v>
      </c>
      <c r="BH106" s="62">
        <f t="shared" si="62"/>
        <v>894.78002291132771</v>
      </c>
      <c r="BI106" s="62">
        <f ca="1">AVERAGE(OFFSET($BH$3,0,0,'Données projet'!$E$11+1,1))-AVERAGE(OFFSET($H$3,0,0,'Données projet'!$E$11+1,1))</f>
        <v>403.50418598112844</v>
      </c>
      <c r="BJ106" s="62">
        <f t="shared" si="92"/>
        <v>254.25036207346591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0</v>
      </c>
      <c r="BQ106" s="23">
        <f>EXP(-LN(2)/25)*BQ105+(1-EXP(-LN(2)/25))/(LN(2)/25)*Calculateur!BL106*Calculateur!BN106*VLOOKUP('Données projet'!$B$11,Paramètres!$A$1:$I$89,3,0)*0.475*44/12</f>
        <v>0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0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5.4</v>
      </c>
      <c r="BY106" s="13">
        <f>IF('Données projet'!$A$114&gt;35,BY105+BX106-CG105,IF(A106&lt;'Données projet'!$A$114,$BV$205^A106,IF(A106='Données projet'!$A$114,'Données projet'!$B$114,BY105+BX106-CG105)))</f>
        <v>313.19999999999976</v>
      </c>
      <c r="BZ106" s="14">
        <f>BY106*VLOOKUP('Données projet'!$B$12,Paramètres!$A$1:$I$89,3,0)*VLOOKUP('Données projet'!$B$12,Paramètres!$A$1:$I$89,5,0)</f>
        <v>268.72559999999982</v>
      </c>
      <c r="CA106" s="14">
        <f t="shared" si="93"/>
        <v>64.578735016913811</v>
      </c>
      <c r="CB106" s="22">
        <f t="shared" si="64"/>
        <v>580.50505015445788</v>
      </c>
      <c r="CC106" s="62">
        <f t="shared" si="65"/>
        <v>873.83838348779113</v>
      </c>
      <c r="CD106" s="62">
        <f ca="1">AVERAGE(OFFSET($CC$3,0,0,'Données projet'!$E$12+1,1))-AVERAGE(OFFSET($H$3,0,0,'Données projet'!$E$12+1,1))</f>
        <v>347.72886258008998</v>
      </c>
      <c r="CE106" s="62">
        <f t="shared" si="94"/>
        <v>176.81257896138806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0</v>
      </c>
      <c r="CL106" s="23">
        <f>EXP(-LN(2)/25)*CL105+(1-EXP(-LN(2)/25))/(LN(2)/25)*Calculateur!CG106*Calculateur!CI106*VLOOKUP('Données projet'!$B$12,Paramètres!$A$1:$I$89,3,0)*0.475*44/12</f>
        <v>0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0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3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5.6843418860808015E-14</v>
      </c>
      <c r="O107" s="14">
        <f>N107*VLOOKUP('Données projet'!$B$9,Paramètres!$A$1:$I$89,3,0)*VLOOKUP('Données projet'!$B$9,Paramètres!$A$1:$I$89,5,0)</f>
        <v>2.6602720026858149E-14</v>
      </c>
      <c r="P107" s="14">
        <f t="shared" si="87"/>
        <v>4.6624771586320878E-13</v>
      </c>
      <c r="Q107" s="22">
        <f t="shared" si="107"/>
        <v>8.583811758418665E-13</v>
      </c>
      <c r="R107" s="62">
        <f t="shared" si="55"/>
        <v>293.33333333333417</v>
      </c>
      <c r="S107" s="62">
        <f ca="1">AVERAGE(OFFSET($R$3,0,0,'Données projet'!$E$9+1,1))-AVERAGE(OFFSET($H$3,0,0,'Données projet'!$E$9+1,1))</f>
        <v>172.45217697899039</v>
      </c>
      <c r="T107" s="62">
        <f t="shared" si="88"/>
        <v>223.74038909289629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3.5494276120336705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1.1287876209997367E-10</v>
      </c>
      <c r="AC107" s="24">
        <f t="shared" si="57"/>
        <v>3.5494276121465491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4.5999999999999996</v>
      </c>
      <c r="AI107" s="14">
        <f>IF('Données projet'!$A$62&gt;35,AI106+AH107-AQ106,IF(A107&lt;'Données projet'!$A$62,$AF$205^A107,IF(A107='Données projet'!$A$62,'Données projet'!$B$62,AI106+AH107-AQ106)))</f>
        <v>279.39999999999998</v>
      </c>
      <c r="AJ107" s="14">
        <f>AI107*VLOOKUP('Données projet'!$B$10,Paramètres!$A$1:$I$89,3,0)*VLOOKUP('Données projet'!$B$10,Paramètres!$A$1:$I$89,5,0)</f>
        <v>252.80111999999994</v>
      </c>
      <c r="AK107" s="14">
        <f t="shared" si="89"/>
        <v>61.185369021394209</v>
      </c>
      <c r="AL107" s="22">
        <f t="shared" si="58"/>
        <v>546.8598017122614</v>
      </c>
      <c r="AM107" s="62">
        <f t="shared" si="59"/>
        <v>840.19313504559477</v>
      </c>
      <c r="AN107" s="62">
        <f ca="1">AVERAGE(OFFSET($AM$3,0,0,'Données projet'!$E$10+1,1))-AVERAGE(OFFSET($H$3,0,0,'Données projet'!$E$10+1,1))</f>
        <v>364.3481978218424</v>
      </c>
      <c r="AO107" s="62">
        <f t="shared" si="90"/>
        <v>231.36959598460686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4.5999999999999996</v>
      </c>
      <c r="BD107" s="13">
        <f>IF('Données projet'!$A$88&gt;35,BD106+BC107-BL106,IF(A107&lt;'Données projet'!$A$88,$BA$205^A107,IF(A107='Données projet'!$A$88,'Données projet'!$B$88,BD106+BC107-BL106)))</f>
        <v>279.39999999999998</v>
      </c>
      <c r="BE107" s="14">
        <f>BD107*VLOOKUP('Données projet'!$B$11,Paramètres!$A$1:$I$89,3,0)*VLOOKUP('Données projet'!$B$11,Paramètres!$A$1:$I$89,5,0)</f>
        <v>283.3116</v>
      </c>
      <c r="BF107" s="14">
        <f t="shared" si="91"/>
        <v>67.666365540271272</v>
      </c>
      <c r="BG107" s="22">
        <f t="shared" si="61"/>
        <v>611.28662331597241</v>
      </c>
      <c r="BH107" s="62">
        <f t="shared" si="62"/>
        <v>904.61995664930578</v>
      </c>
      <c r="BI107" s="62">
        <f ca="1">AVERAGE(OFFSET($BH$3,0,0,'Données projet'!$E$11+1,1))-AVERAGE(OFFSET($H$3,0,0,'Données projet'!$E$11+1,1))</f>
        <v>403.50418598112844</v>
      </c>
      <c r="BJ107" s="62">
        <f t="shared" si="92"/>
        <v>254.25036207346591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0</v>
      </c>
      <c r="BQ107" s="23">
        <f>EXP(-LN(2)/25)*BQ106+(1-EXP(-LN(2)/25))/(LN(2)/25)*Calculateur!BL107*Calculateur!BN107*VLOOKUP('Données projet'!$B$11,Paramètres!$A$1:$I$89,3,0)*0.475*44/12</f>
        <v>0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0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5.4</v>
      </c>
      <c r="BY107" s="13">
        <f>IF('Données projet'!$A$114&gt;35,BY106+BX107-CG106,IF(A107&lt;'Données projet'!$A$114,$BV$205^A107,IF(A107='Données projet'!$A$114,'Données projet'!$B$114,BY106+BX107-CG106)))</f>
        <v>318.59999999999974</v>
      </c>
      <c r="BZ107" s="14">
        <f>BY107*VLOOKUP('Données projet'!$B$12,Paramètres!$A$1:$I$89,3,0)*VLOOKUP('Données projet'!$B$12,Paramètres!$A$1:$I$89,5,0)</f>
        <v>273.3587999999998</v>
      </c>
      <c r="CA107" s="14">
        <f t="shared" si="93"/>
        <v>65.561577702883213</v>
      </c>
      <c r="CB107" s="22">
        <f t="shared" si="64"/>
        <v>590.28632449918791</v>
      </c>
      <c r="CC107" s="62">
        <f t="shared" si="65"/>
        <v>883.61965783252117</v>
      </c>
      <c r="CD107" s="62">
        <f ca="1">AVERAGE(OFFSET($CC$3,0,0,'Données projet'!$E$12+1,1))-AVERAGE(OFFSET($H$3,0,0,'Données projet'!$E$12+1,1))</f>
        <v>347.72886258008998</v>
      </c>
      <c r="CE107" s="62">
        <f t="shared" si="94"/>
        <v>176.81257896138806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0</v>
      </c>
      <c r="CL107" s="23">
        <f>EXP(-LN(2)/25)*CL106+(1-EXP(-LN(2)/25))/(LN(2)/25)*Calculateur!CG107*Calculateur!CI107*VLOOKUP('Données projet'!$B$12,Paramètres!$A$1:$I$89,3,0)*0.475*44/12</f>
        <v>0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0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3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5.6843418860808015E-14</v>
      </c>
      <c r="O108" s="14">
        <f>N108*VLOOKUP('Données projet'!$B$9,Paramètres!$A$1:$I$89,3,0)*VLOOKUP('Données projet'!$B$9,Paramètres!$A$1:$I$89,5,0)</f>
        <v>2.6602720026858149E-14</v>
      </c>
      <c r="P108" s="14">
        <f t="shared" si="87"/>
        <v>4.6624771586320878E-13</v>
      </c>
      <c r="Q108" s="22">
        <f t="shared" si="107"/>
        <v>8.583811758418665E-13</v>
      </c>
      <c r="R108" s="62">
        <f t="shared" si="55"/>
        <v>293.33333333333417</v>
      </c>
      <c r="S108" s="62">
        <f ca="1">AVERAGE(OFFSET($R$3,0,0,'Données projet'!$E$9+1,1))-AVERAGE(OFFSET($H$3,0,0,'Données projet'!$E$9+1,1))</f>
        <v>172.45217697899039</v>
      </c>
      <c r="T108" s="62">
        <f t="shared" si="88"/>
        <v>223.74038909289629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3.4798255014987638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7.9817338132834443E-11</v>
      </c>
      <c r="AC108" s="24">
        <f t="shared" si="57"/>
        <v>3.4798255015785813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284</v>
      </c>
      <c r="AG108" s="13">
        <f>VLOOKUP(A108,'Données projet'!$A$61:$I$81,9,0)</f>
        <v>4.5999999999999996</v>
      </c>
      <c r="AH108" s="13">
        <f t="array" ref="AH108">INDEX(AG:AG,MIN(IF(ISNUMBER(AG108:AG304),ROW(AG108:AG304),"")))</f>
        <v>4.5999999999999996</v>
      </c>
      <c r="AI108" s="14">
        <f>IF('Données projet'!$A$62&gt;35,AI107+AH108-AQ107,IF(A108&lt;'Données projet'!$A$62,$AF$205^A108,IF(A108='Données projet'!$A$62,'Données projet'!$B$62,AI107+AH108-AQ107)))</f>
        <v>284</v>
      </c>
      <c r="AJ108" s="14">
        <f>AI108*VLOOKUP('Données projet'!$B$10,Paramètres!$A$1:$I$89,3,0)*VLOOKUP('Données projet'!$B$10,Paramètres!$A$1:$I$89,5,0)</f>
        <v>256.96320000000003</v>
      </c>
      <c r="AK108" s="14">
        <f t="shared" si="89"/>
        <v>62.074612956838024</v>
      </c>
      <c r="AL108" s="22">
        <f t="shared" si="58"/>
        <v>555.65752423315951</v>
      </c>
      <c r="AM108" s="62">
        <f t="shared" si="59"/>
        <v>848.99085756649288</v>
      </c>
      <c r="AN108" s="62">
        <f ca="1">AVERAGE(OFFSET($AM$3,0,0,'Données projet'!$E$10+1,1))-AVERAGE(OFFSET($H$3,0,0,'Données projet'!$E$10+1,1))</f>
        <v>364.3481978218424</v>
      </c>
      <c r="AO108" s="62">
        <f t="shared" si="90"/>
        <v>231.36959598460686</v>
      </c>
      <c r="AP108" s="16">
        <f>IF(ISNA(VLOOKUP(A108,'Données projet'!$A$61:$I$81,3,0)),0,VLOOKUP(A108,'Données projet'!$A$61:$I$81,3,0))</f>
        <v>18</v>
      </c>
      <c r="AQ108" s="16">
        <f>IF(ISNA(VLOOKUP(A108,'Données projet'!$A$61:$I$81,4,0)),0,VLOOKUP(A108,'Données projet'!$A$61:$I$81,4,0))</f>
        <v>20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>
        <f>VLOOKUP(A108,'Données projet'!$A$87:$I$107,2,0)</f>
        <v>284</v>
      </c>
      <c r="BB108" s="13">
        <f>VLOOKUP(A108,'Données projet'!$A$87:$I$107,9,0)</f>
        <v>4.5999999999999996</v>
      </c>
      <c r="BC108" s="13">
        <f t="array" ref="BC108">INDEX(BB:BB,MIN(IF(ISNUMBER(BB108:BB304),ROW(BB108:BB304),"")))</f>
        <v>4.5999999999999996</v>
      </c>
      <c r="BD108" s="13">
        <f>IF('Données projet'!$A$88&gt;35,BD107+BC108-BL107,IF(A108&lt;'Données projet'!$A$88,$BA$205^A108,IF(A108='Données projet'!$A$88,'Données projet'!$B$88,BD107+BC108-BL107)))</f>
        <v>284</v>
      </c>
      <c r="BE108" s="14">
        <f>BD108*VLOOKUP('Données projet'!$B$11,Paramètres!$A$1:$I$89,3,0)*VLOOKUP('Données projet'!$B$11,Paramètres!$A$1:$I$89,5,0)</f>
        <v>287.976</v>
      </c>
      <c r="BF108" s="14">
        <f t="shared" si="91"/>
        <v>68.649801713863141</v>
      </c>
      <c r="BG108" s="22">
        <f t="shared" si="61"/>
        <v>621.12327131831159</v>
      </c>
      <c r="BH108" s="62">
        <f t="shared" si="62"/>
        <v>914.45660465164497</v>
      </c>
      <c r="BI108" s="62">
        <f ca="1">AVERAGE(OFFSET($BH$3,0,0,'Données projet'!$E$11+1,1))-AVERAGE(OFFSET($H$3,0,0,'Données projet'!$E$11+1,1))</f>
        <v>403.50418598112844</v>
      </c>
      <c r="BJ108" s="62">
        <f t="shared" si="92"/>
        <v>254.25036207346591</v>
      </c>
      <c r="BK108" s="16">
        <f>IF(ISNA(VLOOKUP(A108,'Données projet'!$A$87:$I$107,3,0)),0,VLOOKUP(A108,'Données projet'!$A$87:$I$107,3,0))</f>
        <v>18</v>
      </c>
      <c r="BL108" s="16">
        <f>IF(ISNA(VLOOKUP(A108,'Données projet'!$A$87:$I$107,4,0)),0,VLOOKUP(A108,'Données projet'!$A$87:$I$107,4,0))</f>
        <v>20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0</v>
      </c>
      <c r="BQ108" s="23">
        <f>EXP(-LN(2)/25)*BQ107+(1-EXP(-LN(2)/25))/(LN(2)/25)*Calculateur!BL108*Calculateur!BN108*VLOOKUP('Données projet'!$B$11,Paramètres!$A$1:$I$89,3,0)*0.475*44/12</f>
        <v>0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0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>
        <f>VLOOKUP(A108,'Données projet'!$A$113:$I$133,2,0)</f>
        <v>324</v>
      </c>
      <c r="BW108" s="13">
        <f>VLOOKUP(A108,'Données projet'!$A$113:$I$133,9,0)</f>
        <v>5.4</v>
      </c>
      <c r="BX108" s="13">
        <f t="array" ref="BX108">INDEX(BW:BW,MIN(IF(ISNUMBER(BW108:BW304),ROW(BW108:BW304),"")))</f>
        <v>5.4</v>
      </c>
      <c r="BY108" s="13">
        <f>IF('Données projet'!$A$114&gt;35,BY107+BX108-CG107,IF(A108&lt;'Données projet'!$A$114,$BV$205^A108,IF(A108='Données projet'!$A$114,'Données projet'!$B$114,BY107+BX108-CG107)))</f>
        <v>323.99999999999972</v>
      </c>
      <c r="BZ108" s="14">
        <f>BY108*VLOOKUP('Données projet'!$B$12,Paramètres!$A$1:$I$89,3,0)*VLOOKUP('Données projet'!$B$12,Paramètres!$A$1:$I$89,5,0)</f>
        <v>277.99199999999979</v>
      </c>
      <c r="CA108" s="14">
        <f t="shared" si="93"/>
        <v>66.54248317026412</v>
      </c>
      <c r="CB108" s="22">
        <f t="shared" si="64"/>
        <v>600.06422485487622</v>
      </c>
      <c r="CC108" s="62">
        <f t="shared" si="65"/>
        <v>893.39755818820959</v>
      </c>
      <c r="CD108" s="62">
        <f ca="1">AVERAGE(OFFSET($CC$3,0,0,'Données projet'!$E$12+1,1))-AVERAGE(OFFSET($H$3,0,0,'Données projet'!$E$12+1,1))</f>
        <v>347.72886258008998</v>
      </c>
      <c r="CE108" s="62">
        <f t="shared" si="94"/>
        <v>176.81257896138806</v>
      </c>
      <c r="CF108" s="16">
        <f>IF(ISNA(VLOOKUP(A108,'Données projet'!$A$113:$I$133,3,0)),0,VLOOKUP(A108,'Données projet'!$A$113:$I$133,3,0))</f>
        <v>17</v>
      </c>
      <c r="CG108" s="16">
        <f>IF(ISNA(VLOOKUP(A108,'Données projet'!$A$113:$I$133,4,0)),0,VLOOKUP(A108,'Données projet'!$A$113:$I$133,4,0))</f>
        <v>18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0</v>
      </c>
      <c r="CL108" s="23">
        <f>EXP(-LN(2)/25)*CL107+(1-EXP(-LN(2)/25))/(LN(2)/25)*Calculateur!CG108*Calculateur!CI108*VLOOKUP('Données projet'!$B$12,Paramètres!$A$1:$I$89,3,0)*0.475*44/12</f>
        <v>0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0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3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5.6843418860808015E-14</v>
      </c>
      <c r="O109" s="14">
        <f>N109*VLOOKUP('Données projet'!$B$9,Paramètres!$A$1:$I$89,3,0)*VLOOKUP('Données projet'!$B$9,Paramètres!$A$1:$I$89,5,0)</f>
        <v>2.6602720026858149E-14</v>
      </c>
      <c r="P109" s="14">
        <f t="shared" si="87"/>
        <v>4.6624771586320878E-13</v>
      </c>
      <c r="Q109" s="22">
        <f t="shared" si="107"/>
        <v>8.583811758418665E-13</v>
      </c>
      <c r="R109" s="62">
        <f t="shared" si="55"/>
        <v>293.33333333333417</v>
      </c>
      <c r="S109" s="62">
        <f ca="1">AVERAGE(OFFSET($R$3,0,0,'Données projet'!$E$9+1,1))-AVERAGE(OFFSET($H$3,0,0,'Données projet'!$E$9+1,1))</f>
        <v>172.45217697899039</v>
      </c>
      <c r="T109" s="62">
        <f t="shared" si="88"/>
        <v>223.74038909289629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3.4115882458983511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5.6439381049986847E-11</v>
      </c>
      <c r="AC109" s="24">
        <f t="shared" si="57"/>
        <v>3.4115882459547904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4.2</v>
      </c>
      <c r="AI109" s="14">
        <f>IF('Données projet'!$A$62&gt;35,AI108+AH109-AQ108,IF(A109&lt;'Données projet'!$A$62,$AF$205^A109,IF(A109='Données projet'!$A$62,'Données projet'!$B$62,AI108+AH109-AQ108)))</f>
        <v>268.2</v>
      </c>
      <c r="AJ109" s="14">
        <f>AI109*VLOOKUP('Données projet'!$B$10,Paramètres!$A$1:$I$89,3,0)*VLOOKUP('Données projet'!$B$10,Paramètres!$A$1:$I$89,5,0)</f>
        <v>242.66735999999997</v>
      </c>
      <c r="AK109" s="14">
        <f t="shared" si="89"/>
        <v>59.013056290731797</v>
      </c>
      <c r="AL109" s="22">
        <f t="shared" si="58"/>
        <v>525.42672503969118</v>
      </c>
      <c r="AM109" s="62">
        <f t="shared" si="59"/>
        <v>818.76005837302455</v>
      </c>
      <c r="AN109" s="62">
        <f ca="1">AVERAGE(OFFSET($AM$3,0,0,'Données projet'!$E$10+1,1))-AVERAGE(OFFSET($H$3,0,0,'Données projet'!$E$10+1,1))</f>
        <v>364.3481978218424</v>
      </c>
      <c r="AO109" s="62">
        <f t="shared" si="90"/>
        <v>231.36959598460686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4.2</v>
      </c>
      <c r="BD109" s="13">
        <f>IF('Données projet'!$A$88&gt;35,BD108+BC109-BL108,IF(A109&lt;'Données projet'!$A$88,$BA$205^A109,IF(A109='Données projet'!$A$88,'Données projet'!$B$88,BD108+BC109-BL108)))</f>
        <v>268.2</v>
      </c>
      <c r="BE109" s="14">
        <f>BD109*VLOOKUP('Données projet'!$B$11,Paramètres!$A$1:$I$89,3,0)*VLOOKUP('Données projet'!$B$11,Paramètres!$A$1:$I$89,5,0)</f>
        <v>271.95480000000003</v>
      </c>
      <c r="BF109" s="14">
        <f t="shared" si="91"/>
        <v>65.263952845017442</v>
      </c>
      <c r="BG109" s="22">
        <f t="shared" si="61"/>
        <v>587.322661205072</v>
      </c>
      <c r="BH109" s="62">
        <f t="shared" si="62"/>
        <v>880.65599453840537</v>
      </c>
      <c r="BI109" s="62">
        <f ca="1">AVERAGE(OFFSET($BH$3,0,0,'Données projet'!$E$11+1,1))-AVERAGE(OFFSET($H$3,0,0,'Données projet'!$E$11+1,1))</f>
        <v>403.50418598112844</v>
      </c>
      <c r="BJ109" s="62">
        <f t="shared" si="92"/>
        <v>254.25036207346591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0</v>
      </c>
      <c r="BQ109" s="23">
        <f>EXP(-LN(2)/25)*BQ108+(1-EXP(-LN(2)/25))/(LN(2)/25)*Calculateur!BL109*Calculateur!BN109*VLOOKUP('Données projet'!$B$11,Paramètres!$A$1:$I$89,3,0)*0.475*44/12</f>
        <v>0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0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5.4</v>
      </c>
      <c r="BY109" s="13">
        <f>IF('Données projet'!$A$114&gt;35,BY108+BX109-CG108,IF(A109&lt;'Données projet'!$A$114,$BV$205^A109,IF(A109='Données projet'!$A$114,'Données projet'!$B$114,BY108+BX109-CG108)))</f>
        <v>311.39999999999969</v>
      </c>
      <c r="BZ109" s="14">
        <f>BY109*VLOOKUP('Données projet'!$B$12,Paramètres!$A$1:$I$89,3,0)*VLOOKUP('Données projet'!$B$12,Paramètres!$A$1:$I$89,5,0)</f>
        <v>267.18119999999976</v>
      </c>
      <c r="CA109" s="14">
        <f t="shared" si="93"/>
        <v>64.250683882526474</v>
      </c>
      <c r="CB109" s="22">
        <f t="shared" si="64"/>
        <v>577.24386442873322</v>
      </c>
      <c r="CC109" s="62">
        <f t="shared" si="65"/>
        <v>870.57719776206659</v>
      </c>
      <c r="CD109" s="62">
        <f ca="1">AVERAGE(OFFSET($CC$3,0,0,'Données projet'!$E$12+1,1))-AVERAGE(OFFSET($H$3,0,0,'Données projet'!$E$12+1,1))</f>
        <v>347.72886258008998</v>
      </c>
      <c r="CE109" s="62">
        <f t="shared" si="94"/>
        <v>176.81257896138806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0</v>
      </c>
      <c r="CL109" s="23">
        <f>EXP(-LN(2)/25)*CL108+(1-EXP(-LN(2)/25))/(LN(2)/25)*Calculateur!CG109*Calculateur!CI109*VLOOKUP('Données projet'!$B$12,Paramètres!$A$1:$I$89,3,0)*0.475*44/12</f>
        <v>0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0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3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5.6843418860808015E-14</v>
      </c>
      <c r="O110" s="14">
        <f>N110*VLOOKUP('Données projet'!$B$9,Paramètres!$A$1:$I$89,3,0)*VLOOKUP('Données projet'!$B$9,Paramètres!$A$1:$I$89,5,0)</f>
        <v>2.6602720026858149E-14</v>
      </c>
      <c r="P110" s="14">
        <f t="shared" si="87"/>
        <v>4.6624771586320878E-13</v>
      </c>
      <c r="Q110" s="22">
        <f t="shared" si="107"/>
        <v>8.583811758418665E-13</v>
      </c>
      <c r="R110" s="62">
        <f t="shared" si="55"/>
        <v>293.33333333333417</v>
      </c>
      <c r="S110" s="62">
        <f ca="1">AVERAGE(OFFSET($R$3,0,0,'Données projet'!$E$9+1,1))-AVERAGE(OFFSET($H$3,0,0,'Données projet'!$E$9+1,1))</f>
        <v>172.45217697899039</v>
      </c>
      <c r="T110" s="62">
        <f t="shared" si="88"/>
        <v>223.74038909289629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3.3446890812596464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3.9908669066417228E-11</v>
      </c>
      <c r="AC110" s="24">
        <f t="shared" si="57"/>
        <v>3.3446890812995549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4.2</v>
      </c>
      <c r="AI110" s="14">
        <f>IF('Données projet'!$A$62&gt;35,AI109+AH110-AQ109,IF(A110&lt;'Données projet'!$A$62,$AF$205^A110,IF(A110='Données projet'!$A$62,'Données projet'!$B$62,AI109+AH110-AQ109)))</f>
        <v>272.39999999999998</v>
      </c>
      <c r="AJ110" s="14">
        <f>AI110*VLOOKUP('Données projet'!$B$10,Paramètres!$A$1:$I$89,3,0)*VLOOKUP('Données projet'!$B$10,Paramètres!$A$1:$I$89,5,0)</f>
        <v>246.46751999999995</v>
      </c>
      <c r="AK110" s="14">
        <f t="shared" si="89"/>
        <v>59.828888074216977</v>
      </c>
      <c r="AL110" s="22">
        <f t="shared" si="58"/>
        <v>533.46624406259446</v>
      </c>
      <c r="AM110" s="62">
        <f t="shared" si="59"/>
        <v>826.79957739592783</v>
      </c>
      <c r="AN110" s="62">
        <f ca="1">AVERAGE(OFFSET($AM$3,0,0,'Données projet'!$E$10+1,1))-AVERAGE(OFFSET($H$3,0,0,'Données projet'!$E$10+1,1))</f>
        <v>364.3481978218424</v>
      </c>
      <c r="AO110" s="62">
        <f t="shared" si="90"/>
        <v>231.36959598460686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4.2</v>
      </c>
      <c r="BD110" s="13">
        <f>IF('Données projet'!$A$88&gt;35,BD109+BC110-BL109,IF(A110&lt;'Données projet'!$A$88,$BA$205^A110,IF(A110='Données projet'!$A$88,'Données projet'!$B$88,BD109+BC110-BL109)))</f>
        <v>272.39999999999998</v>
      </c>
      <c r="BE110" s="14">
        <f>BD110*VLOOKUP('Données projet'!$B$11,Paramètres!$A$1:$I$89,3,0)*VLOOKUP('Données projet'!$B$11,Paramètres!$A$1:$I$89,5,0)</f>
        <v>276.21359999999999</v>
      </c>
      <c r="BF110" s="14">
        <f t="shared" si="91"/>
        <v>66.166200760877473</v>
      </c>
      <c r="BG110" s="22">
        <f t="shared" si="61"/>
        <v>596.31148632519489</v>
      </c>
      <c r="BH110" s="62">
        <f t="shared" si="62"/>
        <v>889.64481965852815</v>
      </c>
      <c r="BI110" s="62">
        <f ca="1">AVERAGE(OFFSET($BH$3,0,0,'Données projet'!$E$11+1,1))-AVERAGE(OFFSET($H$3,0,0,'Données projet'!$E$11+1,1))</f>
        <v>403.50418598112844</v>
      </c>
      <c r="BJ110" s="62">
        <f t="shared" si="92"/>
        <v>254.25036207346591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0</v>
      </c>
      <c r="BQ110" s="23">
        <f>EXP(-LN(2)/25)*BQ109+(1-EXP(-LN(2)/25))/(LN(2)/25)*Calculateur!BL110*Calculateur!BN110*VLOOKUP('Données projet'!$B$11,Paramètres!$A$1:$I$89,3,0)*0.475*44/12</f>
        <v>0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0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5.4</v>
      </c>
      <c r="BY110" s="13">
        <f>IF('Données projet'!$A$114&gt;35,BY109+BX110-CG109,IF(A110&lt;'Données projet'!$A$114,$BV$205^A110,IF(A110='Données projet'!$A$114,'Données projet'!$B$114,BY109+BX110-CG109)))</f>
        <v>316.79999999999967</v>
      </c>
      <c r="BZ110" s="14">
        <f>BY110*VLOOKUP('Données projet'!$B$12,Paramètres!$A$1:$I$89,3,0)*VLOOKUP('Données projet'!$B$12,Paramètres!$A$1:$I$89,5,0)</f>
        <v>271.81439999999975</v>
      </c>
      <c r="CA110" s="14">
        <f t="shared" si="93"/>
        <v>65.234180536414854</v>
      </c>
      <c r="CB110" s="22">
        <f t="shared" si="64"/>
        <v>587.02627776758879</v>
      </c>
      <c r="CC110" s="62">
        <f t="shared" si="65"/>
        <v>880.35961110092217</v>
      </c>
      <c r="CD110" s="62">
        <f ca="1">AVERAGE(OFFSET($CC$3,0,0,'Données projet'!$E$12+1,1))-AVERAGE(OFFSET($H$3,0,0,'Données projet'!$E$12+1,1))</f>
        <v>347.72886258008998</v>
      </c>
      <c r="CE110" s="62">
        <f t="shared" si="94"/>
        <v>176.81257896138806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0</v>
      </c>
      <c r="CL110" s="23">
        <f>EXP(-LN(2)/25)*CL109+(1-EXP(-LN(2)/25))/(LN(2)/25)*Calculateur!CG110*Calculateur!CI110*VLOOKUP('Données projet'!$B$12,Paramètres!$A$1:$I$89,3,0)*0.475*44/12</f>
        <v>0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0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3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5.6843418860808015E-14</v>
      </c>
      <c r="O111" s="14">
        <f>N111*VLOOKUP('Données projet'!$B$9,Paramètres!$A$1:$I$89,3,0)*VLOOKUP('Données projet'!$B$9,Paramètres!$A$1:$I$89,5,0)</f>
        <v>2.6602720026858149E-14</v>
      </c>
      <c r="P111" s="14">
        <f t="shared" si="87"/>
        <v>4.6624771586320878E-13</v>
      </c>
      <c r="Q111" s="22">
        <f t="shared" si="107"/>
        <v>8.583811758418665E-13</v>
      </c>
      <c r="R111" s="62">
        <f t="shared" si="55"/>
        <v>293.33333333333417</v>
      </c>
      <c r="S111" s="62">
        <f ca="1">AVERAGE(OFFSET($R$3,0,0,'Données projet'!$E$9+1,1))-AVERAGE(OFFSET($H$3,0,0,'Données projet'!$E$9+1,1))</f>
        <v>172.45217697899039</v>
      </c>
      <c r="T111" s="62">
        <f t="shared" si="88"/>
        <v>223.74038909289629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3.2791017684350452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2.8219690524993427E-11</v>
      </c>
      <c r="AC111" s="24">
        <f t="shared" si="57"/>
        <v>3.2791017684632648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4.2</v>
      </c>
      <c r="AI111" s="14">
        <f>IF('Données projet'!$A$62&gt;35,AI110+AH111-AQ110,IF(A111&lt;'Données projet'!$A$62,$AF$205^A111,IF(A111='Données projet'!$A$62,'Données projet'!$B$62,AI110+AH111-AQ110)))</f>
        <v>276.59999999999997</v>
      </c>
      <c r="AJ111" s="14">
        <f>AI111*VLOOKUP('Données projet'!$B$10,Paramètres!$A$1:$I$89,3,0)*VLOOKUP('Données projet'!$B$10,Paramètres!$A$1:$I$89,5,0)</f>
        <v>250.26767999999996</v>
      </c>
      <c r="AK111" s="14">
        <f t="shared" si="89"/>
        <v>60.643256925083442</v>
      </c>
      <c r="AL111" s="22">
        <f t="shared" si="58"/>
        <v>541.50321514452014</v>
      </c>
      <c r="AM111" s="62">
        <f t="shared" si="59"/>
        <v>834.83654847785351</v>
      </c>
      <c r="AN111" s="62">
        <f ca="1">AVERAGE(OFFSET($AM$3,0,0,'Données projet'!$E$10+1,1))-AVERAGE(OFFSET($H$3,0,0,'Données projet'!$E$10+1,1))</f>
        <v>364.3481978218424</v>
      </c>
      <c r="AO111" s="62">
        <f t="shared" si="90"/>
        <v>231.36959598460686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4.2</v>
      </c>
      <c r="BD111" s="13">
        <f>IF('Données projet'!$A$88&gt;35,BD110+BC111-BL110,IF(A111&lt;'Données projet'!$A$88,$BA$205^A111,IF(A111='Données projet'!$A$88,'Données projet'!$B$88,BD110+BC111-BL110)))</f>
        <v>276.59999999999997</v>
      </c>
      <c r="BE111" s="14">
        <f>BD111*VLOOKUP('Données projet'!$B$11,Paramètres!$A$1:$I$89,3,0)*VLOOKUP('Données projet'!$B$11,Paramètres!$A$1:$I$89,5,0)</f>
        <v>280.47239999999999</v>
      </c>
      <c r="BF111" s="14">
        <f t="shared" si="91"/>
        <v>67.066830784504006</v>
      </c>
      <c r="BG111" s="22">
        <f t="shared" si="61"/>
        <v>605.29749361634447</v>
      </c>
      <c r="BH111" s="62">
        <f t="shared" si="62"/>
        <v>898.63082694967784</v>
      </c>
      <c r="BI111" s="62">
        <f ca="1">AVERAGE(OFFSET($BH$3,0,0,'Données projet'!$E$11+1,1))-AVERAGE(OFFSET($H$3,0,0,'Données projet'!$E$11+1,1))</f>
        <v>403.50418598112844</v>
      </c>
      <c r="BJ111" s="62">
        <f t="shared" si="92"/>
        <v>254.25036207346591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0</v>
      </c>
      <c r="BQ111" s="23">
        <f>EXP(-LN(2)/25)*BQ110+(1-EXP(-LN(2)/25))/(LN(2)/25)*Calculateur!BL111*Calculateur!BN111*VLOOKUP('Données projet'!$B$11,Paramètres!$A$1:$I$89,3,0)*0.475*44/12</f>
        <v>0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0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5.4</v>
      </c>
      <c r="BY111" s="13">
        <f>IF('Données projet'!$A$114&gt;35,BY110+BX111-CG110,IF(A111&lt;'Données projet'!$A$114,$BV$205^A111,IF(A111='Données projet'!$A$114,'Données projet'!$B$114,BY110+BX111-CG110)))</f>
        <v>322.19999999999965</v>
      </c>
      <c r="BZ111" s="14">
        <f>BY111*VLOOKUP('Données projet'!$B$12,Paramètres!$A$1:$I$89,3,0)*VLOOKUP('Données projet'!$B$12,Paramètres!$A$1:$I$89,5,0)</f>
        <v>276.44759999999974</v>
      </c>
      <c r="CA111" s="14">
        <f t="shared" si="93"/>
        <v>66.215727678271477</v>
      </c>
      <c r="CB111" s="22">
        <f t="shared" si="64"/>
        <v>596.80529570632234</v>
      </c>
      <c r="CC111" s="62">
        <f t="shared" si="65"/>
        <v>890.1386290396556</v>
      </c>
      <c r="CD111" s="62">
        <f ca="1">AVERAGE(OFFSET($CC$3,0,0,'Données projet'!$E$12+1,1))-AVERAGE(OFFSET($H$3,0,0,'Données projet'!$E$12+1,1))</f>
        <v>347.72886258008998</v>
      </c>
      <c r="CE111" s="62">
        <f t="shared" si="94"/>
        <v>176.81257896138806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0</v>
      </c>
      <c r="CL111" s="23">
        <f>EXP(-LN(2)/25)*CL110+(1-EXP(-LN(2)/25))/(LN(2)/25)*Calculateur!CG111*Calculateur!CI111*VLOOKUP('Données projet'!$B$12,Paramètres!$A$1:$I$89,3,0)*0.475*44/12</f>
        <v>0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0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3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5.6843418860808015E-14</v>
      </c>
      <c r="O112" s="14">
        <f>N112*VLOOKUP('Données projet'!$B$9,Paramètres!$A$1:$I$89,3,0)*VLOOKUP('Données projet'!$B$9,Paramètres!$A$1:$I$89,5,0)</f>
        <v>2.6602720026858149E-14</v>
      </c>
      <c r="P112" s="14">
        <f t="shared" si="87"/>
        <v>4.6624771586320878E-13</v>
      </c>
      <c r="Q112" s="22">
        <f t="shared" si="107"/>
        <v>8.583811758418665E-13</v>
      </c>
      <c r="R112" s="62">
        <f t="shared" si="55"/>
        <v>293.33333333333417</v>
      </c>
      <c r="S112" s="62">
        <f ca="1">AVERAGE(OFFSET($R$3,0,0,'Données projet'!$E$9+1,1))-AVERAGE(OFFSET($H$3,0,0,'Données projet'!$E$9+1,1))</f>
        <v>172.45217697899039</v>
      </c>
      <c r="T112" s="62">
        <f t="shared" si="88"/>
        <v>223.74038909289629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3.2148005828106236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1.9954334533208617E-11</v>
      </c>
      <c r="AC112" s="24">
        <f t="shared" si="57"/>
        <v>3.2148005828305779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4.2</v>
      </c>
      <c r="AI112" s="14">
        <f>IF('Données projet'!$A$62&gt;35,AI111+AH112-AQ111,IF(A112&lt;'Données projet'!$A$62,$AF$205^A112,IF(A112='Données projet'!$A$62,'Données projet'!$B$62,AI111+AH112-AQ111)))</f>
        <v>280.79999999999995</v>
      </c>
      <c r="AJ112" s="14">
        <f>AI112*VLOOKUP('Données projet'!$B$10,Paramètres!$A$1:$I$89,3,0)*VLOOKUP('Données projet'!$B$10,Paramètres!$A$1:$I$89,5,0)</f>
        <v>254.06783999999996</v>
      </c>
      <c r="AK112" s="14">
        <f t="shared" si="89"/>
        <v>61.456187622750718</v>
      </c>
      <c r="AL112" s="22">
        <f t="shared" si="58"/>
        <v>549.53768144295748</v>
      </c>
      <c r="AM112" s="62">
        <f t="shared" si="59"/>
        <v>842.87101477629085</v>
      </c>
      <c r="AN112" s="62">
        <f ca="1">AVERAGE(OFFSET($AM$3,0,0,'Données projet'!$E$10+1,1))-AVERAGE(OFFSET($H$3,0,0,'Données projet'!$E$10+1,1))</f>
        <v>364.3481978218424</v>
      </c>
      <c r="AO112" s="62">
        <f t="shared" si="90"/>
        <v>231.36959598460686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4.2</v>
      </c>
      <c r="BD112" s="13">
        <f>IF('Données projet'!$A$88&gt;35,BD111+BC112-BL111,IF(A112&lt;'Données projet'!$A$88,$BA$205^A112,IF(A112='Données projet'!$A$88,'Données projet'!$B$88,BD111+BC112-BL111)))</f>
        <v>280.79999999999995</v>
      </c>
      <c r="BE112" s="14">
        <f>BD112*VLOOKUP('Données projet'!$B$11,Paramètres!$A$1:$I$89,3,0)*VLOOKUP('Données projet'!$B$11,Paramètres!$A$1:$I$89,5,0)</f>
        <v>284.7312</v>
      </c>
      <c r="BF112" s="14">
        <f t="shared" si="91"/>
        <v>67.96587032005101</v>
      </c>
      <c r="BG112" s="22">
        <f t="shared" si="61"/>
        <v>614.28073080742217</v>
      </c>
      <c r="BH112" s="62">
        <f t="shared" si="62"/>
        <v>907.61406414075554</v>
      </c>
      <c r="BI112" s="62">
        <f ca="1">AVERAGE(OFFSET($BH$3,0,0,'Données projet'!$E$11+1,1))-AVERAGE(OFFSET($H$3,0,0,'Données projet'!$E$11+1,1))</f>
        <v>403.50418598112844</v>
      </c>
      <c r="BJ112" s="62">
        <f t="shared" si="92"/>
        <v>254.25036207346591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0</v>
      </c>
      <c r="BQ112" s="23">
        <f>EXP(-LN(2)/25)*BQ111+(1-EXP(-LN(2)/25))/(LN(2)/25)*Calculateur!BL112*Calculateur!BN112*VLOOKUP('Données projet'!$B$11,Paramètres!$A$1:$I$89,3,0)*0.475*44/12</f>
        <v>0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0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5.4</v>
      </c>
      <c r="BY112" s="13">
        <f>IF('Données projet'!$A$114&gt;35,BY111+BX112-CG111,IF(A112&lt;'Données projet'!$A$114,$BV$205^A112,IF(A112='Données projet'!$A$114,'Données projet'!$B$114,BY111+BX112-CG111)))</f>
        <v>327.59999999999962</v>
      </c>
      <c r="BZ112" s="14">
        <f>BY112*VLOOKUP('Données projet'!$B$12,Paramètres!$A$1:$I$89,3,0)*VLOOKUP('Données projet'!$B$12,Paramètres!$A$1:$I$89,5,0)</f>
        <v>281.08079999999973</v>
      </c>
      <c r="CA112" s="14">
        <f t="shared" si="93"/>
        <v>67.195361752546063</v>
      </c>
      <c r="CB112" s="22">
        <f t="shared" si="64"/>
        <v>606.58098171901725</v>
      </c>
      <c r="CC112" s="62">
        <f t="shared" si="65"/>
        <v>899.9143150523505</v>
      </c>
      <c r="CD112" s="62">
        <f ca="1">AVERAGE(OFFSET($CC$3,0,0,'Données projet'!$E$12+1,1))-AVERAGE(OFFSET($H$3,0,0,'Données projet'!$E$12+1,1))</f>
        <v>347.72886258008998</v>
      </c>
      <c r="CE112" s="62">
        <f t="shared" si="94"/>
        <v>176.81257896138806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0</v>
      </c>
      <c r="CL112" s="23">
        <f>EXP(-LN(2)/25)*CL111+(1-EXP(-LN(2)/25))/(LN(2)/25)*Calculateur!CG112*Calculateur!CI112*VLOOKUP('Données projet'!$B$12,Paramètres!$A$1:$I$89,3,0)*0.475*44/12</f>
        <v>0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0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3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5.6843418860808015E-14</v>
      </c>
      <c r="O113" s="14">
        <f>N113*VLOOKUP('Données projet'!$B$9,Paramètres!$A$1:$I$89,3,0)*VLOOKUP('Données projet'!$B$9,Paramètres!$A$1:$I$89,5,0)</f>
        <v>2.6602720026858149E-14</v>
      </c>
      <c r="P113" s="14">
        <f t="shared" si="87"/>
        <v>4.6624771586320878E-13</v>
      </c>
      <c r="Q113" s="22">
        <f t="shared" si="107"/>
        <v>8.583811758418665E-13</v>
      </c>
      <c r="R113" s="62">
        <f t="shared" si="55"/>
        <v>293.33333333333417</v>
      </c>
      <c r="S113" s="62">
        <f ca="1">AVERAGE(OFFSET($R$3,0,0,'Données projet'!$E$9+1,1))-AVERAGE(OFFSET($H$3,0,0,'Données projet'!$E$9+1,1))</f>
        <v>172.45217697899039</v>
      </c>
      <c r="T113" s="62">
        <f t="shared" si="88"/>
        <v>223.74038909289629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3.1517603042164466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1.4109845262496715E-11</v>
      </c>
      <c r="AC113" s="24">
        <f t="shared" si="57"/>
        <v>3.1517603042305566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285</v>
      </c>
      <c r="AG113" s="13">
        <f>VLOOKUP(A113,'Données projet'!$A$61:$I$81,9,0)</f>
        <v>4.2</v>
      </c>
      <c r="AH113" s="13">
        <f t="array" ref="AH113">INDEX(AG:AG,MIN(IF(ISNUMBER(AG113:AG309),ROW(AG113:AG309),"")))</f>
        <v>4.2</v>
      </c>
      <c r="AI113" s="14">
        <f>IF('Données projet'!$A$62&gt;35,AI112+AH113-AQ112,IF(A113&lt;'Données projet'!$A$62,$AF$205^A113,IF(A113='Données projet'!$A$62,'Données projet'!$B$62,AI112+AH113-AQ112)))</f>
        <v>284.99999999999994</v>
      </c>
      <c r="AJ113" s="14">
        <f>AI113*VLOOKUP('Données projet'!$B$10,Paramètres!$A$1:$I$89,3,0)*VLOOKUP('Données projet'!$B$10,Paramètres!$A$1:$I$89,5,0)</f>
        <v>257.86799999999994</v>
      </c>
      <c r="AK113" s="14">
        <f t="shared" si="89"/>
        <v>62.267704162827528</v>
      </c>
      <c r="AL113" s="22">
        <f t="shared" si="58"/>
        <v>557.56968475025781</v>
      </c>
      <c r="AM113" s="62">
        <f t="shared" si="59"/>
        <v>850.90301808359118</v>
      </c>
      <c r="AN113" s="62">
        <f ca="1">AVERAGE(OFFSET($AM$3,0,0,'Données projet'!$E$10+1,1))-AVERAGE(OFFSET($H$3,0,0,'Données projet'!$E$10+1,1))</f>
        <v>364.3481978218424</v>
      </c>
      <c r="AO113" s="62">
        <f t="shared" si="90"/>
        <v>231.36959598460686</v>
      </c>
      <c r="AP113" s="16">
        <f>IF(ISNA(VLOOKUP(A113,'Données projet'!$A$61:$I$81,3,0)),0,VLOOKUP(A113,'Données projet'!$A$61:$I$81,3,0))</f>
        <v>19</v>
      </c>
      <c r="AQ113" s="16">
        <f>IF(ISNA(VLOOKUP(A113,'Données projet'!$A$61:$I$81,4,0)),0,VLOOKUP(A113,'Données projet'!$A$61:$I$81,4,0))</f>
        <v>19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>
        <f>VLOOKUP(A113,'Données projet'!$A$87:$I$107,2,0)</f>
        <v>285</v>
      </c>
      <c r="BB113" s="13">
        <f>VLOOKUP(A113,'Données projet'!$A$87:$I$107,9,0)</f>
        <v>4.2</v>
      </c>
      <c r="BC113" s="13">
        <f t="array" ref="BC113">INDEX(BB:BB,MIN(IF(ISNUMBER(BB113:BB309),ROW(BB113:BB309),"")))</f>
        <v>4.2</v>
      </c>
      <c r="BD113" s="13">
        <f>IF('Données projet'!$A$88&gt;35,BD112+BC113-BL112,IF(A113&lt;'Données projet'!$A$88,$BA$205^A113,IF(A113='Données projet'!$A$88,'Données projet'!$B$88,BD112+BC113-BL112)))</f>
        <v>284.99999999999994</v>
      </c>
      <c r="BE113" s="14">
        <f>BD113*VLOOKUP('Données projet'!$B$11,Paramètres!$A$1:$I$89,3,0)*VLOOKUP('Données projet'!$B$11,Paramètres!$A$1:$I$89,5,0)</f>
        <v>288.98999999999995</v>
      </c>
      <c r="BF113" s="14">
        <f t="shared" si="91"/>
        <v>68.863345904836791</v>
      </c>
      <c r="BG113" s="22">
        <f t="shared" si="61"/>
        <v>623.26124411759065</v>
      </c>
      <c r="BH113" s="62">
        <f t="shared" si="62"/>
        <v>916.59457745092391</v>
      </c>
      <c r="BI113" s="62">
        <f ca="1">AVERAGE(OFFSET($BH$3,0,0,'Données projet'!$E$11+1,1))-AVERAGE(OFFSET($H$3,0,0,'Données projet'!$E$11+1,1))</f>
        <v>403.50418598112844</v>
      </c>
      <c r="BJ113" s="62">
        <f t="shared" si="92"/>
        <v>254.25036207346591</v>
      </c>
      <c r="BK113" s="16">
        <f>IF(ISNA(VLOOKUP(A113,'Données projet'!$A$87:$I$107,3,0)),0,VLOOKUP(A113,'Données projet'!$A$87:$I$107,3,0))</f>
        <v>19</v>
      </c>
      <c r="BL113" s="16">
        <f>IF(ISNA(VLOOKUP(A113,'Données projet'!$A$87:$I$107,4,0)),0,VLOOKUP(A113,'Données projet'!$A$87:$I$107,4,0))</f>
        <v>19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0</v>
      </c>
      <c r="BQ113" s="23">
        <f>EXP(-LN(2)/25)*BQ112+(1-EXP(-LN(2)/25))/(LN(2)/25)*Calculateur!BL113*Calculateur!BN113*VLOOKUP('Données projet'!$B$11,Paramètres!$A$1:$I$89,3,0)*0.475*44/12</f>
        <v>0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0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>
        <f>VLOOKUP(A113,'Données projet'!$A$113:$I$133,2,0)</f>
        <v>333</v>
      </c>
      <c r="BW113" s="13">
        <f>VLOOKUP(A113,'Données projet'!$A$113:$I$133,9,0)</f>
        <v>5.4</v>
      </c>
      <c r="BX113" s="13">
        <f t="array" ref="BX113">INDEX(BW:BW,MIN(IF(ISNUMBER(BW113:BW309),ROW(BW113:BW309),"")))</f>
        <v>5.4</v>
      </c>
      <c r="BY113" s="13">
        <f>IF('Données projet'!$A$114&gt;35,BY112+BX113-CG112,IF(A113&lt;'Données projet'!$A$114,$BV$205^A113,IF(A113='Données projet'!$A$114,'Données projet'!$B$114,BY112+BX113-CG112)))</f>
        <v>332.9999999999996</v>
      </c>
      <c r="BZ113" s="14">
        <f>BY113*VLOOKUP('Données projet'!$B$12,Paramètres!$A$1:$I$89,3,0)*VLOOKUP('Données projet'!$B$12,Paramètres!$A$1:$I$89,5,0)</f>
        <v>285.71399999999971</v>
      </c>
      <c r="CA113" s="14">
        <f t="shared" si="93"/>
        <v>68.173117933344415</v>
      </c>
      <c r="CB113" s="22">
        <f t="shared" si="64"/>
        <v>616.35339706724096</v>
      </c>
      <c r="CC113" s="62">
        <f t="shared" si="65"/>
        <v>909.68673040057433</v>
      </c>
      <c r="CD113" s="62">
        <f ca="1">AVERAGE(OFFSET($CC$3,0,0,'Données projet'!$E$12+1,1))-AVERAGE(OFFSET($H$3,0,0,'Données projet'!$E$12+1,1))</f>
        <v>347.72886258008998</v>
      </c>
      <c r="CE113" s="62">
        <f t="shared" si="94"/>
        <v>176.81257896138806</v>
      </c>
      <c r="CF113" s="16">
        <f>IF(ISNA(VLOOKUP(A113,'Données projet'!$A$113:$I$133,3,0)),0,VLOOKUP(A113,'Données projet'!$A$113:$I$133,3,0))</f>
        <v>18</v>
      </c>
      <c r="CG113" s="16">
        <f>IF(ISNA(VLOOKUP(A113,'Données projet'!$A$113:$I$133,4,0)),0,VLOOKUP(A113,'Données projet'!$A$113:$I$133,4,0))</f>
        <v>18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0</v>
      </c>
      <c r="CL113" s="23">
        <f>EXP(-LN(2)/25)*CL112+(1-EXP(-LN(2)/25))/(LN(2)/25)*Calculateur!CG113*Calculateur!CI113*VLOOKUP('Données projet'!$B$12,Paramètres!$A$1:$I$89,3,0)*0.475*44/12</f>
        <v>0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0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3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5.6843418860808015E-14</v>
      </c>
      <c r="O114" s="14">
        <f>N114*VLOOKUP('Données projet'!$B$9,Paramètres!$A$1:$I$89,3,0)*VLOOKUP('Données projet'!$B$9,Paramètres!$A$1:$I$89,5,0)</f>
        <v>2.6602720026858149E-14</v>
      </c>
      <c r="P114" s="14">
        <f t="shared" si="87"/>
        <v>4.6624771586320878E-13</v>
      </c>
      <c r="Q114" s="22">
        <f t="shared" si="107"/>
        <v>8.583811758418665E-13</v>
      </c>
      <c r="R114" s="62">
        <f t="shared" si="55"/>
        <v>293.33333333333417</v>
      </c>
      <c r="S114" s="62">
        <f ca="1">AVERAGE(OFFSET($R$3,0,0,'Données projet'!$E$9+1,1))-AVERAGE(OFFSET($H$3,0,0,'Données projet'!$E$9+1,1))</f>
        <v>172.45217697899039</v>
      </c>
      <c r="T114" s="62">
        <f t="shared" si="88"/>
        <v>223.74038909289629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3.089956207034728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9.9771672666043103E-12</v>
      </c>
      <c r="AC114" s="24">
        <f t="shared" si="57"/>
        <v>3.0899562070447053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3.8</v>
      </c>
      <c r="AI114" s="14">
        <f>IF('Données projet'!$A$62&gt;35,AI113+AH114-AQ113,IF(A114&lt;'Données projet'!$A$62,$AF$205^A114,IF(A114='Données projet'!$A$62,'Données projet'!$B$62,AI113+AH114-AQ113)))</f>
        <v>269.79999999999995</v>
      </c>
      <c r="AJ114" s="14">
        <f>AI114*VLOOKUP('Données projet'!$B$10,Paramètres!$A$1:$I$89,3,0)*VLOOKUP('Données projet'!$B$10,Paramètres!$A$1:$I$89,5,0)</f>
        <v>244.11503999999994</v>
      </c>
      <c r="AK114" s="14">
        <f t="shared" si="89"/>
        <v>59.324023461759012</v>
      </c>
      <c r="AL114" s="22">
        <f t="shared" si="58"/>
        <v>528.48970219589683</v>
      </c>
      <c r="AM114" s="62">
        <f t="shared" si="59"/>
        <v>821.82303552923008</v>
      </c>
      <c r="AN114" s="62">
        <f ca="1">AVERAGE(OFFSET($AM$3,0,0,'Données projet'!$E$10+1,1))-AVERAGE(OFFSET($H$3,0,0,'Données projet'!$E$10+1,1))</f>
        <v>364.3481978218424</v>
      </c>
      <c r="AO114" s="62">
        <f t="shared" si="90"/>
        <v>231.36959598460686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3.8</v>
      </c>
      <c r="BD114" s="13">
        <f>IF('Données projet'!$A$88&gt;35,BD113+BC114-BL113,IF(A114&lt;'Données projet'!$A$88,$BA$205^A114,IF(A114='Données projet'!$A$88,'Données projet'!$B$88,BD113+BC114-BL113)))</f>
        <v>269.79999999999995</v>
      </c>
      <c r="BE114" s="14">
        <f>BD114*VLOOKUP('Données projet'!$B$11,Paramètres!$A$1:$I$89,3,0)*VLOOKUP('Données projet'!$B$11,Paramètres!$A$1:$I$89,5,0)</f>
        <v>273.57719999999995</v>
      </c>
      <c r="BF114" s="14">
        <f t="shared" si="91"/>
        <v>65.60785888991505</v>
      </c>
      <c r="BG114" s="22">
        <f t="shared" si="61"/>
        <v>590.74731089993531</v>
      </c>
      <c r="BH114" s="62">
        <f t="shared" si="62"/>
        <v>884.08064423326869</v>
      </c>
      <c r="BI114" s="62">
        <f ca="1">AVERAGE(OFFSET($BH$3,0,0,'Données projet'!$E$11+1,1))-AVERAGE(OFFSET($H$3,0,0,'Données projet'!$E$11+1,1))</f>
        <v>403.50418598112844</v>
      </c>
      <c r="BJ114" s="62">
        <f t="shared" si="92"/>
        <v>254.25036207346591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0</v>
      </c>
      <c r="BQ114" s="23">
        <f>EXP(-LN(2)/25)*BQ113+(1-EXP(-LN(2)/25))/(LN(2)/25)*Calculateur!BL114*Calculateur!BN114*VLOOKUP('Données projet'!$B$11,Paramètres!$A$1:$I$89,3,0)*0.475*44/12</f>
        <v>0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0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5</v>
      </c>
      <c r="BY114" s="13">
        <f>IF('Données projet'!$A$114&gt;35,BY113+BX114-CG113,IF(A114&lt;'Données projet'!$A$114,$BV$205^A114,IF(A114='Données projet'!$A$114,'Données projet'!$B$114,BY113+BX114-CG113)))</f>
        <v>319.9999999999996</v>
      </c>
      <c r="BZ114" s="14">
        <f>BY114*VLOOKUP('Données projet'!$B$12,Paramètres!$A$1:$I$89,3,0)*VLOOKUP('Données projet'!$B$12,Paramètres!$A$1:$I$89,5,0)</f>
        <v>274.55999999999972</v>
      </c>
      <c r="CA114" s="14">
        <f t="shared" si="93"/>
        <v>65.816071069188141</v>
      </c>
      <c r="CB114" s="22">
        <f t="shared" si="64"/>
        <v>592.82165711216874</v>
      </c>
      <c r="CC114" s="62">
        <f t="shared" si="65"/>
        <v>886.15499044550211</v>
      </c>
      <c r="CD114" s="62">
        <f ca="1">AVERAGE(OFFSET($CC$3,0,0,'Données projet'!$E$12+1,1))-AVERAGE(OFFSET($H$3,0,0,'Données projet'!$E$12+1,1))</f>
        <v>347.72886258008998</v>
      </c>
      <c r="CE114" s="62">
        <f t="shared" si="94"/>
        <v>176.81257896138806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0</v>
      </c>
      <c r="CL114" s="23">
        <f>EXP(-LN(2)/25)*CL113+(1-EXP(-LN(2)/25))/(LN(2)/25)*Calculateur!CG114*Calculateur!CI114*VLOOKUP('Données projet'!$B$12,Paramètres!$A$1:$I$89,3,0)*0.475*44/12</f>
        <v>0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0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3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5.6843418860808015E-14</v>
      </c>
      <c r="O115" s="14">
        <f>N115*VLOOKUP('Données projet'!$B$9,Paramètres!$A$1:$I$89,3,0)*VLOOKUP('Données projet'!$B$9,Paramètres!$A$1:$I$89,5,0)</f>
        <v>2.6602720026858149E-14</v>
      </c>
      <c r="P115" s="14">
        <f t="shared" si="87"/>
        <v>4.6624771586320878E-13</v>
      </c>
      <c r="Q115" s="22">
        <f t="shared" si="107"/>
        <v>8.583811758418665E-13</v>
      </c>
      <c r="R115" s="62">
        <f t="shared" si="55"/>
        <v>293.33333333333417</v>
      </c>
      <c r="S115" s="62">
        <f ca="1">AVERAGE(OFFSET($R$3,0,0,'Données projet'!$E$9+1,1))-AVERAGE(OFFSET($H$3,0,0,'Données projet'!$E$9+1,1))</f>
        <v>172.45217697899039</v>
      </c>
      <c r="T115" s="62">
        <f t="shared" si="88"/>
        <v>223.74038909289629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3.0293640505019659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7.0549226312483591E-12</v>
      </c>
      <c r="AC115" s="24">
        <f t="shared" si="57"/>
        <v>3.0293640505090207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3.8</v>
      </c>
      <c r="AI115" s="14">
        <f>IF('Données projet'!$A$62&gt;35,AI114+AH115-AQ114,IF(A115&lt;'Données projet'!$A$62,$AF$205^A115,IF(A115='Données projet'!$A$62,'Données projet'!$B$62,AI114+AH115-AQ114)))</f>
        <v>273.59999999999997</v>
      </c>
      <c r="AJ115" s="14">
        <f>AI115*VLOOKUP('Données projet'!$B$10,Paramètres!$A$1:$I$89,3,0)*VLOOKUP('Données projet'!$B$10,Paramètres!$A$1:$I$89,5,0)</f>
        <v>247.55327999999994</v>
      </c>
      <c r="AK115" s="14">
        <f t="shared" si="89"/>
        <v>60.061713068870255</v>
      </c>
      <c r="AL115" s="22">
        <f t="shared" si="58"/>
        <v>535.76277959494894</v>
      </c>
      <c r="AM115" s="62">
        <f t="shared" si="59"/>
        <v>829.09611292828231</v>
      </c>
      <c r="AN115" s="62">
        <f ca="1">AVERAGE(OFFSET($AM$3,0,0,'Données projet'!$E$10+1,1))-AVERAGE(OFFSET($H$3,0,0,'Données projet'!$E$10+1,1))</f>
        <v>364.3481978218424</v>
      </c>
      <c r="AO115" s="62">
        <f t="shared" si="90"/>
        <v>231.36959598460686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3.8</v>
      </c>
      <c r="BD115" s="13">
        <f>IF('Données projet'!$A$88&gt;35,BD114+BC115-BL114,IF(A115&lt;'Données projet'!$A$88,$BA$205^A115,IF(A115='Données projet'!$A$88,'Données projet'!$B$88,BD114+BC115-BL114)))</f>
        <v>273.59999999999997</v>
      </c>
      <c r="BE115" s="14">
        <f>BD115*VLOOKUP('Données projet'!$B$11,Paramètres!$A$1:$I$89,3,0)*VLOOKUP('Données projet'!$B$11,Paramètres!$A$1:$I$89,5,0)</f>
        <v>277.43039999999996</v>
      </c>
      <c r="BF115" s="14">
        <f t="shared" si="91"/>
        <v>66.423687500715673</v>
      </c>
      <c r="BG115" s="22">
        <f t="shared" si="61"/>
        <v>598.87920239707967</v>
      </c>
      <c r="BH115" s="62">
        <f t="shared" si="62"/>
        <v>892.21253573041304</v>
      </c>
      <c r="BI115" s="62">
        <f ca="1">AVERAGE(OFFSET($BH$3,0,0,'Données projet'!$E$11+1,1))-AVERAGE(OFFSET($H$3,0,0,'Données projet'!$E$11+1,1))</f>
        <v>403.50418598112844</v>
      </c>
      <c r="BJ115" s="62">
        <f t="shared" si="92"/>
        <v>254.25036207346591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0</v>
      </c>
      <c r="BQ115" s="23">
        <f>EXP(-LN(2)/25)*BQ114+(1-EXP(-LN(2)/25))/(LN(2)/25)*Calculateur!BL115*Calculateur!BN115*VLOOKUP('Données projet'!$B$11,Paramètres!$A$1:$I$89,3,0)*0.475*44/12</f>
        <v>0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0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5</v>
      </c>
      <c r="BY115" s="13">
        <f>IF('Données projet'!$A$114&gt;35,BY114+BX115-CG114,IF(A115&lt;'Données projet'!$A$114,$BV$205^A115,IF(A115='Données projet'!$A$114,'Données projet'!$B$114,BY114+BX115-CG114)))</f>
        <v>324.9999999999996</v>
      </c>
      <c r="BZ115" s="14">
        <f>BY115*VLOOKUP('Données projet'!$B$12,Paramètres!$A$1:$I$89,3,0)*VLOOKUP('Données projet'!$B$12,Paramètres!$A$1:$I$89,5,0)</f>
        <v>278.84999999999968</v>
      </c>
      <c r="CA115" s="14">
        <f t="shared" si="93"/>
        <v>66.723922641152967</v>
      </c>
      <c r="CB115" s="22">
        <f t="shared" si="64"/>
        <v>601.87458193334089</v>
      </c>
      <c r="CC115" s="62">
        <f t="shared" si="65"/>
        <v>895.20791526667426</v>
      </c>
      <c r="CD115" s="62">
        <f ca="1">AVERAGE(OFFSET($CC$3,0,0,'Données projet'!$E$12+1,1))-AVERAGE(OFFSET($H$3,0,0,'Données projet'!$E$12+1,1))</f>
        <v>347.72886258008998</v>
      </c>
      <c r="CE115" s="62">
        <f t="shared" si="94"/>
        <v>176.81257896138806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0</v>
      </c>
      <c r="CL115" s="23">
        <f>EXP(-LN(2)/25)*CL114+(1-EXP(-LN(2)/25))/(LN(2)/25)*Calculateur!CG115*Calculateur!CI115*VLOOKUP('Données projet'!$B$12,Paramètres!$A$1:$I$89,3,0)*0.475*44/12</f>
        <v>0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0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3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5.6843418860808015E-14</v>
      </c>
      <c r="O116" s="14">
        <f>N116*VLOOKUP('Données projet'!$B$9,Paramètres!$A$1:$I$89,3,0)*VLOOKUP('Données projet'!$B$9,Paramètres!$A$1:$I$89,5,0)</f>
        <v>2.6602720026858149E-14</v>
      </c>
      <c r="P116" s="14">
        <f t="shared" si="87"/>
        <v>4.6624771586320878E-13</v>
      </c>
      <c r="Q116" s="22">
        <f t="shared" si="107"/>
        <v>8.583811758418665E-13</v>
      </c>
      <c r="R116" s="62">
        <f t="shared" si="55"/>
        <v>293.33333333333417</v>
      </c>
      <c r="S116" s="62">
        <f ca="1">AVERAGE(OFFSET($R$3,0,0,'Données projet'!$E$9+1,1))-AVERAGE(OFFSET($H$3,0,0,'Données projet'!$E$9+1,1))</f>
        <v>172.45217697899039</v>
      </c>
      <c r="T116" s="62">
        <f t="shared" si="88"/>
        <v>223.74038909289629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2.9699600692012451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4.9885836333021559E-12</v>
      </c>
      <c r="AC116" s="24">
        <f t="shared" si="57"/>
        <v>2.9699600692062336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3.8</v>
      </c>
      <c r="AI116" s="14">
        <f>IF('Données projet'!$A$62&gt;35,AI115+AH116-AQ115,IF(A116&lt;'Données projet'!$A$62,$AF$205^A116,IF(A116='Données projet'!$A$62,'Données projet'!$B$62,AI115+AH116-AQ115)))</f>
        <v>277.39999999999998</v>
      </c>
      <c r="AJ116" s="14">
        <f>AI116*VLOOKUP('Données projet'!$B$10,Paramètres!$A$1:$I$89,3,0)*VLOOKUP('Données projet'!$B$10,Paramètres!$A$1:$I$89,5,0)</f>
        <v>250.99151999999995</v>
      </c>
      <c r="AK116" s="14">
        <f t="shared" si="89"/>
        <v>60.798211000769406</v>
      </c>
      <c r="AL116" s="22">
        <f t="shared" si="58"/>
        <v>543.03378149300659</v>
      </c>
      <c r="AM116" s="62">
        <f t="shared" si="59"/>
        <v>836.36711482633996</v>
      </c>
      <c r="AN116" s="62">
        <f ca="1">AVERAGE(OFFSET($AM$3,0,0,'Données projet'!$E$10+1,1))-AVERAGE(OFFSET($H$3,0,0,'Données projet'!$E$10+1,1))</f>
        <v>364.3481978218424</v>
      </c>
      <c r="AO116" s="62">
        <f t="shared" si="90"/>
        <v>231.36959598460686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3.8</v>
      </c>
      <c r="BD116" s="13">
        <f>IF('Données projet'!$A$88&gt;35,BD115+BC116-BL115,IF(A116&lt;'Données projet'!$A$88,$BA$205^A116,IF(A116='Données projet'!$A$88,'Données projet'!$B$88,BD115+BC116-BL115)))</f>
        <v>277.39999999999998</v>
      </c>
      <c r="BE116" s="14">
        <f>BD116*VLOOKUP('Données projet'!$B$11,Paramètres!$A$1:$I$89,3,0)*VLOOKUP('Données projet'!$B$11,Paramètres!$A$1:$I$89,5,0)</f>
        <v>281.28360000000004</v>
      </c>
      <c r="BF116" s="14">
        <f t="shared" si="91"/>
        <v>67.238198209347928</v>
      </c>
      <c r="BG116" s="22">
        <f t="shared" si="61"/>
        <v>607.00879854794766</v>
      </c>
      <c r="BH116" s="62">
        <f t="shared" si="62"/>
        <v>900.34213188128092</v>
      </c>
      <c r="BI116" s="62">
        <f ca="1">AVERAGE(OFFSET($BH$3,0,0,'Données projet'!$E$11+1,1))-AVERAGE(OFFSET($H$3,0,0,'Données projet'!$E$11+1,1))</f>
        <v>403.50418598112844</v>
      </c>
      <c r="BJ116" s="62">
        <f t="shared" si="92"/>
        <v>254.25036207346591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0</v>
      </c>
      <c r="BQ116" s="23">
        <f>EXP(-LN(2)/25)*BQ115+(1-EXP(-LN(2)/25))/(LN(2)/25)*Calculateur!BL116*Calculateur!BN116*VLOOKUP('Données projet'!$B$11,Paramètres!$A$1:$I$89,3,0)*0.475*44/12</f>
        <v>0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0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5</v>
      </c>
      <c r="BY116" s="13">
        <f>IF('Données projet'!$A$114&gt;35,BY115+BX116-CG115,IF(A116&lt;'Données projet'!$A$114,$BV$205^A116,IF(A116='Données projet'!$A$114,'Données projet'!$B$114,BY115+BX116-CG115)))</f>
        <v>329.9999999999996</v>
      </c>
      <c r="BZ116" s="14">
        <f>BY116*VLOOKUP('Données projet'!$B$12,Paramètres!$A$1:$I$89,3,0)*VLOOKUP('Données projet'!$B$12,Paramètres!$A$1:$I$89,5,0)</f>
        <v>283.1399999999997</v>
      </c>
      <c r="CA116" s="14">
        <f t="shared" si="93"/>
        <v>67.630149847511888</v>
      </c>
      <c r="CB116" s="22">
        <f t="shared" si="64"/>
        <v>610.92467765108267</v>
      </c>
      <c r="CC116" s="62">
        <f t="shared" si="65"/>
        <v>904.25801098441593</v>
      </c>
      <c r="CD116" s="62">
        <f ca="1">AVERAGE(OFFSET($CC$3,0,0,'Données projet'!$E$12+1,1))-AVERAGE(OFFSET($H$3,0,0,'Données projet'!$E$12+1,1))</f>
        <v>347.72886258008998</v>
      </c>
      <c r="CE116" s="62">
        <f t="shared" si="94"/>
        <v>176.81257896138806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0</v>
      </c>
      <c r="CL116" s="23">
        <f>EXP(-LN(2)/25)*CL115+(1-EXP(-LN(2)/25))/(LN(2)/25)*Calculateur!CG116*Calculateur!CI116*VLOOKUP('Données projet'!$B$12,Paramètres!$A$1:$I$89,3,0)*0.475*44/12</f>
        <v>0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0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3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5.6843418860808015E-14</v>
      </c>
      <c r="O117" s="14">
        <f>N117*VLOOKUP('Données projet'!$B$9,Paramètres!$A$1:$I$89,3,0)*VLOOKUP('Données projet'!$B$9,Paramètres!$A$1:$I$89,5,0)</f>
        <v>2.6602720026858149E-14</v>
      </c>
      <c r="P117" s="14">
        <f t="shared" si="87"/>
        <v>4.6624771586320878E-13</v>
      </c>
      <c r="Q117" s="22">
        <f t="shared" si="107"/>
        <v>8.583811758418665E-13</v>
      </c>
      <c r="R117" s="62">
        <f t="shared" si="55"/>
        <v>293.33333333333417</v>
      </c>
      <c r="S117" s="62">
        <f ca="1">AVERAGE(OFFSET($R$3,0,0,'Données projet'!$E$9+1,1))-AVERAGE(OFFSET($H$3,0,0,'Données projet'!$E$9+1,1))</f>
        <v>172.45217697899039</v>
      </c>
      <c r="T117" s="62">
        <f t="shared" si="88"/>
        <v>223.74038909289629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2.9117209637409807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3.5274613156241799E-12</v>
      </c>
      <c r="AC117" s="24">
        <f t="shared" si="57"/>
        <v>2.9117209637445081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3.8</v>
      </c>
      <c r="AI117" s="14">
        <f>IF('Données projet'!$A$62&gt;35,AI116+AH117-AQ116,IF(A117&lt;'Données projet'!$A$62,$AF$205^A117,IF(A117='Données projet'!$A$62,'Données projet'!$B$62,AI116+AH117-AQ116)))</f>
        <v>281.2</v>
      </c>
      <c r="AJ117" s="14">
        <f>AI117*VLOOKUP('Données projet'!$B$10,Paramètres!$A$1:$I$89,3,0)*VLOOKUP('Données projet'!$B$10,Paramètres!$A$1:$I$89,5,0)</f>
        <v>254.42975999999996</v>
      </c>
      <c r="AK117" s="14">
        <f t="shared" si="89"/>
        <v>61.533535468549189</v>
      </c>
      <c r="AL117" s="22">
        <f t="shared" si="58"/>
        <v>550.30273960772308</v>
      </c>
      <c r="AM117" s="62">
        <f t="shared" si="59"/>
        <v>843.63607294105645</v>
      </c>
      <c r="AN117" s="62">
        <f ca="1">AVERAGE(OFFSET($AM$3,0,0,'Données projet'!$E$10+1,1))-AVERAGE(OFFSET($H$3,0,0,'Données projet'!$E$10+1,1))</f>
        <v>364.3481978218424</v>
      </c>
      <c r="AO117" s="62">
        <f t="shared" si="90"/>
        <v>231.36959598460686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3.8</v>
      </c>
      <c r="BD117" s="13">
        <f>IF('Données projet'!$A$88&gt;35,BD116+BC117-BL116,IF(A117&lt;'Données projet'!$A$88,$BA$205^A117,IF(A117='Données projet'!$A$88,'Données projet'!$B$88,BD116+BC117-BL116)))</f>
        <v>281.2</v>
      </c>
      <c r="BE117" s="14">
        <f>BD117*VLOOKUP('Données projet'!$B$11,Paramètres!$A$1:$I$89,3,0)*VLOOKUP('Données projet'!$B$11,Paramètres!$A$1:$I$89,5,0)</f>
        <v>285.13679999999999</v>
      </c>
      <c r="BF117" s="14">
        <f t="shared" si="91"/>
        <v>68.051411155895636</v>
      </c>
      <c r="BG117" s="22">
        <f t="shared" si="61"/>
        <v>615.1361344298515</v>
      </c>
      <c r="BH117" s="62">
        <f t="shared" si="62"/>
        <v>908.46946776318487</v>
      </c>
      <c r="BI117" s="62">
        <f ca="1">AVERAGE(OFFSET($BH$3,0,0,'Données projet'!$E$11+1,1))-AVERAGE(OFFSET($H$3,0,0,'Données projet'!$E$11+1,1))</f>
        <v>403.50418598112844</v>
      </c>
      <c r="BJ117" s="62">
        <f t="shared" si="92"/>
        <v>254.25036207346591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0</v>
      </c>
      <c r="BQ117" s="23">
        <f>EXP(-LN(2)/25)*BQ116+(1-EXP(-LN(2)/25))/(LN(2)/25)*Calculateur!BL117*Calculateur!BN117*VLOOKUP('Données projet'!$B$11,Paramètres!$A$1:$I$89,3,0)*0.475*44/12</f>
        <v>0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0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5</v>
      </c>
      <c r="BY117" s="13">
        <f>IF('Données projet'!$A$114&gt;35,BY116+BX117-CG116,IF(A117&lt;'Données projet'!$A$114,$BV$205^A117,IF(A117='Données projet'!$A$114,'Données projet'!$B$114,BY116+BX117-CG116)))</f>
        <v>334.9999999999996</v>
      </c>
      <c r="BZ117" s="14">
        <f>BY117*VLOOKUP('Données projet'!$B$12,Paramètres!$A$1:$I$89,3,0)*VLOOKUP('Données projet'!$B$12,Paramètres!$A$1:$I$89,5,0)</f>
        <v>287.42999999999972</v>
      </c>
      <c r="CA117" s="14">
        <f t="shared" si="93"/>
        <v>68.534780142555746</v>
      </c>
      <c r="CB117" s="22">
        <f t="shared" si="64"/>
        <v>619.97199208161737</v>
      </c>
      <c r="CC117" s="62">
        <f t="shared" si="65"/>
        <v>913.30532541495063</v>
      </c>
      <c r="CD117" s="62">
        <f ca="1">AVERAGE(OFFSET($CC$3,0,0,'Données projet'!$E$12+1,1))-AVERAGE(OFFSET($H$3,0,0,'Données projet'!$E$12+1,1))</f>
        <v>347.72886258008998</v>
      </c>
      <c r="CE117" s="62">
        <f t="shared" si="94"/>
        <v>176.81257896138806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0</v>
      </c>
      <c r="CL117" s="23">
        <f>EXP(-LN(2)/25)*CL116+(1-EXP(-LN(2)/25))/(LN(2)/25)*Calculateur!CG117*Calculateur!CI117*VLOOKUP('Données projet'!$B$12,Paramètres!$A$1:$I$89,3,0)*0.475*44/12</f>
        <v>0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0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3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5.6843418860808015E-14</v>
      </c>
      <c r="O118" s="14">
        <f>N118*VLOOKUP('Données projet'!$B$9,Paramètres!$A$1:$I$89,3,0)*VLOOKUP('Données projet'!$B$9,Paramètres!$A$1:$I$89,5,0)</f>
        <v>2.6602720026858149E-14</v>
      </c>
      <c r="P118" s="14">
        <f t="shared" si="87"/>
        <v>4.6624771586320878E-13</v>
      </c>
      <c r="Q118" s="22">
        <f t="shared" si="107"/>
        <v>8.583811758418665E-13</v>
      </c>
      <c r="R118" s="62">
        <f t="shared" si="55"/>
        <v>293.33333333333417</v>
      </c>
      <c r="S118" s="62">
        <f ca="1">AVERAGE(OFFSET($R$3,0,0,'Données projet'!$E$9+1,1))-AVERAGE(OFFSET($H$3,0,0,'Données projet'!$E$9+1,1))</f>
        <v>172.45217697899039</v>
      </c>
      <c r="T118" s="62">
        <f t="shared" si="88"/>
        <v>223.74038909289629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2.8546238916164448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2.4942918166510784E-12</v>
      </c>
      <c r="AC118" s="24">
        <f t="shared" si="57"/>
        <v>2.8546238916189393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285</v>
      </c>
      <c r="AG118" s="13">
        <f>VLOOKUP(A118,'Données projet'!$A$61:$I$81,9,0)</f>
        <v>3.8</v>
      </c>
      <c r="AH118" s="13">
        <f t="array" ref="AH118">INDEX(AG:AG,MIN(IF(ISNUMBER(AG118:AG314),ROW(AG118:AG314),"")))</f>
        <v>3.8</v>
      </c>
      <c r="AI118" s="14">
        <f>IF('Données projet'!$A$62&gt;35,AI117+AH118-AQ117,IF(A118&lt;'Données projet'!$A$62,$AF$205^A118,IF(A118='Données projet'!$A$62,'Données projet'!$B$62,AI117+AH118-AQ117)))</f>
        <v>285</v>
      </c>
      <c r="AJ118" s="14">
        <f>AI118*VLOOKUP('Données projet'!$B$10,Paramètres!$A$1:$I$89,3,0)*VLOOKUP('Données projet'!$B$10,Paramètres!$A$1:$I$89,5,0)</f>
        <v>257.86799999999999</v>
      </c>
      <c r="AK118" s="14">
        <f t="shared" si="89"/>
        <v>62.267704162827528</v>
      </c>
      <c r="AL118" s="22">
        <f t="shared" si="58"/>
        <v>557.56968475025803</v>
      </c>
      <c r="AM118" s="62">
        <f t="shared" si="59"/>
        <v>850.90301808359141</v>
      </c>
      <c r="AN118" s="62">
        <f ca="1">AVERAGE(OFFSET($AM$3,0,0,'Données projet'!$E$10+1,1))-AVERAGE(OFFSET($H$3,0,0,'Données projet'!$E$10+1,1))</f>
        <v>364.3481978218424</v>
      </c>
      <c r="AO118" s="62">
        <f t="shared" si="90"/>
        <v>231.36959598460686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285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>
        <f>VLOOKUP(A118,'Données projet'!$A$87:$I$107,2,0)</f>
        <v>285</v>
      </c>
      <c r="BB118" s="13">
        <f>VLOOKUP(A118,'Données projet'!$A$87:$I$107,9,0)</f>
        <v>3.8</v>
      </c>
      <c r="BC118" s="13">
        <f t="array" ref="BC118">INDEX(BB:BB,MIN(IF(ISNUMBER(BB118:BB314),ROW(BB118:BB314),"")))</f>
        <v>3.8</v>
      </c>
      <c r="BD118" s="13">
        <f>IF('Données projet'!$A$88&gt;35,BD117+BC118-BL117,IF(A118&lt;'Données projet'!$A$88,$BA$205^A118,IF(A118='Données projet'!$A$88,'Données projet'!$B$88,BD117+BC118-BL117)))</f>
        <v>285</v>
      </c>
      <c r="BE118" s="14">
        <f>BD118*VLOOKUP('Données projet'!$B$11,Paramètres!$A$1:$I$89,3,0)*VLOOKUP('Données projet'!$B$11,Paramètres!$A$1:$I$89,5,0)</f>
        <v>288.99</v>
      </c>
      <c r="BF118" s="14">
        <f t="shared" si="91"/>
        <v>68.863345904836791</v>
      </c>
      <c r="BG118" s="22">
        <f t="shared" si="61"/>
        <v>623.26124411759076</v>
      </c>
      <c r="BH118" s="62">
        <f t="shared" si="62"/>
        <v>916.59457745092413</v>
      </c>
      <c r="BI118" s="62">
        <f ca="1">AVERAGE(OFFSET($BH$3,0,0,'Données projet'!$E$11+1,1))-AVERAGE(OFFSET($H$3,0,0,'Données projet'!$E$11+1,1))</f>
        <v>403.50418598112844</v>
      </c>
      <c r="BJ118" s="62">
        <f t="shared" si="92"/>
        <v>254.25036207346591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285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0</v>
      </c>
      <c r="BQ118" s="23">
        <f>EXP(-LN(2)/25)*BQ117+(1-EXP(-LN(2)/25))/(LN(2)/25)*Calculateur!BL118*Calculateur!BN118*VLOOKUP('Données projet'!$B$11,Paramètres!$A$1:$I$89,3,0)*0.475*44/12</f>
        <v>0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0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>
        <f>VLOOKUP(A118,'Données projet'!$A$113:$I$133,2,0)</f>
        <v>340</v>
      </c>
      <c r="BW118" s="13">
        <f>VLOOKUP(A118,'Données projet'!$A$113:$I$133,9,0)</f>
        <v>5</v>
      </c>
      <c r="BX118" s="13">
        <f t="array" ref="BX118">INDEX(BW:BW,MIN(IF(ISNUMBER(BW118:BW314),ROW(BW118:BW314),"")))</f>
        <v>5</v>
      </c>
      <c r="BY118" s="13">
        <f>IF('Données projet'!$A$114&gt;35,BY117+BX118-CG117,IF(A118&lt;'Données projet'!$A$114,$BV$205^A118,IF(A118='Données projet'!$A$114,'Données projet'!$B$114,BY117+BX118-CG117)))</f>
        <v>339.9999999999996</v>
      </c>
      <c r="BZ118" s="14">
        <f>BY118*VLOOKUP('Données projet'!$B$12,Paramètres!$A$1:$I$89,3,0)*VLOOKUP('Données projet'!$B$12,Paramètres!$A$1:$I$89,5,0)</f>
        <v>291.71999999999969</v>
      </c>
      <c r="CA118" s="14">
        <f t="shared" si="93"/>
        <v>69.437840114004089</v>
      </c>
      <c r="CB118" s="22">
        <f t="shared" si="64"/>
        <v>629.01657153188989</v>
      </c>
      <c r="CC118" s="62">
        <f t="shared" si="65"/>
        <v>922.34990486522315</v>
      </c>
      <c r="CD118" s="62">
        <f ca="1">AVERAGE(OFFSET($CC$3,0,0,'Données projet'!$E$12+1,1))-AVERAGE(OFFSET($H$3,0,0,'Données projet'!$E$12+1,1))</f>
        <v>347.72886258008998</v>
      </c>
      <c r="CE118" s="62">
        <f t="shared" si="94"/>
        <v>176.81257896138806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340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0</v>
      </c>
      <c r="CL118" s="23">
        <f>EXP(-LN(2)/25)*CL117+(1-EXP(-LN(2)/25))/(LN(2)/25)*Calculateur!CG118*Calculateur!CI118*VLOOKUP('Données projet'!$B$12,Paramètres!$A$1:$I$89,3,0)*0.475*44/12</f>
        <v>0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0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3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5.6843418860808015E-14</v>
      </c>
      <c r="O119" s="14">
        <f>N119*VLOOKUP('Données projet'!$B$9,Paramètres!$A$1:$I$89,3,0)*VLOOKUP('Données projet'!$B$9,Paramètres!$A$1:$I$89,5,0)</f>
        <v>2.6602720026858149E-14</v>
      </c>
      <c r="P119" s="14">
        <f t="shared" si="87"/>
        <v>4.6624771586320878E-13</v>
      </c>
      <c r="Q119" s="22">
        <f t="shared" si="107"/>
        <v>8.583811758418665E-13</v>
      </c>
      <c r="R119" s="62">
        <f t="shared" si="55"/>
        <v>293.33333333333417</v>
      </c>
      <c r="S119" s="62">
        <f ca="1">AVERAGE(OFFSET($R$3,0,0,'Données projet'!$E$9+1,1))-AVERAGE(OFFSET($H$3,0,0,'Données projet'!$E$9+1,1))</f>
        <v>172.45217697899039</v>
      </c>
      <c r="T119" s="62">
        <f t="shared" si="88"/>
        <v>223.74038909289629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2.798646458250496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1.7637306578120904E-12</v>
      </c>
      <c r="AC119" s="24">
        <f t="shared" si="57"/>
        <v>2.7986464582522599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364.3481978218424</v>
      </c>
      <c r="AO119" s="62">
        <f t="shared" si="90"/>
        <v>231.36959598460686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>
        <f>BD119*VLOOKUP('Données projet'!$B$11,Paramètres!$A$1:$I$89,3,0)*VLOOKUP('Données projet'!$B$11,Paramètres!$A$1:$I$89,5,0)</f>
        <v>0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403.50418598112844</v>
      </c>
      <c r="BJ119" s="62">
        <f t="shared" si="92"/>
        <v>254.25036207346591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0</v>
      </c>
      <c r="BQ119" s="23">
        <f>EXP(-LN(2)/25)*BQ118+(1-EXP(-LN(2)/25))/(LN(2)/25)*Calculateur!BL119*Calculateur!BN119*VLOOKUP('Données projet'!$B$11,Paramètres!$A$1:$I$89,3,0)*0.475*44/12</f>
        <v>0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0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-3.979039320256561E-13</v>
      </c>
      <c r="BZ119" s="14">
        <f>BY119*VLOOKUP('Données projet'!$B$12,Paramètres!$A$1:$I$89,3,0)*VLOOKUP('Données projet'!$B$12,Paramètres!$A$1:$I$89,5,0)</f>
        <v>-3.41401573678013E-13</v>
      </c>
      <c r="CA119" s="14" t="e">
        <f t="shared" si="93"/>
        <v>#NUM!</v>
      </c>
      <c r="CB119" s="22" t="e">
        <f t="shared" si="64"/>
        <v>#NUM!</v>
      </c>
      <c r="CC119" s="62" t="e">
        <f t="shared" si="65"/>
        <v>#NUM!</v>
      </c>
      <c r="CD119" s="62">
        <f ca="1">AVERAGE(OFFSET($CC$3,0,0,'Données projet'!$E$12+1,1))-AVERAGE(OFFSET($H$3,0,0,'Données projet'!$E$12+1,1))</f>
        <v>347.72886258008998</v>
      </c>
      <c r="CE119" s="62">
        <f t="shared" si="94"/>
        <v>176.81257896138806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0</v>
      </c>
      <c r="CL119" s="23">
        <f>EXP(-LN(2)/25)*CL118+(1-EXP(-LN(2)/25))/(LN(2)/25)*Calculateur!CG119*Calculateur!CI119*VLOOKUP('Données projet'!$B$12,Paramètres!$A$1:$I$89,3,0)*0.475*44/12</f>
        <v>0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0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3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5.6843418860808015E-14</v>
      </c>
      <c r="O120" s="14">
        <f>N120*VLOOKUP('Données projet'!$B$9,Paramètres!$A$1:$I$89,3,0)*VLOOKUP('Données projet'!$B$9,Paramètres!$A$1:$I$89,5,0)</f>
        <v>2.6602720026858149E-14</v>
      </c>
      <c r="P120" s="14">
        <f t="shared" si="87"/>
        <v>4.6624771586320878E-13</v>
      </c>
      <c r="Q120" s="22">
        <f t="shared" si="107"/>
        <v>8.583811758418665E-13</v>
      </c>
      <c r="R120" s="62">
        <f t="shared" si="55"/>
        <v>293.33333333333417</v>
      </c>
      <c r="S120" s="62">
        <f ca="1">AVERAGE(OFFSET($R$3,0,0,'Données projet'!$E$9+1,1))-AVERAGE(OFFSET($H$3,0,0,'Données projet'!$E$9+1,1))</f>
        <v>172.45217697899039</v>
      </c>
      <c r="T120" s="62">
        <f t="shared" si="88"/>
        <v>223.74038909289629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2.7437667082099906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1.2471459083255394E-12</v>
      </c>
      <c r="AC120" s="24">
        <f t="shared" si="57"/>
        <v>2.7437667082112376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364.3481978218424</v>
      </c>
      <c r="AO120" s="62">
        <f t="shared" si="90"/>
        <v>231.36959598460686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>
        <f>BD120*VLOOKUP('Données projet'!$B$11,Paramètres!$A$1:$I$89,3,0)*VLOOKUP('Données projet'!$B$11,Paramètres!$A$1:$I$89,5,0)</f>
        <v>0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403.50418598112844</v>
      </c>
      <c r="BJ120" s="62">
        <f t="shared" si="92"/>
        <v>254.25036207346591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0</v>
      </c>
      <c r="BQ120" s="23">
        <f>EXP(-LN(2)/25)*BQ119+(1-EXP(-LN(2)/25))/(LN(2)/25)*Calculateur!BL120*Calculateur!BN120*VLOOKUP('Données projet'!$B$11,Paramètres!$A$1:$I$89,3,0)*0.475*44/12</f>
        <v>0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0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-3.979039320256561E-13</v>
      </c>
      <c r="BZ120" s="14">
        <f>BY120*VLOOKUP('Données projet'!$B$12,Paramètres!$A$1:$I$89,3,0)*VLOOKUP('Données projet'!$B$12,Paramètres!$A$1:$I$89,5,0)</f>
        <v>-3.41401573678013E-13</v>
      </c>
      <c r="CA120" s="14" t="e">
        <f t="shared" si="93"/>
        <v>#NUM!</v>
      </c>
      <c r="CB120" s="22" t="e">
        <f t="shared" si="64"/>
        <v>#NUM!</v>
      </c>
      <c r="CC120" s="62" t="e">
        <f t="shared" si="65"/>
        <v>#NUM!</v>
      </c>
      <c r="CD120" s="62">
        <f ca="1">AVERAGE(OFFSET($CC$3,0,0,'Données projet'!$E$12+1,1))-AVERAGE(OFFSET($H$3,0,0,'Données projet'!$E$12+1,1))</f>
        <v>347.72886258008998</v>
      </c>
      <c r="CE120" s="62">
        <f t="shared" si="94"/>
        <v>176.81257896138806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0</v>
      </c>
      <c r="CL120" s="23">
        <f>EXP(-LN(2)/25)*CL119+(1-EXP(-LN(2)/25))/(LN(2)/25)*Calculateur!CG120*Calculateur!CI120*VLOOKUP('Données projet'!$B$12,Paramètres!$A$1:$I$89,3,0)*0.475*44/12</f>
        <v>0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0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3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5.6843418860808015E-14</v>
      </c>
      <c r="O121" s="14">
        <f>N121*VLOOKUP('Données projet'!$B$9,Paramètres!$A$1:$I$89,3,0)*VLOOKUP('Données projet'!$B$9,Paramètres!$A$1:$I$89,5,0)</f>
        <v>2.6602720026858149E-14</v>
      </c>
      <c r="P121" s="14">
        <f t="shared" si="87"/>
        <v>4.6624771586320878E-13</v>
      </c>
      <c r="Q121" s="22">
        <f t="shared" si="107"/>
        <v>8.583811758418665E-13</v>
      </c>
      <c r="R121" s="62">
        <f t="shared" si="55"/>
        <v>293.33333333333417</v>
      </c>
      <c r="S121" s="62">
        <f ca="1">AVERAGE(OFFSET($R$3,0,0,'Données projet'!$E$9+1,1))-AVERAGE(OFFSET($H$3,0,0,'Données projet'!$E$9+1,1))</f>
        <v>172.45217697899039</v>
      </c>
      <c r="T121" s="62">
        <f t="shared" si="88"/>
        <v>223.74038909289629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2.6899631165944369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8.8186532890604529E-13</v>
      </c>
      <c r="AC121" s="24">
        <f t="shared" si="57"/>
        <v>2.6899631165953188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364.3481978218424</v>
      </c>
      <c r="AO121" s="62">
        <f t="shared" si="90"/>
        <v>231.36959598460686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>
        <f>BD121*VLOOKUP('Données projet'!$B$11,Paramètres!$A$1:$I$89,3,0)*VLOOKUP('Données projet'!$B$11,Paramètres!$A$1:$I$89,5,0)</f>
        <v>0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403.50418598112844</v>
      </c>
      <c r="BJ121" s="62">
        <f t="shared" si="92"/>
        <v>254.25036207346591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0</v>
      </c>
      <c r="BQ121" s="23">
        <f>EXP(-LN(2)/25)*BQ120+(1-EXP(-LN(2)/25))/(LN(2)/25)*Calculateur!BL121*Calculateur!BN121*VLOOKUP('Données projet'!$B$11,Paramètres!$A$1:$I$89,3,0)*0.475*44/12</f>
        <v>0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0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-3.979039320256561E-13</v>
      </c>
      <c r="BZ121" s="14">
        <f>BY121*VLOOKUP('Données projet'!$B$12,Paramètres!$A$1:$I$89,3,0)*VLOOKUP('Données projet'!$B$12,Paramètres!$A$1:$I$89,5,0)</f>
        <v>-3.41401573678013E-13</v>
      </c>
      <c r="CA121" s="14" t="e">
        <f t="shared" si="93"/>
        <v>#NUM!</v>
      </c>
      <c r="CB121" s="22" t="e">
        <f t="shared" si="64"/>
        <v>#NUM!</v>
      </c>
      <c r="CC121" s="62" t="e">
        <f t="shared" si="65"/>
        <v>#NUM!</v>
      </c>
      <c r="CD121" s="62">
        <f ca="1">AVERAGE(OFFSET($CC$3,0,0,'Données projet'!$E$12+1,1))-AVERAGE(OFFSET($H$3,0,0,'Données projet'!$E$12+1,1))</f>
        <v>347.72886258008998</v>
      </c>
      <c r="CE121" s="62">
        <f t="shared" si="94"/>
        <v>176.81257896138806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0</v>
      </c>
      <c r="CL121" s="23">
        <f>EXP(-LN(2)/25)*CL120+(1-EXP(-LN(2)/25))/(LN(2)/25)*Calculateur!CG121*Calculateur!CI121*VLOOKUP('Données projet'!$B$12,Paramètres!$A$1:$I$89,3,0)*0.475*44/12</f>
        <v>0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0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3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5.6843418860808015E-14</v>
      </c>
      <c r="O122" s="14">
        <f>N122*VLOOKUP('Données projet'!$B$9,Paramètres!$A$1:$I$89,3,0)*VLOOKUP('Données projet'!$B$9,Paramètres!$A$1:$I$89,5,0)</f>
        <v>2.6602720026858149E-14</v>
      </c>
      <c r="P122" s="14">
        <f t="shared" si="87"/>
        <v>4.6624771586320878E-13</v>
      </c>
      <c r="Q122" s="22">
        <f t="shared" si="107"/>
        <v>8.583811758418665E-13</v>
      </c>
      <c r="R122" s="62">
        <f t="shared" si="55"/>
        <v>293.33333333333417</v>
      </c>
      <c r="S122" s="62">
        <f ca="1">AVERAGE(OFFSET($R$3,0,0,'Données projet'!$E$9+1,1))-AVERAGE(OFFSET($H$3,0,0,'Données projet'!$E$9+1,1))</f>
        <v>172.45217697899039</v>
      </c>
      <c r="T122" s="62">
        <f t="shared" si="88"/>
        <v>223.74038909289629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2.6372145805935139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6.235729541627698E-13</v>
      </c>
      <c r="AC122" s="24">
        <f t="shared" si="57"/>
        <v>2.6372145805941374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364.3481978218424</v>
      </c>
      <c r="AO122" s="62">
        <f t="shared" si="90"/>
        <v>231.36959598460686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>
        <f>BD122*VLOOKUP('Données projet'!$B$11,Paramètres!$A$1:$I$89,3,0)*VLOOKUP('Données projet'!$B$11,Paramètres!$A$1:$I$89,5,0)</f>
        <v>0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403.50418598112844</v>
      </c>
      <c r="BJ122" s="62">
        <f t="shared" si="92"/>
        <v>254.25036207346591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0</v>
      </c>
      <c r="BQ122" s="23">
        <f>EXP(-LN(2)/25)*BQ121+(1-EXP(-LN(2)/25))/(LN(2)/25)*Calculateur!BL122*Calculateur!BN122*VLOOKUP('Données projet'!$B$11,Paramètres!$A$1:$I$89,3,0)*0.475*44/12</f>
        <v>0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0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-3.979039320256561E-13</v>
      </c>
      <c r="BZ122" s="14">
        <f>BY122*VLOOKUP('Données projet'!$B$12,Paramètres!$A$1:$I$89,3,0)*VLOOKUP('Données projet'!$B$12,Paramètres!$A$1:$I$89,5,0)</f>
        <v>-3.41401573678013E-13</v>
      </c>
      <c r="CA122" s="14" t="e">
        <f t="shared" si="93"/>
        <v>#NUM!</v>
      </c>
      <c r="CB122" s="22" t="e">
        <f t="shared" si="64"/>
        <v>#NUM!</v>
      </c>
      <c r="CC122" s="62" t="e">
        <f t="shared" si="65"/>
        <v>#NUM!</v>
      </c>
      <c r="CD122" s="62">
        <f ca="1">AVERAGE(OFFSET($CC$3,0,0,'Données projet'!$E$12+1,1))-AVERAGE(OFFSET($H$3,0,0,'Données projet'!$E$12+1,1))</f>
        <v>347.72886258008998</v>
      </c>
      <c r="CE122" s="62">
        <f t="shared" si="94"/>
        <v>176.81257896138806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0</v>
      </c>
      <c r="CL122" s="23">
        <f>EXP(-LN(2)/25)*CL121+(1-EXP(-LN(2)/25))/(LN(2)/25)*Calculateur!CG122*Calculateur!CI122*VLOOKUP('Données projet'!$B$12,Paramètres!$A$1:$I$89,3,0)*0.475*44/12</f>
        <v>0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0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3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5.6843418860808015E-14</v>
      </c>
      <c r="O123" s="14">
        <f>N123*VLOOKUP('Données projet'!$B$9,Paramètres!$A$1:$I$89,3,0)*VLOOKUP('Données projet'!$B$9,Paramètres!$A$1:$I$89,5,0)</f>
        <v>2.6602720026858149E-14</v>
      </c>
      <c r="P123" s="14">
        <f t="shared" si="87"/>
        <v>4.6624771586320878E-13</v>
      </c>
      <c r="Q123" s="22">
        <f t="shared" si="107"/>
        <v>8.583811758418665E-13</v>
      </c>
      <c r="R123" s="62">
        <f t="shared" si="55"/>
        <v>293.33333333333417</v>
      </c>
      <c r="S123" s="62">
        <f ca="1">AVERAGE(OFFSET($R$3,0,0,'Données projet'!$E$9+1,1))-AVERAGE(OFFSET($H$3,0,0,'Données projet'!$E$9+1,1))</f>
        <v>172.45217697899039</v>
      </c>
      <c r="T123" s="62">
        <f t="shared" si="88"/>
        <v>223.74038909289629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2.585500411210139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4.4093266445302274E-13</v>
      </c>
      <c r="AC123" s="24">
        <f t="shared" si="57"/>
        <v>2.5855004112105799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364.3481978218424</v>
      </c>
      <c r="AO123" s="62">
        <f t="shared" si="90"/>
        <v>231.36959598460686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>
        <f>BD123*VLOOKUP('Données projet'!$B$11,Paramètres!$A$1:$I$89,3,0)*VLOOKUP('Données projet'!$B$11,Paramètres!$A$1:$I$89,5,0)</f>
        <v>0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403.50418598112844</v>
      </c>
      <c r="BJ123" s="62">
        <f t="shared" si="92"/>
        <v>254.25036207346591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0</v>
      </c>
      <c r="BQ123" s="23">
        <f>EXP(-LN(2)/25)*BQ122+(1-EXP(-LN(2)/25))/(LN(2)/25)*Calculateur!BL123*Calculateur!BN123*VLOOKUP('Données projet'!$B$11,Paramètres!$A$1:$I$89,3,0)*0.475*44/12</f>
        <v>0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0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-3.979039320256561E-13</v>
      </c>
      <c r="BZ123" s="14">
        <f>BY123*VLOOKUP('Données projet'!$B$12,Paramètres!$A$1:$I$89,3,0)*VLOOKUP('Données projet'!$B$12,Paramètres!$A$1:$I$89,5,0)</f>
        <v>-3.41401573678013E-13</v>
      </c>
      <c r="CA123" s="14" t="e">
        <f t="shared" si="93"/>
        <v>#NUM!</v>
      </c>
      <c r="CB123" s="22" t="e">
        <f t="shared" si="64"/>
        <v>#NUM!</v>
      </c>
      <c r="CC123" s="62" t="e">
        <f t="shared" si="65"/>
        <v>#NUM!</v>
      </c>
      <c r="CD123" s="62">
        <f ca="1">AVERAGE(OFFSET($CC$3,0,0,'Données projet'!$E$12+1,1))-AVERAGE(OFFSET($H$3,0,0,'Données projet'!$E$12+1,1))</f>
        <v>347.72886258008998</v>
      </c>
      <c r="CE123" s="62">
        <f t="shared" si="94"/>
        <v>176.81257896138806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0</v>
      </c>
      <c r="CL123" s="23">
        <f>EXP(-LN(2)/25)*CL122+(1-EXP(-LN(2)/25))/(LN(2)/25)*Calculateur!CG123*Calculateur!CI123*VLOOKUP('Données projet'!$B$12,Paramètres!$A$1:$I$89,3,0)*0.475*44/12</f>
        <v>0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0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3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5.6843418860808015E-14</v>
      </c>
      <c r="O124" s="14">
        <f>N124*VLOOKUP('Données projet'!$B$9,Paramètres!$A$1:$I$89,3,0)*VLOOKUP('Données projet'!$B$9,Paramètres!$A$1:$I$89,5,0)</f>
        <v>2.6602720026858149E-14</v>
      </c>
      <c r="P124" s="14">
        <f t="shared" si="87"/>
        <v>4.6624771586320878E-13</v>
      </c>
      <c r="Q124" s="22">
        <f t="shared" si="107"/>
        <v>8.583811758418665E-13</v>
      </c>
      <c r="R124" s="62">
        <f t="shared" si="55"/>
        <v>293.33333333333417</v>
      </c>
      <c r="S124" s="62">
        <f ca="1">AVERAGE(OFFSET($R$3,0,0,'Données projet'!$E$9+1,1))-AVERAGE(OFFSET($H$3,0,0,'Données projet'!$E$9+1,1))</f>
        <v>172.45217697899039</v>
      </c>
      <c r="T124" s="62">
        <f t="shared" si="88"/>
        <v>223.74038909289629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2.5348003251458433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3.1178647708138495E-13</v>
      </c>
      <c r="AC124" s="24">
        <f t="shared" si="57"/>
        <v>2.5348003251461551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364.3481978218424</v>
      </c>
      <c r="AO124" s="62">
        <f t="shared" si="90"/>
        <v>231.36959598460686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>
        <f>BD124*VLOOKUP('Données projet'!$B$11,Paramètres!$A$1:$I$89,3,0)*VLOOKUP('Données projet'!$B$11,Paramètres!$A$1:$I$89,5,0)</f>
        <v>0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403.50418598112844</v>
      </c>
      <c r="BJ124" s="62">
        <f t="shared" si="92"/>
        <v>254.25036207346591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0</v>
      </c>
      <c r="BQ124" s="23">
        <f>EXP(-LN(2)/25)*BQ123+(1-EXP(-LN(2)/25))/(LN(2)/25)*Calculateur!BL124*Calculateur!BN124*VLOOKUP('Données projet'!$B$11,Paramètres!$A$1:$I$89,3,0)*0.475*44/12</f>
        <v>0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0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-3.979039320256561E-13</v>
      </c>
      <c r="BZ124" s="14">
        <f>BY124*VLOOKUP('Données projet'!$B$12,Paramètres!$A$1:$I$89,3,0)*VLOOKUP('Données projet'!$B$12,Paramètres!$A$1:$I$89,5,0)</f>
        <v>-3.41401573678013E-13</v>
      </c>
      <c r="CA124" s="14" t="e">
        <f t="shared" si="93"/>
        <v>#NUM!</v>
      </c>
      <c r="CB124" s="22" t="e">
        <f t="shared" si="64"/>
        <v>#NUM!</v>
      </c>
      <c r="CC124" s="62" t="e">
        <f t="shared" si="65"/>
        <v>#NUM!</v>
      </c>
      <c r="CD124" s="62">
        <f ca="1">AVERAGE(OFFSET($CC$3,0,0,'Données projet'!$E$12+1,1))-AVERAGE(OFFSET($H$3,0,0,'Données projet'!$E$12+1,1))</f>
        <v>347.72886258008998</v>
      </c>
      <c r="CE124" s="62">
        <f t="shared" si="94"/>
        <v>176.81257896138806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0</v>
      </c>
      <c r="CL124" s="23">
        <f>EXP(-LN(2)/25)*CL123+(1-EXP(-LN(2)/25))/(LN(2)/25)*Calculateur!CG124*Calculateur!CI124*VLOOKUP('Données projet'!$B$12,Paramètres!$A$1:$I$89,3,0)*0.475*44/12</f>
        <v>0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0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3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5.6843418860808015E-14</v>
      </c>
      <c r="O125" s="14">
        <f>N125*VLOOKUP('Données projet'!$B$9,Paramètres!$A$1:$I$89,3,0)*VLOOKUP('Données projet'!$B$9,Paramètres!$A$1:$I$89,5,0)</f>
        <v>2.6602720026858149E-14</v>
      </c>
      <c r="P125" s="14">
        <f t="shared" si="87"/>
        <v>4.6624771586320878E-13</v>
      </c>
      <c r="Q125" s="22">
        <f t="shared" si="107"/>
        <v>8.583811758418665E-13</v>
      </c>
      <c r="R125" s="62">
        <f t="shared" si="55"/>
        <v>293.33333333333417</v>
      </c>
      <c r="S125" s="62">
        <f ca="1">AVERAGE(OFFSET($R$3,0,0,'Données projet'!$E$9+1,1))-AVERAGE(OFFSET($H$3,0,0,'Données projet'!$E$9+1,1))</f>
        <v>172.45217697899039</v>
      </c>
      <c r="T125" s="62">
        <f t="shared" si="88"/>
        <v>223.74038909289629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2.4850944368452694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2.204663322265114E-13</v>
      </c>
      <c r="AC125" s="24">
        <f t="shared" si="57"/>
        <v>2.4850944368454897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364.3481978218424</v>
      </c>
      <c r="AO125" s="62">
        <f t="shared" si="90"/>
        <v>231.36959598460686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>
        <f>BD125*VLOOKUP('Données projet'!$B$11,Paramètres!$A$1:$I$89,3,0)*VLOOKUP('Données projet'!$B$11,Paramètres!$A$1:$I$89,5,0)</f>
        <v>0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403.50418598112844</v>
      </c>
      <c r="BJ125" s="62">
        <f t="shared" si="92"/>
        <v>254.25036207346591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0</v>
      </c>
      <c r="BQ125" s="23">
        <f>EXP(-LN(2)/25)*BQ124+(1-EXP(-LN(2)/25))/(LN(2)/25)*Calculateur!BL125*Calculateur!BN125*VLOOKUP('Données projet'!$B$11,Paramètres!$A$1:$I$89,3,0)*0.475*44/12</f>
        <v>0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0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-3.979039320256561E-13</v>
      </c>
      <c r="BZ125" s="14">
        <f>BY125*VLOOKUP('Données projet'!$B$12,Paramètres!$A$1:$I$89,3,0)*VLOOKUP('Données projet'!$B$12,Paramètres!$A$1:$I$89,5,0)</f>
        <v>-3.41401573678013E-13</v>
      </c>
      <c r="CA125" s="14" t="e">
        <f t="shared" si="93"/>
        <v>#NUM!</v>
      </c>
      <c r="CB125" s="22" t="e">
        <f t="shared" si="64"/>
        <v>#NUM!</v>
      </c>
      <c r="CC125" s="62" t="e">
        <f t="shared" si="65"/>
        <v>#NUM!</v>
      </c>
      <c r="CD125" s="62">
        <f ca="1">AVERAGE(OFFSET($CC$3,0,0,'Données projet'!$E$12+1,1))-AVERAGE(OFFSET($H$3,0,0,'Données projet'!$E$12+1,1))</f>
        <v>347.72886258008998</v>
      </c>
      <c r="CE125" s="62">
        <f t="shared" si="94"/>
        <v>176.81257896138806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0</v>
      </c>
      <c r="CL125" s="23">
        <f>EXP(-LN(2)/25)*CL124+(1-EXP(-LN(2)/25))/(LN(2)/25)*Calculateur!CG125*Calculateur!CI125*VLOOKUP('Données projet'!$B$12,Paramètres!$A$1:$I$89,3,0)*0.475*44/12</f>
        <v>0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0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3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5.6843418860808015E-14</v>
      </c>
      <c r="O126" s="14">
        <f>N126*VLOOKUP('Données projet'!$B$9,Paramètres!$A$1:$I$89,3,0)*VLOOKUP('Données projet'!$B$9,Paramètres!$A$1:$I$89,5,0)</f>
        <v>2.6602720026858149E-14</v>
      </c>
      <c r="P126" s="14">
        <f t="shared" si="87"/>
        <v>4.6624771586320878E-13</v>
      </c>
      <c r="Q126" s="22">
        <f t="shared" si="107"/>
        <v>8.583811758418665E-13</v>
      </c>
      <c r="R126" s="62">
        <f t="shared" si="55"/>
        <v>293.33333333333417</v>
      </c>
      <c r="S126" s="62">
        <f ca="1">AVERAGE(OFFSET($R$3,0,0,'Données projet'!$E$9+1,1))-AVERAGE(OFFSET($H$3,0,0,'Données projet'!$E$9+1,1))</f>
        <v>172.45217697899039</v>
      </c>
      <c r="T126" s="62">
        <f t="shared" si="88"/>
        <v>223.74038909289629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2.4363632506966715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1.558932385406925E-13</v>
      </c>
      <c r="AC126" s="24">
        <f t="shared" si="57"/>
        <v>2.4363632506968274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364.3481978218424</v>
      </c>
      <c r="AO126" s="62">
        <f t="shared" si="90"/>
        <v>231.36959598460686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>
        <f>BD126*VLOOKUP('Données projet'!$B$11,Paramètres!$A$1:$I$89,3,0)*VLOOKUP('Données projet'!$B$11,Paramètres!$A$1:$I$89,5,0)</f>
        <v>0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403.50418598112844</v>
      </c>
      <c r="BJ126" s="62">
        <f t="shared" si="92"/>
        <v>254.25036207346591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0</v>
      </c>
      <c r="BQ126" s="23">
        <f>EXP(-LN(2)/25)*BQ125+(1-EXP(-LN(2)/25))/(LN(2)/25)*Calculateur!BL126*Calculateur!BN126*VLOOKUP('Données projet'!$B$11,Paramètres!$A$1:$I$89,3,0)*0.475*44/12</f>
        <v>0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0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-3.979039320256561E-13</v>
      </c>
      <c r="BZ126" s="14">
        <f>BY126*VLOOKUP('Données projet'!$B$12,Paramètres!$A$1:$I$89,3,0)*VLOOKUP('Données projet'!$B$12,Paramètres!$A$1:$I$89,5,0)</f>
        <v>-3.41401573678013E-13</v>
      </c>
      <c r="CA126" s="14" t="e">
        <f t="shared" si="93"/>
        <v>#NUM!</v>
      </c>
      <c r="CB126" s="22" t="e">
        <f t="shared" si="64"/>
        <v>#NUM!</v>
      </c>
      <c r="CC126" s="62" t="e">
        <f t="shared" si="65"/>
        <v>#NUM!</v>
      </c>
      <c r="CD126" s="62">
        <f ca="1">AVERAGE(OFFSET($CC$3,0,0,'Données projet'!$E$12+1,1))-AVERAGE(OFFSET($H$3,0,0,'Données projet'!$E$12+1,1))</f>
        <v>347.72886258008998</v>
      </c>
      <c r="CE126" s="62">
        <f t="shared" si="94"/>
        <v>176.81257896138806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0</v>
      </c>
      <c r="CL126" s="23">
        <f>EXP(-LN(2)/25)*CL125+(1-EXP(-LN(2)/25))/(LN(2)/25)*Calculateur!CG126*Calculateur!CI126*VLOOKUP('Données projet'!$B$12,Paramètres!$A$1:$I$89,3,0)*0.475*44/12</f>
        <v>0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0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3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5.6843418860808015E-14</v>
      </c>
      <c r="O127" s="14">
        <f>N127*VLOOKUP('Données projet'!$B$9,Paramètres!$A$1:$I$89,3,0)*VLOOKUP('Données projet'!$B$9,Paramètres!$A$1:$I$89,5,0)</f>
        <v>2.6602720026858149E-14</v>
      </c>
      <c r="P127" s="14">
        <f t="shared" si="87"/>
        <v>4.6624771586320878E-13</v>
      </c>
      <c r="Q127" s="22">
        <f t="shared" si="107"/>
        <v>8.583811758418665E-13</v>
      </c>
      <c r="R127" s="62">
        <f t="shared" si="55"/>
        <v>293.33333333333417</v>
      </c>
      <c r="S127" s="62">
        <f ca="1">AVERAGE(OFFSET($R$3,0,0,'Données projet'!$E$9+1,1))-AVERAGE(OFFSET($H$3,0,0,'Données projet'!$E$9+1,1))</f>
        <v>172.45217697899039</v>
      </c>
      <c r="T127" s="62">
        <f t="shared" si="88"/>
        <v>223.74038909289629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2.3885876533853589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1.1023316611325571E-13</v>
      </c>
      <c r="AC127" s="24">
        <f t="shared" si="57"/>
        <v>2.3885876533854691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364.3481978218424</v>
      </c>
      <c r="AO127" s="62">
        <f t="shared" si="90"/>
        <v>231.36959598460686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>
        <f>BD127*VLOOKUP('Données projet'!$B$11,Paramètres!$A$1:$I$89,3,0)*VLOOKUP('Données projet'!$B$11,Paramètres!$A$1:$I$89,5,0)</f>
        <v>0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403.50418598112844</v>
      </c>
      <c r="BJ127" s="62">
        <f t="shared" si="92"/>
        <v>254.25036207346591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0</v>
      </c>
      <c r="BQ127" s="23">
        <f>EXP(-LN(2)/25)*BQ126+(1-EXP(-LN(2)/25))/(LN(2)/25)*Calculateur!BL127*Calculateur!BN127*VLOOKUP('Données projet'!$B$11,Paramètres!$A$1:$I$89,3,0)*0.475*44/12</f>
        <v>0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0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-3.979039320256561E-13</v>
      </c>
      <c r="BZ127" s="14">
        <f>BY127*VLOOKUP('Données projet'!$B$12,Paramètres!$A$1:$I$89,3,0)*VLOOKUP('Données projet'!$B$12,Paramètres!$A$1:$I$89,5,0)</f>
        <v>-3.41401573678013E-13</v>
      </c>
      <c r="CA127" s="14" t="e">
        <f t="shared" si="93"/>
        <v>#NUM!</v>
      </c>
      <c r="CB127" s="22" t="e">
        <f t="shared" si="64"/>
        <v>#NUM!</v>
      </c>
      <c r="CC127" s="62" t="e">
        <f t="shared" si="65"/>
        <v>#NUM!</v>
      </c>
      <c r="CD127" s="62">
        <f ca="1">AVERAGE(OFFSET($CC$3,0,0,'Données projet'!$E$12+1,1))-AVERAGE(OFFSET($H$3,0,0,'Données projet'!$E$12+1,1))</f>
        <v>347.72886258008998</v>
      </c>
      <c r="CE127" s="62">
        <f t="shared" si="94"/>
        <v>176.81257896138806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0</v>
      </c>
      <c r="CL127" s="23">
        <f>EXP(-LN(2)/25)*CL126+(1-EXP(-LN(2)/25))/(LN(2)/25)*Calculateur!CG127*Calculateur!CI127*VLOOKUP('Données projet'!$B$12,Paramètres!$A$1:$I$89,3,0)*0.475*44/12</f>
        <v>0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0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3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5.6843418860808015E-14</v>
      </c>
      <c r="O128" s="14">
        <f>N128*VLOOKUP('Données projet'!$B$9,Paramètres!$A$1:$I$89,3,0)*VLOOKUP('Données projet'!$B$9,Paramètres!$A$1:$I$89,5,0)</f>
        <v>2.6602720026858149E-14</v>
      </c>
      <c r="P128" s="14">
        <f t="shared" si="87"/>
        <v>4.6624771586320878E-13</v>
      </c>
      <c r="Q128" s="22">
        <f t="shared" si="107"/>
        <v>8.583811758418665E-13</v>
      </c>
      <c r="R128" s="62">
        <f t="shared" si="55"/>
        <v>293.33333333333417</v>
      </c>
      <c r="S128" s="62">
        <f ca="1">AVERAGE(OFFSET($R$3,0,0,'Données projet'!$E$9+1,1))-AVERAGE(OFFSET($H$3,0,0,'Données projet'!$E$9+1,1))</f>
        <v>172.45217697899039</v>
      </c>
      <c r="T128" s="62">
        <f t="shared" si="88"/>
        <v>223.74038909289629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2.3417489063970844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7.7946619270346262E-14</v>
      </c>
      <c r="AC128" s="24">
        <f t="shared" si="57"/>
        <v>2.3417489063971626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364.3481978218424</v>
      </c>
      <c r="AO128" s="62">
        <f t="shared" si="90"/>
        <v>231.36959598460686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>
        <f>BD128*VLOOKUP('Données projet'!$B$11,Paramètres!$A$1:$I$89,3,0)*VLOOKUP('Données projet'!$B$11,Paramètres!$A$1:$I$89,5,0)</f>
        <v>0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403.50418598112844</v>
      </c>
      <c r="BJ128" s="62">
        <f t="shared" si="92"/>
        <v>254.25036207346591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0</v>
      </c>
      <c r="BQ128" s="23">
        <f>EXP(-LN(2)/25)*BQ127+(1-EXP(-LN(2)/25))/(LN(2)/25)*Calculateur!BL128*Calculateur!BN128*VLOOKUP('Données projet'!$B$11,Paramètres!$A$1:$I$89,3,0)*0.475*44/12</f>
        <v>0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0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-3.979039320256561E-13</v>
      </c>
      <c r="BZ128" s="14">
        <f>BY128*VLOOKUP('Données projet'!$B$12,Paramètres!$A$1:$I$89,3,0)*VLOOKUP('Données projet'!$B$12,Paramètres!$A$1:$I$89,5,0)</f>
        <v>-3.41401573678013E-13</v>
      </c>
      <c r="CA128" s="14" t="e">
        <f t="shared" si="93"/>
        <v>#NUM!</v>
      </c>
      <c r="CB128" s="22" t="e">
        <f t="shared" si="64"/>
        <v>#NUM!</v>
      </c>
      <c r="CC128" s="62" t="e">
        <f t="shared" si="65"/>
        <v>#NUM!</v>
      </c>
      <c r="CD128" s="62">
        <f ca="1">AVERAGE(OFFSET($CC$3,0,0,'Données projet'!$E$12+1,1))-AVERAGE(OFFSET($H$3,0,0,'Données projet'!$E$12+1,1))</f>
        <v>347.72886258008998</v>
      </c>
      <c r="CE128" s="62">
        <f t="shared" si="94"/>
        <v>176.81257896138806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0</v>
      </c>
      <c r="CL128" s="23">
        <f>EXP(-LN(2)/25)*CL127+(1-EXP(-LN(2)/25))/(LN(2)/25)*Calculateur!CG128*Calculateur!CI128*VLOOKUP('Données projet'!$B$12,Paramètres!$A$1:$I$89,3,0)*0.475*44/12</f>
        <v>0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0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3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5.6843418860808015E-14</v>
      </c>
      <c r="O129" s="14">
        <f>N129*VLOOKUP('Données projet'!$B$9,Paramètres!$A$1:$I$89,3,0)*VLOOKUP('Données projet'!$B$9,Paramètres!$A$1:$I$89,5,0)</f>
        <v>2.6602720026858149E-14</v>
      </c>
      <c r="P129" s="14">
        <f t="shared" si="87"/>
        <v>4.6624771586320878E-13</v>
      </c>
      <c r="Q129" s="22">
        <f t="shared" si="107"/>
        <v>8.583811758418665E-13</v>
      </c>
      <c r="R129" s="62">
        <f t="shared" si="55"/>
        <v>293.33333333333417</v>
      </c>
      <c r="S129" s="62">
        <f ca="1">AVERAGE(OFFSET($R$3,0,0,'Données projet'!$E$9+1,1))-AVERAGE(OFFSET($H$3,0,0,'Données projet'!$E$9+1,1))</f>
        <v>172.45217697899039</v>
      </c>
      <c r="T129" s="62">
        <f t="shared" si="88"/>
        <v>223.74038909289629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2.2958286386684352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5.5116583056627868E-14</v>
      </c>
      <c r="AC129" s="24">
        <f t="shared" si="57"/>
        <v>2.2958286386684903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364.3481978218424</v>
      </c>
      <c r="AO129" s="62">
        <f t="shared" si="90"/>
        <v>231.36959598460686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>
        <f>BD129*VLOOKUP('Données projet'!$B$11,Paramètres!$A$1:$I$89,3,0)*VLOOKUP('Données projet'!$B$11,Paramètres!$A$1:$I$89,5,0)</f>
        <v>0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403.50418598112844</v>
      </c>
      <c r="BJ129" s="62">
        <f t="shared" si="92"/>
        <v>254.25036207346591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0</v>
      </c>
      <c r="BQ129" s="23">
        <f>EXP(-LN(2)/25)*BQ128+(1-EXP(-LN(2)/25))/(LN(2)/25)*Calculateur!BL129*Calculateur!BN129*VLOOKUP('Données projet'!$B$11,Paramètres!$A$1:$I$89,3,0)*0.475*44/12</f>
        <v>0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0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-3.979039320256561E-13</v>
      </c>
      <c r="BZ129" s="14">
        <f>BY129*VLOOKUP('Données projet'!$B$12,Paramètres!$A$1:$I$89,3,0)*VLOOKUP('Données projet'!$B$12,Paramètres!$A$1:$I$89,5,0)</f>
        <v>-3.41401573678013E-13</v>
      </c>
      <c r="CA129" s="14" t="e">
        <f t="shared" si="93"/>
        <v>#NUM!</v>
      </c>
      <c r="CB129" s="22" t="e">
        <f t="shared" si="64"/>
        <v>#NUM!</v>
      </c>
      <c r="CC129" s="62" t="e">
        <f t="shared" si="65"/>
        <v>#NUM!</v>
      </c>
      <c r="CD129" s="62">
        <f ca="1">AVERAGE(OFFSET($CC$3,0,0,'Données projet'!$E$12+1,1))-AVERAGE(OFFSET($H$3,0,0,'Données projet'!$E$12+1,1))</f>
        <v>347.72886258008998</v>
      </c>
      <c r="CE129" s="62">
        <f t="shared" si="94"/>
        <v>176.81257896138806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0</v>
      </c>
      <c r="CL129" s="23">
        <f>EXP(-LN(2)/25)*CL128+(1-EXP(-LN(2)/25))/(LN(2)/25)*Calculateur!CG129*Calculateur!CI129*VLOOKUP('Données projet'!$B$12,Paramètres!$A$1:$I$89,3,0)*0.475*44/12</f>
        <v>0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0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3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5.6843418860808015E-14</v>
      </c>
      <c r="O130" s="14">
        <f>N130*VLOOKUP('Données projet'!$B$9,Paramètres!$A$1:$I$89,3,0)*VLOOKUP('Données projet'!$B$9,Paramètres!$A$1:$I$89,5,0)</f>
        <v>2.6602720026858149E-14</v>
      </c>
      <c r="P130" s="14">
        <f t="shared" si="87"/>
        <v>4.6624771586320878E-13</v>
      </c>
      <c r="Q130" s="22">
        <f t="shared" si="107"/>
        <v>8.583811758418665E-13</v>
      </c>
      <c r="R130" s="62">
        <f t="shared" si="55"/>
        <v>293.33333333333417</v>
      </c>
      <c r="S130" s="62">
        <f ca="1">AVERAGE(OFFSET($R$3,0,0,'Données projet'!$E$9+1,1))-AVERAGE(OFFSET($H$3,0,0,'Données projet'!$E$9+1,1))</f>
        <v>172.45217697899039</v>
      </c>
      <c r="T130" s="62">
        <f t="shared" si="88"/>
        <v>223.74038909289629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2.2508088393813468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3.8973309635173138E-14</v>
      </c>
      <c r="AC130" s="24">
        <f t="shared" si="57"/>
        <v>2.2508088393813859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364.3481978218424</v>
      </c>
      <c r="AO130" s="62">
        <f t="shared" si="90"/>
        <v>231.36959598460686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>
        <f>BD130*VLOOKUP('Données projet'!$B$11,Paramètres!$A$1:$I$89,3,0)*VLOOKUP('Données projet'!$B$11,Paramètres!$A$1:$I$89,5,0)</f>
        <v>0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403.50418598112844</v>
      </c>
      <c r="BJ130" s="62">
        <f t="shared" si="92"/>
        <v>254.25036207346591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0</v>
      </c>
      <c r="BQ130" s="23">
        <f>EXP(-LN(2)/25)*BQ129+(1-EXP(-LN(2)/25))/(LN(2)/25)*Calculateur!BL130*Calculateur!BN130*VLOOKUP('Données projet'!$B$11,Paramètres!$A$1:$I$89,3,0)*0.475*44/12</f>
        <v>0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0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-3.979039320256561E-13</v>
      </c>
      <c r="BZ130" s="14">
        <f>BY130*VLOOKUP('Données projet'!$B$12,Paramètres!$A$1:$I$89,3,0)*VLOOKUP('Données projet'!$B$12,Paramètres!$A$1:$I$89,5,0)</f>
        <v>-3.41401573678013E-13</v>
      </c>
      <c r="CA130" s="14" t="e">
        <f t="shared" si="93"/>
        <v>#NUM!</v>
      </c>
      <c r="CB130" s="22" t="e">
        <f t="shared" si="64"/>
        <v>#NUM!</v>
      </c>
      <c r="CC130" s="62" t="e">
        <f t="shared" si="65"/>
        <v>#NUM!</v>
      </c>
      <c r="CD130" s="62">
        <f ca="1">AVERAGE(OFFSET($CC$3,0,0,'Données projet'!$E$12+1,1))-AVERAGE(OFFSET($H$3,0,0,'Données projet'!$E$12+1,1))</f>
        <v>347.72886258008998</v>
      </c>
      <c r="CE130" s="62">
        <f t="shared" si="94"/>
        <v>176.81257896138806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0</v>
      </c>
      <c r="CL130" s="23">
        <f>EXP(-LN(2)/25)*CL129+(1-EXP(-LN(2)/25))/(LN(2)/25)*Calculateur!CG130*Calculateur!CI130*VLOOKUP('Données projet'!$B$12,Paramètres!$A$1:$I$89,3,0)*0.475*44/12</f>
        <v>0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0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3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5.6843418860808015E-14</v>
      </c>
      <c r="O131" s="14">
        <f>N131*VLOOKUP('Données projet'!$B$9,Paramètres!$A$1:$I$89,3,0)*VLOOKUP('Données projet'!$B$9,Paramètres!$A$1:$I$89,5,0)</f>
        <v>2.6602720026858149E-14</v>
      </c>
      <c r="P131" s="14">
        <f t="shared" si="87"/>
        <v>4.6624771586320878E-13</v>
      </c>
      <c r="Q131" s="22">
        <f t="shared" ref="Q131:Q153" si="108">(O131+P131)*0.475*44/12</f>
        <v>8.583811758418665E-13</v>
      </c>
      <c r="R131" s="62">
        <f t="shared" ref="R131:R194" si="109">Q131+(I131+J131)*44/12</f>
        <v>293.33333333333417</v>
      </c>
      <c r="S131" s="62">
        <f ca="1">AVERAGE(OFFSET($R$3,0,0,'Données projet'!$E$9+1,1))-AVERAGE(OFFSET($H$3,0,0,'Données projet'!$E$9+1,1))</f>
        <v>172.45217697899039</v>
      </c>
      <c r="T131" s="62">
        <f t="shared" si="88"/>
        <v>223.74038909289629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2.2066718508989123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2.7558291528313937E-14</v>
      </c>
      <c r="AC131" s="24">
        <f t="shared" si="57"/>
        <v>2.2066718508989398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364.3481978218424</v>
      </c>
      <c r="AO131" s="62">
        <f t="shared" si="90"/>
        <v>231.36959598460686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>
        <f>BD131*VLOOKUP('Données projet'!$B$11,Paramètres!$A$1:$I$89,3,0)*VLOOKUP('Données projet'!$B$11,Paramètres!$A$1:$I$89,5,0)</f>
        <v>0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403.50418598112844</v>
      </c>
      <c r="BJ131" s="62">
        <f t="shared" si="92"/>
        <v>254.25036207346591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0</v>
      </c>
      <c r="BQ131" s="23">
        <f>EXP(-LN(2)/25)*BQ130+(1-EXP(-LN(2)/25))/(LN(2)/25)*Calculateur!BL131*Calculateur!BN131*VLOOKUP('Données projet'!$B$11,Paramètres!$A$1:$I$89,3,0)*0.475*44/12</f>
        <v>0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0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-3.979039320256561E-13</v>
      </c>
      <c r="BZ131" s="14">
        <f>BY131*VLOOKUP('Données projet'!$B$12,Paramètres!$A$1:$I$89,3,0)*VLOOKUP('Données projet'!$B$12,Paramètres!$A$1:$I$89,5,0)</f>
        <v>-3.41401573678013E-13</v>
      </c>
      <c r="CA131" s="14" t="e">
        <f t="shared" si="93"/>
        <v>#NUM!</v>
      </c>
      <c r="CB131" s="22" t="e">
        <f t="shared" si="64"/>
        <v>#NUM!</v>
      </c>
      <c r="CC131" s="62" t="e">
        <f t="shared" si="65"/>
        <v>#NUM!</v>
      </c>
      <c r="CD131" s="62">
        <f ca="1">AVERAGE(OFFSET($CC$3,0,0,'Données projet'!$E$12+1,1))-AVERAGE(OFFSET($H$3,0,0,'Données projet'!$E$12+1,1))</f>
        <v>347.72886258008998</v>
      </c>
      <c r="CE131" s="62">
        <f t="shared" si="94"/>
        <v>176.81257896138806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0</v>
      </c>
      <c r="CL131" s="23">
        <f>EXP(-LN(2)/25)*CL130+(1-EXP(-LN(2)/25))/(LN(2)/25)*Calculateur!CG131*Calculateur!CI131*VLOOKUP('Données projet'!$B$12,Paramètres!$A$1:$I$89,3,0)*0.475*44/12</f>
        <v>0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0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3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5.6843418860808015E-14</v>
      </c>
      <c r="O132" s="14">
        <f>N132*VLOOKUP('Données projet'!$B$9,Paramètres!$A$1:$I$89,3,0)*VLOOKUP('Données projet'!$B$9,Paramètres!$A$1:$I$89,5,0)</f>
        <v>2.6602720026858149E-14</v>
      </c>
      <c r="P132" s="14">
        <f t="shared" si="87"/>
        <v>4.6624771586320878E-13</v>
      </c>
      <c r="Q132" s="22">
        <f t="shared" si="108"/>
        <v>8.583811758418665E-13</v>
      </c>
      <c r="R132" s="62">
        <f t="shared" si="109"/>
        <v>293.33333333333417</v>
      </c>
      <c r="S132" s="62">
        <f ca="1">AVERAGE(OFFSET($R$3,0,0,'Données projet'!$E$9+1,1))-AVERAGE(OFFSET($H$3,0,0,'Données projet'!$E$9+1,1))</f>
        <v>172.45217697899039</v>
      </c>
      <c r="T132" s="62">
        <f t="shared" si="88"/>
        <v>223.74038909289629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2.1634003618397135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1.9486654817586572E-14</v>
      </c>
      <c r="AC132" s="24">
        <f t="shared" ref="AC132:AC153" si="111">SUM(Z132:AB132)</f>
        <v>2.1634003618397331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364.3481978218424</v>
      </c>
      <c r="AO132" s="62">
        <f t="shared" si="90"/>
        <v>231.36959598460686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>
        <f>BD132*VLOOKUP('Données projet'!$B$11,Paramètres!$A$1:$I$89,3,0)*VLOOKUP('Données projet'!$B$11,Paramètres!$A$1:$I$89,5,0)</f>
        <v>0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403.50418598112844</v>
      </c>
      <c r="BJ132" s="62">
        <f t="shared" si="92"/>
        <v>254.25036207346591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0</v>
      </c>
      <c r="BQ132" s="23">
        <f>EXP(-LN(2)/25)*BQ131+(1-EXP(-LN(2)/25))/(LN(2)/25)*Calculateur!BL132*Calculateur!BN132*VLOOKUP('Données projet'!$B$11,Paramètres!$A$1:$I$89,3,0)*0.475*44/12</f>
        <v>0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0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-3.979039320256561E-13</v>
      </c>
      <c r="BZ132" s="14">
        <f>BY132*VLOOKUP('Données projet'!$B$12,Paramètres!$A$1:$I$89,3,0)*VLOOKUP('Données projet'!$B$12,Paramètres!$A$1:$I$89,5,0)</f>
        <v>-3.41401573678013E-13</v>
      </c>
      <c r="CA132" s="14" t="e">
        <f t="shared" si="93"/>
        <v>#NUM!</v>
      </c>
      <c r="CB132" s="22" t="e">
        <f t="shared" ref="CB132:CB153" si="118">(BZ132+CA132)*0.475*44/12</f>
        <v>#NUM!</v>
      </c>
      <c r="CC132" s="62" t="e">
        <f t="shared" ref="CC132:CC195" si="119">CB132+(BT132+BU132)*44/12</f>
        <v>#NUM!</v>
      </c>
      <c r="CD132" s="62">
        <f ca="1">AVERAGE(OFFSET($CC$3,0,0,'Données projet'!$E$12+1,1))-AVERAGE(OFFSET($H$3,0,0,'Données projet'!$E$12+1,1))</f>
        <v>347.72886258008998</v>
      </c>
      <c r="CE132" s="62">
        <f t="shared" si="94"/>
        <v>176.81257896138806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0</v>
      </c>
      <c r="CL132" s="23">
        <f>EXP(-LN(2)/25)*CL131+(1-EXP(-LN(2)/25))/(LN(2)/25)*Calculateur!CG132*Calculateur!CI132*VLOOKUP('Données projet'!$B$12,Paramètres!$A$1:$I$89,3,0)*0.475*44/12</f>
        <v>0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0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3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5.6843418860808015E-14</v>
      </c>
      <c r="O133" s="14">
        <f>N133*VLOOKUP('Données projet'!$B$9,Paramètres!$A$1:$I$89,3,0)*VLOOKUP('Données projet'!$B$9,Paramètres!$A$1:$I$89,5,0)</f>
        <v>2.6602720026858149E-14</v>
      </c>
      <c r="P133" s="14">
        <f t="shared" ref="P133:P196" si="141">EXP(-1.0587+0.8836*LN(O133)+0.284)</f>
        <v>4.6624771586320878E-13</v>
      </c>
      <c r="Q133" s="22">
        <f t="shared" si="108"/>
        <v>8.583811758418665E-13</v>
      </c>
      <c r="R133" s="62">
        <f t="shared" si="109"/>
        <v>293.33333333333417</v>
      </c>
      <c r="S133" s="62">
        <f ca="1">AVERAGE(OFFSET($R$3,0,0,'Données projet'!$E$9+1,1))-AVERAGE(OFFSET($H$3,0,0,'Données projet'!$E$9+1,1))</f>
        <v>172.45217697899039</v>
      </c>
      <c r="T133" s="62">
        <f t="shared" ref="T133:T196" si="142">$T$3</f>
        <v>223.74038909289629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2.1209774002879631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1.3779145764156972E-14</v>
      </c>
      <c r="AC133" s="24">
        <f t="shared" si="111"/>
        <v>2.1209774002879769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364.3481978218424</v>
      </c>
      <c r="AO133" s="62">
        <f t="shared" ref="AO133:AO196" si="144">$AO$3</f>
        <v>231.36959598460686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>
        <f>BD133*VLOOKUP('Données projet'!$B$11,Paramètres!$A$1:$I$89,3,0)*VLOOKUP('Données projet'!$B$11,Paramètres!$A$1:$I$89,5,0)</f>
        <v>0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403.50418598112844</v>
      </c>
      <c r="BJ133" s="62">
        <f t="shared" ref="BJ133:BJ196" si="146">$BJ$3</f>
        <v>254.25036207346591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0</v>
      </c>
      <c r="BQ133" s="23">
        <f>EXP(-LN(2)/25)*BQ132+(1-EXP(-LN(2)/25))/(LN(2)/25)*Calculateur!BL133*Calculateur!BN133*VLOOKUP('Données projet'!$B$11,Paramètres!$A$1:$I$89,3,0)*0.475*44/12</f>
        <v>0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0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-3.979039320256561E-13</v>
      </c>
      <c r="BZ133" s="14">
        <f>BY133*VLOOKUP('Données projet'!$B$12,Paramètres!$A$1:$I$89,3,0)*VLOOKUP('Données projet'!$B$12,Paramètres!$A$1:$I$89,5,0)</f>
        <v>-3.41401573678013E-13</v>
      </c>
      <c r="CA133" s="14" t="e">
        <f t="shared" ref="CA133:CA153" si="147">EXP(-1.0587+0.8836*LN(BZ133)+0.284)</f>
        <v>#NUM!</v>
      </c>
      <c r="CB133" s="22" t="e">
        <f t="shared" si="118"/>
        <v>#NUM!</v>
      </c>
      <c r="CC133" s="62" t="e">
        <f t="shared" si="119"/>
        <v>#NUM!</v>
      </c>
      <c r="CD133" s="62">
        <f ca="1">AVERAGE(OFFSET($CC$3,0,0,'Données projet'!$E$12+1,1))-AVERAGE(OFFSET($H$3,0,0,'Données projet'!$E$12+1,1))</f>
        <v>347.72886258008998</v>
      </c>
      <c r="CE133" s="62">
        <f t="shared" ref="CE133:CE196" si="148">$CE$3</f>
        <v>176.81257896138806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0</v>
      </c>
      <c r="CL133" s="23">
        <f>EXP(-LN(2)/25)*CL132+(1-EXP(-LN(2)/25))/(LN(2)/25)*Calculateur!CG133*Calculateur!CI133*VLOOKUP('Données projet'!$B$12,Paramètres!$A$1:$I$89,3,0)*0.475*44/12</f>
        <v>0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0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3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5.6843418860808015E-14</v>
      </c>
      <c r="O134" s="14">
        <f>N134*VLOOKUP('Données projet'!$B$9,Paramètres!$A$1:$I$89,3,0)*VLOOKUP('Données projet'!$B$9,Paramètres!$A$1:$I$89,5,0)</f>
        <v>2.6602720026858149E-14</v>
      </c>
      <c r="P134" s="14">
        <f t="shared" si="141"/>
        <v>4.6624771586320878E-13</v>
      </c>
      <c r="Q134" s="22">
        <f t="shared" si="108"/>
        <v>8.583811758418665E-13</v>
      </c>
      <c r="R134" s="62">
        <f t="shared" si="109"/>
        <v>293.33333333333417</v>
      </c>
      <c r="S134" s="62">
        <f ca="1">AVERAGE(OFFSET($R$3,0,0,'Données projet'!$E$9+1,1))-AVERAGE(OFFSET($H$3,0,0,'Données projet'!$E$9+1,1))</f>
        <v>172.45217697899039</v>
      </c>
      <c r="T134" s="62">
        <f t="shared" si="142"/>
        <v>223.74038909289629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2.0793863271367914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9.7433274087932875E-15</v>
      </c>
      <c r="AC134" s="24">
        <f t="shared" si="111"/>
        <v>2.0793863271368012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364.3481978218424</v>
      </c>
      <c r="AO134" s="62">
        <f t="shared" si="144"/>
        <v>231.36959598460686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>
        <f>BD134*VLOOKUP('Données projet'!$B$11,Paramètres!$A$1:$I$89,3,0)*VLOOKUP('Données projet'!$B$11,Paramètres!$A$1:$I$89,5,0)</f>
        <v>0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403.50418598112844</v>
      </c>
      <c r="BJ134" s="62">
        <f t="shared" si="146"/>
        <v>254.25036207346591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0</v>
      </c>
      <c r="BQ134" s="23">
        <f>EXP(-LN(2)/25)*BQ133+(1-EXP(-LN(2)/25))/(LN(2)/25)*Calculateur!BL134*Calculateur!BN134*VLOOKUP('Données projet'!$B$11,Paramètres!$A$1:$I$89,3,0)*0.475*44/12</f>
        <v>0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0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-3.979039320256561E-13</v>
      </c>
      <c r="BZ134" s="14">
        <f>BY134*VLOOKUP('Données projet'!$B$12,Paramètres!$A$1:$I$89,3,0)*VLOOKUP('Données projet'!$B$12,Paramètres!$A$1:$I$89,5,0)</f>
        <v>-3.41401573678013E-13</v>
      </c>
      <c r="CA134" s="14" t="e">
        <f t="shared" si="147"/>
        <v>#NUM!</v>
      </c>
      <c r="CB134" s="22" t="e">
        <f t="shared" si="118"/>
        <v>#NUM!</v>
      </c>
      <c r="CC134" s="62" t="e">
        <f t="shared" si="119"/>
        <v>#NUM!</v>
      </c>
      <c r="CD134" s="62">
        <f ca="1">AVERAGE(OFFSET($CC$3,0,0,'Données projet'!$E$12+1,1))-AVERAGE(OFFSET($H$3,0,0,'Données projet'!$E$12+1,1))</f>
        <v>347.72886258008998</v>
      </c>
      <c r="CE134" s="62">
        <f t="shared" si="148"/>
        <v>176.81257896138806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0</v>
      </c>
      <c r="CL134" s="23">
        <f>EXP(-LN(2)/25)*CL133+(1-EXP(-LN(2)/25))/(LN(2)/25)*Calculateur!CG134*Calculateur!CI134*VLOOKUP('Données projet'!$B$12,Paramètres!$A$1:$I$89,3,0)*0.475*44/12</f>
        <v>0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0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3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5.6843418860808015E-14</v>
      </c>
      <c r="O135" s="14">
        <f>N135*VLOOKUP('Données projet'!$B$9,Paramètres!$A$1:$I$89,3,0)*VLOOKUP('Données projet'!$B$9,Paramètres!$A$1:$I$89,5,0)</f>
        <v>2.6602720026858149E-14</v>
      </c>
      <c r="P135" s="14">
        <f t="shared" si="141"/>
        <v>4.6624771586320878E-13</v>
      </c>
      <c r="Q135" s="22">
        <f t="shared" si="108"/>
        <v>8.583811758418665E-13</v>
      </c>
      <c r="R135" s="62">
        <f t="shared" si="109"/>
        <v>293.33333333333417</v>
      </c>
      <c r="S135" s="62">
        <f ca="1">AVERAGE(OFFSET($R$3,0,0,'Données projet'!$E$9+1,1))-AVERAGE(OFFSET($H$3,0,0,'Données projet'!$E$9+1,1))</f>
        <v>172.45217697899039</v>
      </c>
      <c r="T135" s="62">
        <f t="shared" si="142"/>
        <v>223.74038909289629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2.0386108295620642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6.8895728820784867E-15</v>
      </c>
      <c r="AC135" s="24">
        <f t="shared" si="111"/>
        <v>2.0386108295620713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364.3481978218424</v>
      </c>
      <c r="AO135" s="62">
        <f t="shared" si="144"/>
        <v>231.36959598460686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>
        <f>BD135*VLOOKUP('Données projet'!$B$11,Paramètres!$A$1:$I$89,3,0)*VLOOKUP('Données projet'!$B$11,Paramètres!$A$1:$I$89,5,0)</f>
        <v>0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403.50418598112844</v>
      </c>
      <c r="BJ135" s="62">
        <f t="shared" si="146"/>
        <v>254.25036207346591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0</v>
      </c>
      <c r="BQ135" s="23">
        <f>EXP(-LN(2)/25)*BQ134+(1-EXP(-LN(2)/25))/(LN(2)/25)*Calculateur!BL135*Calculateur!BN135*VLOOKUP('Données projet'!$B$11,Paramètres!$A$1:$I$89,3,0)*0.475*44/12</f>
        <v>0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0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-3.979039320256561E-13</v>
      </c>
      <c r="BZ135" s="14">
        <f>BY135*VLOOKUP('Données projet'!$B$12,Paramètres!$A$1:$I$89,3,0)*VLOOKUP('Données projet'!$B$12,Paramètres!$A$1:$I$89,5,0)</f>
        <v>-3.41401573678013E-13</v>
      </c>
      <c r="CA135" s="14" t="e">
        <f t="shared" si="147"/>
        <v>#NUM!</v>
      </c>
      <c r="CB135" s="22" t="e">
        <f t="shared" si="118"/>
        <v>#NUM!</v>
      </c>
      <c r="CC135" s="62" t="e">
        <f t="shared" si="119"/>
        <v>#NUM!</v>
      </c>
      <c r="CD135" s="62">
        <f ca="1">AVERAGE(OFFSET($CC$3,0,0,'Données projet'!$E$12+1,1))-AVERAGE(OFFSET($H$3,0,0,'Données projet'!$E$12+1,1))</f>
        <v>347.72886258008998</v>
      </c>
      <c r="CE135" s="62">
        <f t="shared" si="148"/>
        <v>176.81257896138806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0</v>
      </c>
      <c r="CL135" s="23">
        <f>EXP(-LN(2)/25)*CL134+(1-EXP(-LN(2)/25))/(LN(2)/25)*Calculateur!CG135*Calculateur!CI135*VLOOKUP('Données projet'!$B$12,Paramètres!$A$1:$I$89,3,0)*0.475*44/12</f>
        <v>0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0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3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5.6843418860808015E-14</v>
      </c>
      <c r="O136" s="14">
        <f>N136*VLOOKUP('Données projet'!$B$9,Paramètres!$A$1:$I$89,3,0)*VLOOKUP('Données projet'!$B$9,Paramètres!$A$1:$I$89,5,0)</f>
        <v>2.6602720026858149E-14</v>
      </c>
      <c r="P136" s="14">
        <f t="shared" si="141"/>
        <v>4.6624771586320878E-13</v>
      </c>
      <c r="Q136" s="22">
        <f t="shared" si="108"/>
        <v>8.583811758418665E-13</v>
      </c>
      <c r="R136" s="62">
        <f t="shared" si="109"/>
        <v>293.33333333333417</v>
      </c>
      <c r="S136" s="62">
        <f ca="1">AVERAGE(OFFSET($R$3,0,0,'Données projet'!$E$9+1,1))-AVERAGE(OFFSET($H$3,0,0,'Données projet'!$E$9+1,1))</f>
        <v>172.45217697899039</v>
      </c>
      <c r="T136" s="62">
        <f t="shared" si="142"/>
        <v>223.74038909289629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1.9986349146241797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4.8716637043966446E-15</v>
      </c>
      <c r="AC136" s="24">
        <f t="shared" si="111"/>
        <v>1.9986349146241846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364.3481978218424</v>
      </c>
      <c r="AO136" s="62">
        <f t="shared" si="144"/>
        <v>231.36959598460686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>
        <f>BD136*VLOOKUP('Données projet'!$B$11,Paramètres!$A$1:$I$89,3,0)*VLOOKUP('Données projet'!$B$11,Paramètres!$A$1:$I$89,5,0)</f>
        <v>0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403.50418598112844</v>
      </c>
      <c r="BJ136" s="62">
        <f t="shared" si="146"/>
        <v>254.25036207346591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0</v>
      </c>
      <c r="BQ136" s="23">
        <f>EXP(-LN(2)/25)*BQ135+(1-EXP(-LN(2)/25))/(LN(2)/25)*Calculateur!BL136*Calculateur!BN136*VLOOKUP('Données projet'!$B$11,Paramètres!$A$1:$I$89,3,0)*0.475*44/12</f>
        <v>0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0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-3.979039320256561E-13</v>
      </c>
      <c r="BZ136" s="14">
        <f>BY136*VLOOKUP('Données projet'!$B$12,Paramètres!$A$1:$I$89,3,0)*VLOOKUP('Données projet'!$B$12,Paramètres!$A$1:$I$89,5,0)</f>
        <v>-3.41401573678013E-13</v>
      </c>
      <c r="CA136" s="14" t="e">
        <f t="shared" si="147"/>
        <v>#NUM!</v>
      </c>
      <c r="CB136" s="22" t="e">
        <f t="shared" si="118"/>
        <v>#NUM!</v>
      </c>
      <c r="CC136" s="62" t="e">
        <f t="shared" si="119"/>
        <v>#NUM!</v>
      </c>
      <c r="CD136" s="62">
        <f ca="1">AVERAGE(OFFSET($CC$3,0,0,'Données projet'!$E$12+1,1))-AVERAGE(OFFSET($H$3,0,0,'Données projet'!$E$12+1,1))</f>
        <v>347.72886258008998</v>
      </c>
      <c r="CE136" s="62">
        <f t="shared" si="148"/>
        <v>176.81257896138806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0</v>
      </c>
      <c r="CL136" s="23">
        <f>EXP(-LN(2)/25)*CL135+(1-EXP(-LN(2)/25))/(LN(2)/25)*Calculateur!CG136*Calculateur!CI136*VLOOKUP('Données projet'!$B$12,Paramètres!$A$1:$I$89,3,0)*0.475*44/12</f>
        <v>0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0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3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5.6843418860808015E-14</v>
      </c>
      <c r="O137" s="14">
        <f>N137*VLOOKUP('Données projet'!$B$9,Paramètres!$A$1:$I$89,3,0)*VLOOKUP('Données projet'!$B$9,Paramètres!$A$1:$I$89,5,0)</f>
        <v>2.6602720026858149E-14</v>
      </c>
      <c r="P137" s="14">
        <f t="shared" si="141"/>
        <v>4.6624771586320878E-13</v>
      </c>
      <c r="Q137" s="22">
        <f t="shared" si="108"/>
        <v>8.583811758418665E-13</v>
      </c>
      <c r="R137" s="62">
        <f t="shared" si="109"/>
        <v>293.33333333333417</v>
      </c>
      <c r="S137" s="62">
        <f ca="1">AVERAGE(OFFSET($R$3,0,0,'Données projet'!$E$9+1,1))-AVERAGE(OFFSET($H$3,0,0,'Données projet'!$E$9+1,1))</f>
        <v>172.45217697899039</v>
      </c>
      <c r="T137" s="62">
        <f t="shared" si="142"/>
        <v>223.74038909289629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1.9594429029953266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3.4447864410392437E-15</v>
      </c>
      <c r="AC137" s="24">
        <f t="shared" si="111"/>
        <v>1.9594429029953302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364.3481978218424</v>
      </c>
      <c r="AO137" s="62">
        <f t="shared" si="144"/>
        <v>231.36959598460686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>
        <f>BD137*VLOOKUP('Données projet'!$B$11,Paramètres!$A$1:$I$89,3,0)*VLOOKUP('Données projet'!$B$11,Paramètres!$A$1:$I$89,5,0)</f>
        <v>0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403.50418598112844</v>
      </c>
      <c r="BJ137" s="62">
        <f t="shared" si="146"/>
        <v>254.25036207346591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0</v>
      </c>
      <c r="BQ137" s="23">
        <f>EXP(-LN(2)/25)*BQ136+(1-EXP(-LN(2)/25))/(LN(2)/25)*Calculateur!BL137*Calculateur!BN137*VLOOKUP('Données projet'!$B$11,Paramètres!$A$1:$I$89,3,0)*0.475*44/12</f>
        <v>0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0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-3.979039320256561E-13</v>
      </c>
      <c r="BZ137" s="14">
        <f>BY137*VLOOKUP('Données projet'!$B$12,Paramètres!$A$1:$I$89,3,0)*VLOOKUP('Données projet'!$B$12,Paramètres!$A$1:$I$89,5,0)</f>
        <v>-3.41401573678013E-13</v>
      </c>
      <c r="CA137" s="14" t="e">
        <f t="shared" si="147"/>
        <v>#NUM!</v>
      </c>
      <c r="CB137" s="22" t="e">
        <f t="shared" si="118"/>
        <v>#NUM!</v>
      </c>
      <c r="CC137" s="62" t="e">
        <f t="shared" si="119"/>
        <v>#NUM!</v>
      </c>
      <c r="CD137" s="62">
        <f ca="1">AVERAGE(OFFSET($CC$3,0,0,'Données projet'!$E$12+1,1))-AVERAGE(OFFSET($H$3,0,0,'Données projet'!$E$12+1,1))</f>
        <v>347.72886258008998</v>
      </c>
      <c r="CE137" s="62">
        <f t="shared" si="148"/>
        <v>176.81257896138806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0</v>
      </c>
      <c r="CL137" s="23">
        <f>EXP(-LN(2)/25)*CL136+(1-EXP(-LN(2)/25))/(LN(2)/25)*Calculateur!CG137*Calculateur!CI137*VLOOKUP('Données projet'!$B$12,Paramètres!$A$1:$I$89,3,0)*0.475*44/12</f>
        <v>0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0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3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5.6843418860808015E-14</v>
      </c>
      <c r="O138" s="14">
        <f>N138*VLOOKUP('Données projet'!$B$9,Paramètres!$A$1:$I$89,3,0)*VLOOKUP('Données projet'!$B$9,Paramètres!$A$1:$I$89,5,0)</f>
        <v>2.6602720026858149E-14</v>
      </c>
      <c r="P138" s="14">
        <f t="shared" si="141"/>
        <v>4.6624771586320878E-13</v>
      </c>
      <c r="Q138" s="22">
        <f t="shared" si="108"/>
        <v>8.583811758418665E-13</v>
      </c>
      <c r="R138" s="62">
        <f t="shared" si="109"/>
        <v>293.33333333333417</v>
      </c>
      <c r="S138" s="62">
        <f ca="1">AVERAGE(OFFSET($R$3,0,0,'Données projet'!$E$9+1,1))-AVERAGE(OFFSET($H$3,0,0,'Données projet'!$E$9+1,1))</f>
        <v>172.45217697899039</v>
      </c>
      <c r="T138" s="62">
        <f t="shared" si="142"/>
        <v>223.74038909289629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1.9210194228097486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2.4358318521983227E-15</v>
      </c>
      <c r="AC138" s="24">
        <f t="shared" si="111"/>
        <v>1.921019422809751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364.3481978218424</v>
      </c>
      <c r="AO138" s="62">
        <f t="shared" si="144"/>
        <v>231.36959598460686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>
        <f>BD138*VLOOKUP('Données projet'!$B$11,Paramètres!$A$1:$I$89,3,0)*VLOOKUP('Données projet'!$B$11,Paramètres!$A$1:$I$89,5,0)</f>
        <v>0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403.50418598112844</v>
      </c>
      <c r="BJ138" s="62">
        <f t="shared" si="146"/>
        <v>254.25036207346591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0</v>
      </c>
      <c r="BQ138" s="23">
        <f>EXP(-LN(2)/25)*BQ137+(1-EXP(-LN(2)/25))/(LN(2)/25)*Calculateur!BL138*Calculateur!BN138*VLOOKUP('Données projet'!$B$11,Paramètres!$A$1:$I$89,3,0)*0.475*44/12</f>
        <v>0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0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-3.979039320256561E-13</v>
      </c>
      <c r="BZ138" s="14">
        <f>BY138*VLOOKUP('Données projet'!$B$12,Paramètres!$A$1:$I$89,3,0)*VLOOKUP('Données projet'!$B$12,Paramètres!$A$1:$I$89,5,0)</f>
        <v>-3.41401573678013E-13</v>
      </c>
      <c r="CA138" s="14" t="e">
        <f t="shared" si="147"/>
        <v>#NUM!</v>
      </c>
      <c r="CB138" s="22" t="e">
        <f t="shared" si="118"/>
        <v>#NUM!</v>
      </c>
      <c r="CC138" s="62" t="e">
        <f t="shared" si="119"/>
        <v>#NUM!</v>
      </c>
      <c r="CD138" s="62">
        <f ca="1">AVERAGE(OFFSET($CC$3,0,0,'Données projet'!$E$12+1,1))-AVERAGE(OFFSET($H$3,0,0,'Données projet'!$E$12+1,1))</f>
        <v>347.72886258008998</v>
      </c>
      <c r="CE138" s="62">
        <f t="shared" si="148"/>
        <v>176.81257896138806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0</v>
      </c>
      <c r="CL138" s="23">
        <f>EXP(-LN(2)/25)*CL137+(1-EXP(-LN(2)/25))/(LN(2)/25)*Calculateur!CG138*Calculateur!CI138*VLOOKUP('Données projet'!$B$12,Paramètres!$A$1:$I$89,3,0)*0.475*44/12</f>
        <v>0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0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3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5.6843418860808015E-14</v>
      </c>
      <c r="O139" s="14">
        <f>N139*VLOOKUP('Données projet'!$B$9,Paramètres!$A$1:$I$89,3,0)*VLOOKUP('Données projet'!$B$9,Paramètres!$A$1:$I$89,5,0)</f>
        <v>2.6602720026858149E-14</v>
      </c>
      <c r="P139" s="14">
        <f t="shared" si="141"/>
        <v>4.6624771586320878E-13</v>
      </c>
      <c r="Q139" s="22">
        <f t="shared" si="108"/>
        <v>8.583811758418665E-13</v>
      </c>
      <c r="R139" s="62">
        <f t="shared" si="109"/>
        <v>293.33333333333417</v>
      </c>
      <c r="S139" s="62">
        <f ca="1">AVERAGE(OFFSET($R$3,0,0,'Données projet'!$E$9+1,1))-AVERAGE(OFFSET($H$3,0,0,'Données projet'!$E$9+1,1))</f>
        <v>172.45217697899039</v>
      </c>
      <c r="T139" s="62">
        <f t="shared" si="142"/>
        <v>223.74038909289629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1.883349403634601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1.7223932205196223E-15</v>
      </c>
      <c r="AC139" s="24">
        <f t="shared" si="111"/>
        <v>1.8833494036346028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364.3481978218424</v>
      </c>
      <c r="AO139" s="62">
        <f t="shared" si="144"/>
        <v>231.36959598460686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>
        <f>BD139*VLOOKUP('Données projet'!$B$11,Paramètres!$A$1:$I$89,3,0)*VLOOKUP('Données projet'!$B$11,Paramètres!$A$1:$I$89,5,0)</f>
        <v>0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403.50418598112844</v>
      </c>
      <c r="BJ139" s="62">
        <f t="shared" si="146"/>
        <v>254.25036207346591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0</v>
      </c>
      <c r="BQ139" s="23">
        <f>EXP(-LN(2)/25)*BQ138+(1-EXP(-LN(2)/25))/(LN(2)/25)*Calculateur!BL139*Calculateur!BN139*VLOOKUP('Données projet'!$B$11,Paramètres!$A$1:$I$89,3,0)*0.475*44/12</f>
        <v>0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0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-3.979039320256561E-13</v>
      </c>
      <c r="BZ139" s="14">
        <f>BY139*VLOOKUP('Données projet'!$B$12,Paramètres!$A$1:$I$89,3,0)*VLOOKUP('Données projet'!$B$12,Paramètres!$A$1:$I$89,5,0)</f>
        <v>-3.41401573678013E-13</v>
      </c>
      <c r="CA139" s="14" t="e">
        <f t="shared" si="147"/>
        <v>#NUM!</v>
      </c>
      <c r="CB139" s="22" t="e">
        <f t="shared" si="118"/>
        <v>#NUM!</v>
      </c>
      <c r="CC139" s="62" t="e">
        <f t="shared" si="119"/>
        <v>#NUM!</v>
      </c>
      <c r="CD139" s="62">
        <f ca="1">AVERAGE(OFFSET($CC$3,0,0,'Données projet'!$E$12+1,1))-AVERAGE(OFFSET($H$3,0,0,'Données projet'!$E$12+1,1))</f>
        <v>347.72886258008998</v>
      </c>
      <c r="CE139" s="62">
        <f t="shared" si="148"/>
        <v>176.81257896138806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0</v>
      </c>
      <c r="CL139" s="23">
        <f>EXP(-LN(2)/25)*CL138+(1-EXP(-LN(2)/25))/(LN(2)/25)*Calculateur!CG139*Calculateur!CI139*VLOOKUP('Données projet'!$B$12,Paramètres!$A$1:$I$89,3,0)*0.475*44/12</f>
        <v>0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0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3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5.6843418860808015E-14</v>
      </c>
      <c r="O140" s="14">
        <f>N140*VLOOKUP('Données projet'!$B$9,Paramètres!$A$1:$I$89,3,0)*VLOOKUP('Données projet'!$B$9,Paramètres!$A$1:$I$89,5,0)</f>
        <v>2.6602720026858149E-14</v>
      </c>
      <c r="P140" s="14">
        <f t="shared" si="141"/>
        <v>4.6624771586320878E-13</v>
      </c>
      <c r="Q140" s="22">
        <f t="shared" si="108"/>
        <v>8.583811758418665E-13</v>
      </c>
      <c r="R140" s="62">
        <f t="shared" si="109"/>
        <v>293.33333333333417</v>
      </c>
      <c r="S140" s="62">
        <f ca="1">AVERAGE(OFFSET($R$3,0,0,'Données projet'!$E$9+1,1))-AVERAGE(OFFSET($H$3,0,0,'Données projet'!$E$9+1,1))</f>
        <v>172.45217697899039</v>
      </c>
      <c r="T140" s="62">
        <f t="shared" si="142"/>
        <v>223.74038909289629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1.8464180705590352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1.2179159260991615E-15</v>
      </c>
      <c r="AC140" s="24">
        <f t="shared" si="111"/>
        <v>1.8464180705590363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364.3481978218424</v>
      </c>
      <c r="AO140" s="62">
        <f t="shared" si="144"/>
        <v>231.36959598460686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>
        <f>BD140*VLOOKUP('Données projet'!$B$11,Paramètres!$A$1:$I$89,3,0)*VLOOKUP('Données projet'!$B$11,Paramètres!$A$1:$I$89,5,0)</f>
        <v>0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403.50418598112844</v>
      </c>
      <c r="BJ140" s="62">
        <f t="shared" si="146"/>
        <v>254.25036207346591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0</v>
      </c>
      <c r="BQ140" s="23">
        <f>EXP(-LN(2)/25)*BQ139+(1-EXP(-LN(2)/25))/(LN(2)/25)*Calculateur!BL140*Calculateur!BN140*VLOOKUP('Données projet'!$B$11,Paramètres!$A$1:$I$89,3,0)*0.475*44/12</f>
        <v>0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0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-3.979039320256561E-13</v>
      </c>
      <c r="BZ140" s="14">
        <f>BY140*VLOOKUP('Données projet'!$B$12,Paramètres!$A$1:$I$89,3,0)*VLOOKUP('Données projet'!$B$12,Paramètres!$A$1:$I$89,5,0)</f>
        <v>-3.41401573678013E-13</v>
      </c>
      <c r="CA140" s="14" t="e">
        <f t="shared" si="147"/>
        <v>#NUM!</v>
      </c>
      <c r="CB140" s="22" t="e">
        <f t="shared" si="118"/>
        <v>#NUM!</v>
      </c>
      <c r="CC140" s="62" t="e">
        <f t="shared" si="119"/>
        <v>#NUM!</v>
      </c>
      <c r="CD140" s="62">
        <f ca="1">AVERAGE(OFFSET($CC$3,0,0,'Données projet'!$E$12+1,1))-AVERAGE(OFFSET($H$3,0,0,'Données projet'!$E$12+1,1))</f>
        <v>347.72886258008998</v>
      </c>
      <c r="CE140" s="62">
        <f t="shared" si="148"/>
        <v>176.81257896138806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0</v>
      </c>
      <c r="CL140" s="23">
        <f>EXP(-LN(2)/25)*CL139+(1-EXP(-LN(2)/25))/(LN(2)/25)*Calculateur!CG140*Calculateur!CI140*VLOOKUP('Données projet'!$B$12,Paramètres!$A$1:$I$89,3,0)*0.475*44/12</f>
        <v>0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0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3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5.6843418860808015E-14</v>
      </c>
      <c r="O141" s="14">
        <f>N141*VLOOKUP('Données projet'!$B$9,Paramètres!$A$1:$I$89,3,0)*VLOOKUP('Données projet'!$B$9,Paramètres!$A$1:$I$89,5,0)</f>
        <v>2.6602720026858149E-14</v>
      </c>
      <c r="P141" s="14">
        <f t="shared" si="141"/>
        <v>4.6624771586320878E-13</v>
      </c>
      <c r="Q141" s="22">
        <f t="shared" si="108"/>
        <v>8.583811758418665E-13</v>
      </c>
      <c r="R141" s="62">
        <f t="shared" si="109"/>
        <v>293.33333333333417</v>
      </c>
      <c r="S141" s="62">
        <f ca="1">AVERAGE(OFFSET($R$3,0,0,'Données projet'!$E$9+1,1))-AVERAGE(OFFSET($H$3,0,0,'Données projet'!$E$9+1,1))</f>
        <v>172.45217697899039</v>
      </c>
      <c r="T141" s="62">
        <f t="shared" si="142"/>
        <v>223.74038909289629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1.8102109383991922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8.6119661025981123E-16</v>
      </c>
      <c r="AC141" s="24">
        <f t="shared" si="111"/>
        <v>1.8102109383991931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364.3481978218424</v>
      </c>
      <c r="AO141" s="62">
        <f t="shared" si="144"/>
        <v>231.36959598460686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>
        <f>BD141*VLOOKUP('Données projet'!$B$11,Paramètres!$A$1:$I$89,3,0)*VLOOKUP('Données projet'!$B$11,Paramètres!$A$1:$I$89,5,0)</f>
        <v>0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403.50418598112844</v>
      </c>
      <c r="BJ141" s="62">
        <f t="shared" si="146"/>
        <v>254.25036207346591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0</v>
      </c>
      <c r="BQ141" s="23">
        <f>EXP(-LN(2)/25)*BQ140+(1-EXP(-LN(2)/25))/(LN(2)/25)*Calculateur!BL141*Calculateur!BN141*VLOOKUP('Données projet'!$B$11,Paramètres!$A$1:$I$89,3,0)*0.475*44/12</f>
        <v>0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0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-3.979039320256561E-13</v>
      </c>
      <c r="BZ141" s="14">
        <f>BY141*VLOOKUP('Données projet'!$B$12,Paramètres!$A$1:$I$89,3,0)*VLOOKUP('Données projet'!$B$12,Paramètres!$A$1:$I$89,5,0)</f>
        <v>-3.41401573678013E-13</v>
      </c>
      <c r="CA141" s="14" t="e">
        <f t="shared" si="147"/>
        <v>#NUM!</v>
      </c>
      <c r="CB141" s="22" t="e">
        <f t="shared" si="118"/>
        <v>#NUM!</v>
      </c>
      <c r="CC141" s="62" t="e">
        <f t="shared" si="119"/>
        <v>#NUM!</v>
      </c>
      <c r="CD141" s="62">
        <f ca="1">AVERAGE(OFFSET($CC$3,0,0,'Données projet'!$E$12+1,1))-AVERAGE(OFFSET($H$3,0,0,'Données projet'!$E$12+1,1))</f>
        <v>347.72886258008998</v>
      </c>
      <c r="CE141" s="62">
        <f t="shared" si="148"/>
        <v>176.81257896138806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0</v>
      </c>
      <c r="CL141" s="23">
        <f>EXP(-LN(2)/25)*CL140+(1-EXP(-LN(2)/25))/(LN(2)/25)*Calculateur!CG141*Calculateur!CI141*VLOOKUP('Données projet'!$B$12,Paramètres!$A$1:$I$89,3,0)*0.475*44/12</f>
        <v>0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0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3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5.6843418860808015E-14</v>
      </c>
      <c r="O142" s="14">
        <f>N142*VLOOKUP('Données projet'!$B$9,Paramètres!$A$1:$I$89,3,0)*VLOOKUP('Données projet'!$B$9,Paramètres!$A$1:$I$89,5,0)</f>
        <v>2.6602720026858149E-14</v>
      </c>
      <c r="P142" s="14">
        <f t="shared" si="141"/>
        <v>4.6624771586320878E-13</v>
      </c>
      <c r="Q142" s="22">
        <f t="shared" si="108"/>
        <v>8.583811758418665E-13</v>
      </c>
      <c r="R142" s="62">
        <f t="shared" si="109"/>
        <v>293.33333333333417</v>
      </c>
      <c r="S142" s="62">
        <f ca="1">AVERAGE(OFFSET($R$3,0,0,'Données projet'!$E$9+1,1))-AVERAGE(OFFSET($H$3,0,0,'Données projet'!$E$9+1,1))</f>
        <v>172.45217697899039</v>
      </c>
      <c r="T142" s="62">
        <f t="shared" si="142"/>
        <v>223.74038909289629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1.7747138060168337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6.0895796304958087E-16</v>
      </c>
      <c r="AC142" s="24">
        <f t="shared" si="111"/>
        <v>1.7747138060168344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364.3481978218424</v>
      </c>
      <c r="AO142" s="62">
        <f t="shared" si="144"/>
        <v>231.36959598460686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>
        <f>BD142*VLOOKUP('Données projet'!$B$11,Paramètres!$A$1:$I$89,3,0)*VLOOKUP('Données projet'!$B$11,Paramètres!$A$1:$I$89,5,0)</f>
        <v>0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403.50418598112844</v>
      </c>
      <c r="BJ142" s="62">
        <f t="shared" si="146"/>
        <v>254.25036207346591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0</v>
      </c>
      <c r="BQ142" s="23">
        <f>EXP(-LN(2)/25)*BQ141+(1-EXP(-LN(2)/25))/(LN(2)/25)*Calculateur!BL142*Calculateur!BN142*VLOOKUP('Données projet'!$B$11,Paramètres!$A$1:$I$89,3,0)*0.475*44/12</f>
        <v>0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0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-3.979039320256561E-13</v>
      </c>
      <c r="BZ142" s="14">
        <f>BY142*VLOOKUP('Données projet'!$B$12,Paramètres!$A$1:$I$89,3,0)*VLOOKUP('Données projet'!$B$12,Paramètres!$A$1:$I$89,5,0)</f>
        <v>-3.41401573678013E-13</v>
      </c>
      <c r="CA142" s="14" t="e">
        <f t="shared" si="147"/>
        <v>#NUM!</v>
      </c>
      <c r="CB142" s="22" t="e">
        <f t="shared" si="118"/>
        <v>#NUM!</v>
      </c>
      <c r="CC142" s="62" t="e">
        <f t="shared" si="119"/>
        <v>#NUM!</v>
      </c>
      <c r="CD142" s="62">
        <f ca="1">AVERAGE(OFFSET($CC$3,0,0,'Données projet'!$E$12+1,1))-AVERAGE(OFFSET($H$3,0,0,'Données projet'!$E$12+1,1))</f>
        <v>347.72886258008998</v>
      </c>
      <c r="CE142" s="62">
        <f t="shared" si="148"/>
        <v>176.81257896138806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0</v>
      </c>
      <c r="CL142" s="23">
        <f>EXP(-LN(2)/25)*CL141+(1-EXP(-LN(2)/25))/(LN(2)/25)*Calculateur!CG142*Calculateur!CI142*VLOOKUP('Données projet'!$B$12,Paramètres!$A$1:$I$89,3,0)*0.475*44/12</f>
        <v>0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0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3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5.6843418860808015E-14</v>
      </c>
      <c r="O143" s="14">
        <f>N143*VLOOKUP('Données projet'!$B$9,Paramètres!$A$1:$I$89,3,0)*VLOOKUP('Données projet'!$B$9,Paramètres!$A$1:$I$89,5,0)</f>
        <v>2.6602720026858149E-14</v>
      </c>
      <c r="P143" s="14">
        <f t="shared" si="141"/>
        <v>4.6624771586320878E-13</v>
      </c>
      <c r="Q143" s="22">
        <f t="shared" si="108"/>
        <v>8.583811758418665E-13</v>
      </c>
      <c r="R143" s="62">
        <f t="shared" si="109"/>
        <v>293.33333333333417</v>
      </c>
      <c r="S143" s="62">
        <f ca="1">AVERAGE(OFFSET($R$3,0,0,'Données projet'!$E$9+1,1))-AVERAGE(OFFSET($H$3,0,0,'Données projet'!$E$9+1,1))</f>
        <v>172.45217697899039</v>
      </c>
      <c r="T143" s="62">
        <f t="shared" si="142"/>
        <v>223.74038909289629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1.7399127507493803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4.3059830512990571E-16</v>
      </c>
      <c r="AC143" s="24">
        <f t="shared" si="111"/>
        <v>1.7399127507493808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364.3481978218424</v>
      </c>
      <c r="AO143" s="62">
        <f t="shared" si="144"/>
        <v>231.36959598460686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>
        <f>BD143*VLOOKUP('Données projet'!$B$11,Paramètres!$A$1:$I$89,3,0)*VLOOKUP('Données projet'!$B$11,Paramètres!$A$1:$I$89,5,0)</f>
        <v>0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403.50418598112844</v>
      </c>
      <c r="BJ143" s="62">
        <f t="shared" si="146"/>
        <v>254.25036207346591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0</v>
      </c>
      <c r="BQ143" s="23">
        <f>EXP(-LN(2)/25)*BQ142+(1-EXP(-LN(2)/25))/(LN(2)/25)*Calculateur!BL143*Calculateur!BN143*VLOOKUP('Données projet'!$B$11,Paramètres!$A$1:$I$89,3,0)*0.475*44/12</f>
        <v>0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0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-3.979039320256561E-13</v>
      </c>
      <c r="BZ143" s="14">
        <f>BY143*VLOOKUP('Données projet'!$B$12,Paramètres!$A$1:$I$89,3,0)*VLOOKUP('Données projet'!$B$12,Paramètres!$A$1:$I$89,5,0)</f>
        <v>-3.41401573678013E-13</v>
      </c>
      <c r="CA143" s="14" t="e">
        <f t="shared" si="147"/>
        <v>#NUM!</v>
      </c>
      <c r="CB143" s="22" t="e">
        <f t="shared" si="118"/>
        <v>#NUM!</v>
      </c>
      <c r="CC143" s="62" t="e">
        <f t="shared" si="119"/>
        <v>#NUM!</v>
      </c>
      <c r="CD143" s="62">
        <f ca="1">AVERAGE(OFFSET($CC$3,0,0,'Données projet'!$E$12+1,1))-AVERAGE(OFFSET($H$3,0,0,'Données projet'!$E$12+1,1))</f>
        <v>347.72886258008998</v>
      </c>
      <c r="CE143" s="62">
        <f t="shared" si="148"/>
        <v>176.81257896138806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0</v>
      </c>
      <c r="CL143" s="23">
        <f>EXP(-LN(2)/25)*CL142+(1-EXP(-LN(2)/25))/(LN(2)/25)*Calculateur!CG143*Calculateur!CI143*VLOOKUP('Données projet'!$B$12,Paramètres!$A$1:$I$89,3,0)*0.475*44/12</f>
        <v>0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0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3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5.6843418860808015E-14</v>
      </c>
      <c r="O144" s="14">
        <f>N144*VLOOKUP('Données projet'!$B$9,Paramètres!$A$1:$I$89,3,0)*VLOOKUP('Données projet'!$B$9,Paramètres!$A$1:$I$89,5,0)</f>
        <v>2.6602720026858149E-14</v>
      </c>
      <c r="P144" s="14">
        <f t="shared" si="141"/>
        <v>4.6624771586320878E-13</v>
      </c>
      <c r="Q144" s="22">
        <f t="shared" si="108"/>
        <v>8.583811758418665E-13</v>
      </c>
      <c r="R144" s="62">
        <f t="shared" si="109"/>
        <v>293.33333333333417</v>
      </c>
      <c r="S144" s="62">
        <f ca="1">AVERAGE(OFFSET($R$3,0,0,'Données projet'!$E$9+1,1))-AVERAGE(OFFSET($H$3,0,0,'Données projet'!$E$9+1,1))</f>
        <v>172.45217697899039</v>
      </c>
      <c r="T144" s="62">
        <f t="shared" si="142"/>
        <v>223.74038909289629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1.705794122949174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3.0447898152479048E-16</v>
      </c>
      <c r="AC144" s="24">
        <f t="shared" si="111"/>
        <v>1.7057941229491742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364.3481978218424</v>
      </c>
      <c r="AO144" s="62">
        <f t="shared" si="144"/>
        <v>231.36959598460686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>
        <f>BD144*VLOOKUP('Données projet'!$B$11,Paramètres!$A$1:$I$89,3,0)*VLOOKUP('Données projet'!$B$11,Paramètres!$A$1:$I$89,5,0)</f>
        <v>0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403.50418598112844</v>
      </c>
      <c r="BJ144" s="62">
        <f t="shared" si="146"/>
        <v>254.25036207346591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0</v>
      </c>
      <c r="BQ144" s="23">
        <f>EXP(-LN(2)/25)*BQ143+(1-EXP(-LN(2)/25))/(LN(2)/25)*Calculateur!BL144*Calculateur!BN144*VLOOKUP('Données projet'!$B$11,Paramètres!$A$1:$I$89,3,0)*0.475*44/12</f>
        <v>0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0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-3.979039320256561E-13</v>
      </c>
      <c r="BZ144" s="14">
        <f>BY144*VLOOKUP('Données projet'!$B$12,Paramètres!$A$1:$I$89,3,0)*VLOOKUP('Données projet'!$B$12,Paramètres!$A$1:$I$89,5,0)</f>
        <v>-3.41401573678013E-13</v>
      </c>
      <c r="CA144" s="14" t="e">
        <f t="shared" si="147"/>
        <v>#NUM!</v>
      </c>
      <c r="CB144" s="22" t="e">
        <f t="shared" si="118"/>
        <v>#NUM!</v>
      </c>
      <c r="CC144" s="62" t="e">
        <f t="shared" si="119"/>
        <v>#NUM!</v>
      </c>
      <c r="CD144" s="62">
        <f ca="1">AVERAGE(OFFSET($CC$3,0,0,'Données projet'!$E$12+1,1))-AVERAGE(OFFSET($H$3,0,0,'Données projet'!$E$12+1,1))</f>
        <v>347.72886258008998</v>
      </c>
      <c r="CE144" s="62">
        <f t="shared" si="148"/>
        <v>176.81257896138806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0</v>
      </c>
      <c r="CL144" s="23">
        <f>EXP(-LN(2)/25)*CL143+(1-EXP(-LN(2)/25))/(LN(2)/25)*Calculateur!CG144*Calculateur!CI144*VLOOKUP('Données projet'!$B$12,Paramètres!$A$1:$I$89,3,0)*0.475*44/12</f>
        <v>0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0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3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5.6843418860808015E-14</v>
      </c>
      <c r="O145" s="14">
        <f>N145*VLOOKUP('Données projet'!$B$9,Paramètres!$A$1:$I$89,3,0)*VLOOKUP('Données projet'!$B$9,Paramètres!$A$1:$I$89,5,0)</f>
        <v>2.6602720026858149E-14</v>
      </c>
      <c r="P145" s="14">
        <f t="shared" si="141"/>
        <v>4.6624771586320878E-13</v>
      </c>
      <c r="Q145" s="22">
        <f t="shared" si="108"/>
        <v>8.583811758418665E-13</v>
      </c>
      <c r="R145" s="62">
        <f t="shared" si="109"/>
        <v>293.33333333333417</v>
      </c>
      <c r="S145" s="62">
        <f ca="1">AVERAGE(OFFSET($R$3,0,0,'Données projet'!$E$9+1,1))-AVERAGE(OFFSET($H$3,0,0,'Données projet'!$E$9+1,1))</f>
        <v>172.45217697899039</v>
      </c>
      <c r="T145" s="62">
        <f t="shared" si="142"/>
        <v>223.74038909289629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1.6723445406298216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2.1529915256495288E-16</v>
      </c>
      <c r="AC145" s="24">
        <f t="shared" si="111"/>
        <v>1.6723445406298219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364.3481978218424</v>
      </c>
      <c r="AO145" s="62">
        <f t="shared" si="144"/>
        <v>231.36959598460686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>
        <f>BD145*VLOOKUP('Données projet'!$B$11,Paramètres!$A$1:$I$89,3,0)*VLOOKUP('Données projet'!$B$11,Paramètres!$A$1:$I$89,5,0)</f>
        <v>0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403.50418598112844</v>
      </c>
      <c r="BJ145" s="62">
        <f t="shared" si="146"/>
        <v>254.25036207346591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0</v>
      </c>
      <c r="BQ145" s="23">
        <f>EXP(-LN(2)/25)*BQ144+(1-EXP(-LN(2)/25))/(LN(2)/25)*Calculateur!BL145*Calculateur!BN145*VLOOKUP('Données projet'!$B$11,Paramètres!$A$1:$I$89,3,0)*0.475*44/12</f>
        <v>0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0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-3.979039320256561E-13</v>
      </c>
      <c r="BZ145" s="14">
        <f>BY145*VLOOKUP('Données projet'!$B$12,Paramètres!$A$1:$I$89,3,0)*VLOOKUP('Données projet'!$B$12,Paramètres!$A$1:$I$89,5,0)</f>
        <v>-3.41401573678013E-13</v>
      </c>
      <c r="CA145" s="14" t="e">
        <f t="shared" si="147"/>
        <v>#NUM!</v>
      </c>
      <c r="CB145" s="22" t="e">
        <f t="shared" si="118"/>
        <v>#NUM!</v>
      </c>
      <c r="CC145" s="62" t="e">
        <f t="shared" si="119"/>
        <v>#NUM!</v>
      </c>
      <c r="CD145" s="62">
        <f ca="1">AVERAGE(OFFSET($CC$3,0,0,'Données projet'!$E$12+1,1))-AVERAGE(OFFSET($H$3,0,0,'Données projet'!$E$12+1,1))</f>
        <v>347.72886258008998</v>
      </c>
      <c r="CE145" s="62">
        <f t="shared" si="148"/>
        <v>176.81257896138806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0</v>
      </c>
      <c r="CL145" s="23">
        <f>EXP(-LN(2)/25)*CL144+(1-EXP(-LN(2)/25))/(LN(2)/25)*Calculateur!CG145*Calculateur!CI145*VLOOKUP('Données projet'!$B$12,Paramètres!$A$1:$I$89,3,0)*0.475*44/12</f>
        <v>0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0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3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5.6843418860808015E-14</v>
      </c>
      <c r="O146" s="14">
        <f>N146*VLOOKUP('Données projet'!$B$9,Paramètres!$A$1:$I$89,3,0)*VLOOKUP('Données projet'!$B$9,Paramètres!$A$1:$I$89,5,0)</f>
        <v>2.6602720026858149E-14</v>
      </c>
      <c r="P146" s="14">
        <f t="shared" si="141"/>
        <v>4.6624771586320878E-13</v>
      </c>
      <c r="Q146" s="22">
        <f t="shared" si="108"/>
        <v>8.583811758418665E-13</v>
      </c>
      <c r="R146" s="62">
        <f t="shared" si="109"/>
        <v>293.33333333333417</v>
      </c>
      <c r="S146" s="62">
        <f ca="1">AVERAGE(OFFSET($R$3,0,0,'Données projet'!$E$9+1,1))-AVERAGE(OFFSET($H$3,0,0,'Données projet'!$E$9+1,1))</f>
        <v>172.45217697899039</v>
      </c>
      <c r="T146" s="62">
        <f t="shared" si="142"/>
        <v>223.74038909289629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1.639550884217521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1.5223949076239527E-16</v>
      </c>
      <c r="AC146" s="24">
        <f t="shared" si="111"/>
        <v>1.6395508842175213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364.3481978218424</v>
      </c>
      <c r="AO146" s="62">
        <f t="shared" si="144"/>
        <v>231.36959598460686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>
        <f>BD146*VLOOKUP('Données projet'!$B$11,Paramètres!$A$1:$I$89,3,0)*VLOOKUP('Données projet'!$B$11,Paramètres!$A$1:$I$89,5,0)</f>
        <v>0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403.50418598112844</v>
      </c>
      <c r="BJ146" s="62">
        <f t="shared" si="146"/>
        <v>254.25036207346591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0</v>
      </c>
      <c r="BQ146" s="23">
        <f>EXP(-LN(2)/25)*BQ145+(1-EXP(-LN(2)/25))/(LN(2)/25)*Calculateur!BL146*Calculateur!BN146*VLOOKUP('Données projet'!$B$11,Paramètres!$A$1:$I$89,3,0)*0.475*44/12</f>
        <v>0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0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-3.979039320256561E-13</v>
      </c>
      <c r="BZ146" s="14">
        <f>BY146*VLOOKUP('Données projet'!$B$12,Paramètres!$A$1:$I$89,3,0)*VLOOKUP('Données projet'!$B$12,Paramètres!$A$1:$I$89,5,0)</f>
        <v>-3.41401573678013E-13</v>
      </c>
      <c r="CA146" s="14" t="e">
        <f t="shared" si="147"/>
        <v>#NUM!</v>
      </c>
      <c r="CB146" s="22" t="e">
        <f t="shared" si="118"/>
        <v>#NUM!</v>
      </c>
      <c r="CC146" s="62" t="e">
        <f t="shared" si="119"/>
        <v>#NUM!</v>
      </c>
      <c r="CD146" s="62">
        <f ca="1">AVERAGE(OFFSET($CC$3,0,0,'Données projet'!$E$12+1,1))-AVERAGE(OFFSET($H$3,0,0,'Données projet'!$E$12+1,1))</f>
        <v>347.72886258008998</v>
      </c>
      <c r="CE146" s="62">
        <f t="shared" si="148"/>
        <v>176.81257896138806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0</v>
      </c>
      <c r="CL146" s="23">
        <f>EXP(-LN(2)/25)*CL145+(1-EXP(-LN(2)/25))/(LN(2)/25)*Calculateur!CG146*Calculateur!CI146*VLOOKUP('Données projet'!$B$12,Paramètres!$A$1:$I$89,3,0)*0.475*44/12</f>
        <v>0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0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3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5.6843418860808015E-14</v>
      </c>
      <c r="O147" s="14">
        <f>N147*VLOOKUP('Données projet'!$B$9,Paramètres!$A$1:$I$89,3,0)*VLOOKUP('Données projet'!$B$9,Paramètres!$A$1:$I$89,5,0)</f>
        <v>2.6602720026858149E-14</v>
      </c>
      <c r="P147" s="14">
        <f t="shared" si="141"/>
        <v>4.6624771586320878E-13</v>
      </c>
      <c r="Q147" s="22">
        <f t="shared" si="108"/>
        <v>8.583811758418665E-13</v>
      </c>
      <c r="R147" s="62">
        <f t="shared" si="109"/>
        <v>293.33333333333417</v>
      </c>
      <c r="S147" s="62">
        <f ca="1">AVERAGE(OFFSET($R$3,0,0,'Données projet'!$E$9+1,1))-AVERAGE(OFFSET($H$3,0,0,'Données projet'!$E$9+1,1))</f>
        <v>172.45217697899039</v>
      </c>
      <c r="T147" s="62">
        <f t="shared" si="142"/>
        <v>223.74038909289629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1.6074002914053103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1.0764957628247647E-16</v>
      </c>
      <c r="AC147" s="24">
        <f t="shared" si="111"/>
        <v>1.6074002914053103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364.3481978218424</v>
      </c>
      <c r="AO147" s="62">
        <f t="shared" si="144"/>
        <v>231.36959598460686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>
        <f>BD147*VLOOKUP('Données projet'!$B$11,Paramètres!$A$1:$I$89,3,0)*VLOOKUP('Données projet'!$B$11,Paramètres!$A$1:$I$89,5,0)</f>
        <v>0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403.50418598112844</v>
      </c>
      <c r="BJ147" s="62">
        <f t="shared" si="146"/>
        <v>254.25036207346591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0</v>
      </c>
      <c r="BQ147" s="23">
        <f>EXP(-LN(2)/25)*BQ146+(1-EXP(-LN(2)/25))/(LN(2)/25)*Calculateur!BL147*Calculateur!BN147*VLOOKUP('Données projet'!$B$11,Paramètres!$A$1:$I$89,3,0)*0.475*44/12</f>
        <v>0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0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-3.979039320256561E-13</v>
      </c>
      <c r="BZ147" s="14">
        <f>BY147*VLOOKUP('Données projet'!$B$12,Paramètres!$A$1:$I$89,3,0)*VLOOKUP('Données projet'!$B$12,Paramètres!$A$1:$I$89,5,0)</f>
        <v>-3.41401573678013E-13</v>
      </c>
      <c r="CA147" s="14" t="e">
        <f t="shared" si="147"/>
        <v>#NUM!</v>
      </c>
      <c r="CB147" s="22" t="e">
        <f t="shared" si="118"/>
        <v>#NUM!</v>
      </c>
      <c r="CC147" s="62" t="e">
        <f t="shared" si="119"/>
        <v>#NUM!</v>
      </c>
      <c r="CD147" s="62">
        <f ca="1">AVERAGE(OFFSET($CC$3,0,0,'Données projet'!$E$12+1,1))-AVERAGE(OFFSET($H$3,0,0,'Données projet'!$E$12+1,1))</f>
        <v>347.72886258008998</v>
      </c>
      <c r="CE147" s="62">
        <f t="shared" si="148"/>
        <v>176.81257896138806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0</v>
      </c>
      <c r="CL147" s="23">
        <f>EXP(-LN(2)/25)*CL146+(1-EXP(-LN(2)/25))/(LN(2)/25)*Calculateur!CG147*Calculateur!CI147*VLOOKUP('Données projet'!$B$12,Paramètres!$A$1:$I$89,3,0)*0.475*44/12</f>
        <v>0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0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3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5.6843418860808015E-14</v>
      </c>
      <c r="O148" s="14">
        <f>N148*VLOOKUP('Données projet'!$B$9,Paramètres!$A$1:$I$89,3,0)*VLOOKUP('Données projet'!$B$9,Paramètres!$A$1:$I$89,5,0)</f>
        <v>2.6602720026858149E-14</v>
      </c>
      <c r="P148" s="14">
        <f t="shared" si="141"/>
        <v>4.6624771586320878E-13</v>
      </c>
      <c r="Q148" s="22">
        <f t="shared" si="108"/>
        <v>8.583811758418665E-13</v>
      </c>
      <c r="R148" s="62">
        <f t="shared" si="109"/>
        <v>293.33333333333417</v>
      </c>
      <c r="S148" s="62">
        <f ca="1">AVERAGE(OFFSET($R$3,0,0,'Données projet'!$E$9+1,1))-AVERAGE(OFFSET($H$3,0,0,'Données projet'!$E$9+1,1))</f>
        <v>172.45217697899039</v>
      </c>
      <c r="T148" s="62">
        <f t="shared" si="142"/>
        <v>223.74038909289629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1.5758801521082217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7.6119745381197645E-17</v>
      </c>
      <c r="AC148" s="24">
        <f t="shared" si="111"/>
        <v>1.5758801521082217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364.3481978218424</v>
      </c>
      <c r="AO148" s="62">
        <f t="shared" si="144"/>
        <v>231.36959598460686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>
        <f>BD148*VLOOKUP('Données projet'!$B$11,Paramètres!$A$1:$I$89,3,0)*VLOOKUP('Données projet'!$B$11,Paramètres!$A$1:$I$89,5,0)</f>
        <v>0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403.50418598112844</v>
      </c>
      <c r="BJ148" s="62">
        <f t="shared" si="146"/>
        <v>254.25036207346591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0</v>
      </c>
      <c r="BQ148" s="23">
        <f>EXP(-LN(2)/25)*BQ147+(1-EXP(-LN(2)/25))/(LN(2)/25)*Calculateur!BL148*Calculateur!BN148*VLOOKUP('Données projet'!$B$11,Paramètres!$A$1:$I$89,3,0)*0.475*44/12</f>
        <v>0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0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-3.979039320256561E-13</v>
      </c>
      <c r="BZ148" s="14">
        <f>BY148*VLOOKUP('Données projet'!$B$12,Paramètres!$A$1:$I$89,3,0)*VLOOKUP('Données projet'!$B$12,Paramètres!$A$1:$I$89,5,0)</f>
        <v>-3.41401573678013E-13</v>
      </c>
      <c r="CA148" s="14" t="e">
        <f t="shared" si="147"/>
        <v>#NUM!</v>
      </c>
      <c r="CB148" s="22" t="e">
        <f t="shared" si="118"/>
        <v>#NUM!</v>
      </c>
      <c r="CC148" s="62" t="e">
        <f t="shared" si="119"/>
        <v>#NUM!</v>
      </c>
      <c r="CD148" s="62">
        <f ca="1">AVERAGE(OFFSET($CC$3,0,0,'Données projet'!$E$12+1,1))-AVERAGE(OFFSET($H$3,0,0,'Données projet'!$E$12+1,1))</f>
        <v>347.72886258008998</v>
      </c>
      <c r="CE148" s="62">
        <f t="shared" si="148"/>
        <v>176.81257896138806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0</v>
      </c>
      <c r="CL148" s="23">
        <f>EXP(-LN(2)/25)*CL147+(1-EXP(-LN(2)/25))/(LN(2)/25)*Calculateur!CG148*Calculateur!CI148*VLOOKUP('Données projet'!$B$12,Paramètres!$A$1:$I$89,3,0)*0.475*44/12</f>
        <v>0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0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3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5.6843418860808015E-14</v>
      </c>
      <c r="O149" s="14">
        <f>N149*VLOOKUP('Données projet'!$B$9,Paramètres!$A$1:$I$89,3,0)*VLOOKUP('Données projet'!$B$9,Paramètres!$A$1:$I$89,5,0)</f>
        <v>2.6602720026858149E-14</v>
      </c>
      <c r="P149" s="14">
        <f t="shared" si="141"/>
        <v>4.6624771586320878E-13</v>
      </c>
      <c r="Q149" s="22">
        <f t="shared" si="108"/>
        <v>8.583811758418665E-13</v>
      </c>
      <c r="R149" s="62">
        <f t="shared" si="109"/>
        <v>293.33333333333417</v>
      </c>
      <c r="S149" s="62">
        <f ca="1">AVERAGE(OFFSET($R$3,0,0,'Données projet'!$E$9+1,1))-AVERAGE(OFFSET($H$3,0,0,'Données projet'!$E$9+1,1))</f>
        <v>172.45217697899039</v>
      </c>
      <c r="T149" s="62">
        <f t="shared" si="142"/>
        <v>223.74038909289629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1.5449781035173624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5.3824788141238239E-17</v>
      </c>
      <c r="AC149" s="24">
        <f t="shared" si="111"/>
        <v>1.5449781035173624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364.3481978218424</v>
      </c>
      <c r="AO149" s="62">
        <f t="shared" si="144"/>
        <v>231.36959598460686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>
        <f>BD149*VLOOKUP('Données projet'!$B$11,Paramètres!$A$1:$I$89,3,0)*VLOOKUP('Données projet'!$B$11,Paramètres!$A$1:$I$89,5,0)</f>
        <v>0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403.50418598112844</v>
      </c>
      <c r="BJ149" s="62">
        <f t="shared" si="146"/>
        <v>254.25036207346591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0</v>
      </c>
      <c r="BQ149" s="23">
        <f>EXP(-LN(2)/25)*BQ148+(1-EXP(-LN(2)/25))/(LN(2)/25)*Calculateur!BL149*Calculateur!BN149*VLOOKUP('Données projet'!$B$11,Paramètres!$A$1:$I$89,3,0)*0.475*44/12</f>
        <v>0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0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-3.979039320256561E-13</v>
      </c>
      <c r="BZ149" s="14">
        <f>BY149*VLOOKUP('Données projet'!$B$12,Paramètres!$A$1:$I$89,3,0)*VLOOKUP('Données projet'!$B$12,Paramètres!$A$1:$I$89,5,0)</f>
        <v>-3.41401573678013E-13</v>
      </c>
      <c r="CA149" s="14" t="e">
        <f t="shared" si="147"/>
        <v>#NUM!</v>
      </c>
      <c r="CB149" s="22" t="e">
        <f t="shared" si="118"/>
        <v>#NUM!</v>
      </c>
      <c r="CC149" s="62" t="e">
        <f t="shared" si="119"/>
        <v>#NUM!</v>
      </c>
      <c r="CD149" s="62">
        <f ca="1">AVERAGE(OFFSET($CC$3,0,0,'Données projet'!$E$12+1,1))-AVERAGE(OFFSET($H$3,0,0,'Données projet'!$E$12+1,1))</f>
        <v>347.72886258008998</v>
      </c>
      <c r="CE149" s="62">
        <f t="shared" si="148"/>
        <v>176.81257896138806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0</v>
      </c>
      <c r="CL149" s="23">
        <f>EXP(-LN(2)/25)*CL148+(1-EXP(-LN(2)/25))/(LN(2)/25)*Calculateur!CG149*Calculateur!CI149*VLOOKUP('Données projet'!$B$12,Paramètres!$A$1:$I$89,3,0)*0.475*44/12</f>
        <v>0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0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3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5.6843418860808015E-14</v>
      </c>
      <c r="O150" s="14">
        <f>N150*VLOOKUP('Données projet'!$B$9,Paramètres!$A$1:$I$89,3,0)*VLOOKUP('Données projet'!$B$9,Paramètres!$A$1:$I$89,5,0)</f>
        <v>2.6602720026858149E-14</v>
      </c>
      <c r="P150" s="14">
        <f t="shared" si="141"/>
        <v>4.6624771586320878E-13</v>
      </c>
      <c r="Q150" s="22">
        <f t="shared" si="108"/>
        <v>8.583811758418665E-13</v>
      </c>
      <c r="R150" s="62">
        <f t="shared" si="109"/>
        <v>293.33333333333417</v>
      </c>
      <c r="S150" s="62">
        <f ca="1">AVERAGE(OFFSET($R$3,0,0,'Données projet'!$E$9+1,1))-AVERAGE(OFFSET($H$3,0,0,'Données projet'!$E$9+1,1))</f>
        <v>172.45217697899039</v>
      </c>
      <c r="T150" s="62">
        <f t="shared" si="142"/>
        <v>223.74038909289629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1.5146820252509814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3.8059872690598829E-17</v>
      </c>
      <c r="AC150" s="24">
        <f t="shared" si="111"/>
        <v>1.5146820252509814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364.3481978218424</v>
      </c>
      <c r="AO150" s="62">
        <f t="shared" si="144"/>
        <v>231.36959598460686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>
        <f>BD150*VLOOKUP('Données projet'!$B$11,Paramètres!$A$1:$I$89,3,0)*VLOOKUP('Données projet'!$B$11,Paramètres!$A$1:$I$89,5,0)</f>
        <v>0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403.50418598112844</v>
      </c>
      <c r="BJ150" s="62">
        <f t="shared" si="146"/>
        <v>254.25036207346591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0</v>
      </c>
      <c r="BQ150" s="23">
        <f>EXP(-LN(2)/25)*BQ149+(1-EXP(-LN(2)/25))/(LN(2)/25)*Calculateur!BL150*Calculateur!BN150*VLOOKUP('Données projet'!$B$11,Paramètres!$A$1:$I$89,3,0)*0.475*44/12</f>
        <v>0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0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-3.979039320256561E-13</v>
      </c>
      <c r="BZ150" s="14">
        <f>BY150*VLOOKUP('Données projet'!$B$12,Paramètres!$A$1:$I$89,3,0)*VLOOKUP('Données projet'!$B$12,Paramètres!$A$1:$I$89,5,0)</f>
        <v>-3.41401573678013E-13</v>
      </c>
      <c r="CA150" s="14" t="e">
        <f t="shared" si="147"/>
        <v>#NUM!</v>
      </c>
      <c r="CB150" s="22" t="e">
        <f t="shared" si="118"/>
        <v>#NUM!</v>
      </c>
      <c r="CC150" s="62" t="e">
        <f t="shared" si="119"/>
        <v>#NUM!</v>
      </c>
      <c r="CD150" s="62">
        <f ca="1">AVERAGE(OFFSET($CC$3,0,0,'Données projet'!$E$12+1,1))-AVERAGE(OFFSET($H$3,0,0,'Données projet'!$E$12+1,1))</f>
        <v>347.72886258008998</v>
      </c>
      <c r="CE150" s="62">
        <f t="shared" si="148"/>
        <v>176.81257896138806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0</v>
      </c>
      <c r="CL150" s="23">
        <f>EXP(-LN(2)/25)*CL149+(1-EXP(-LN(2)/25))/(LN(2)/25)*Calculateur!CG150*Calculateur!CI150*VLOOKUP('Données projet'!$B$12,Paramètres!$A$1:$I$89,3,0)*0.475*44/12</f>
        <v>0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0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3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5.6843418860808015E-14</v>
      </c>
      <c r="O151" s="14">
        <f>N151*VLOOKUP('Données projet'!$B$9,Paramètres!$A$1:$I$89,3,0)*VLOOKUP('Données projet'!$B$9,Paramètres!$A$1:$I$89,5,0)</f>
        <v>2.6602720026858149E-14</v>
      </c>
      <c r="P151" s="14">
        <f t="shared" si="141"/>
        <v>4.6624771586320878E-13</v>
      </c>
      <c r="Q151" s="22">
        <f t="shared" si="108"/>
        <v>8.583811758418665E-13</v>
      </c>
      <c r="R151" s="62">
        <f t="shared" si="109"/>
        <v>293.33333333333417</v>
      </c>
      <c r="S151" s="62">
        <f ca="1">AVERAGE(OFFSET($R$3,0,0,'Données projet'!$E$9+1,1))-AVERAGE(OFFSET($H$3,0,0,'Données projet'!$E$9+1,1))</f>
        <v>172.45217697899039</v>
      </c>
      <c r="T151" s="62">
        <f t="shared" si="142"/>
        <v>223.74038909289629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1.484980034600621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2.6912394070619123E-17</v>
      </c>
      <c r="AC151" s="24">
        <f t="shared" si="111"/>
        <v>1.484980034600621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364.3481978218424</v>
      </c>
      <c r="AO151" s="62">
        <f t="shared" si="144"/>
        <v>231.36959598460686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>
        <f>BD151*VLOOKUP('Données projet'!$B$11,Paramètres!$A$1:$I$89,3,0)*VLOOKUP('Données projet'!$B$11,Paramètres!$A$1:$I$89,5,0)</f>
        <v>0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403.50418598112844</v>
      </c>
      <c r="BJ151" s="62">
        <f t="shared" si="146"/>
        <v>254.25036207346591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0</v>
      </c>
      <c r="BQ151" s="23">
        <f>EXP(-LN(2)/25)*BQ150+(1-EXP(-LN(2)/25))/(LN(2)/25)*Calculateur!BL151*Calculateur!BN151*VLOOKUP('Données projet'!$B$11,Paramètres!$A$1:$I$89,3,0)*0.475*44/12</f>
        <v>0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0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-3.979039320256561E-13</v>
      </c>
      <c r="BZ151" s="14">
        <f>BY151*VLOOKUP('Données projet'!$B$12,Paramètres!$A$1:$I$89,3,0)*VLOOKUP('Données projet'!$B$12,Paramètres!$A$1:$I$89,5,0)</f>
        <v>-3.41401573678013E-13</v>
      </c>
      <c r="CA151" s="14" t="e">
        <f t="shared" si="147"/>
        <v>#NUM!</v>
      </c>
      <c r="CB151" s="22" t="e">
        <f t="shared" si="118"/>
        <v>#NUM!</v>
      </c>
      <c r="CC151" s="62" t="e">
        <f t="shared" si="119"/>
        <v>#NUM!</v>
      </c>
      <c r="CD151" s="62">
        <f ca="1">AVERAGE(OFFSET($CC$3,0,0,'Données projet'!$E$12+1,1))-AVERAGE(OFFSET($H$3,0,0,'Données projet'!$E$12+1,1))</f>
        <v>347.72886258008998</v>
      </c>
      <c r="CE151" s="62">
        <f t="shared" si="148"/>
        <v>176.81257896138806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0</v>
      </c>
      <c r="CL151" s="23">
        <f>EXP(-LN(2)/25)*CL150+(1-EXP(-LN(2)/25))/(LN(2)/25)*Calculateur!CG151*Calculateur!CI151*VLOOKUP('Données projet'!$B$12,Paramètres!$A$1:$I$89,3,0)*0.475*44/12</f>
        <v>0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0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3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5.6843418860808015E-14</v>
      </c>
      <c r="O152" s="14">
        <f>N152*VLOOKUP('Données projet'!$B$9,Paramètres!$A$1:$I$89,3,0)*VLOOKUP('Données projet'!$B$9,Paramètres!$A$1:$I$89,5,0)</f>
        <v>2.6602720026858149E-14</v>
      </c>
      <c r="P152" s="14">
        <f t="shared" si="141"/>
        <v>4.6624771586320878E-13</v>
      </c>
      <c r="Q152" s="22">
        <f t="shared" si="108"/>
        <v>8.583811758418665E-13</v>
      </c>
      <c r="R152" s="62">
        <f t="shared" si="109"/>
        <v>293.33333333333417</v>
      </c>
      <c r="S152" s="62">
        <f ca="1">AVERAGE(OFFSET($R$3,0,0,'Données projet'!$E$9+1,1))-AVERAGE(OFFSET($H$3,0,0,'Données projet'!$E$9+1,1))</f>
        <v>172.45217697899039</v>
      </c>
      <c r="T152" s="62">
        <f t="shared" si="142"/>
        <v>223.74038909289629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1.4558604818704888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1.9029936345299417E-17</v>
      </c>
      <c r="AC152" s="24">
        <f t="shared" si="111"/>
        <v>1.4558604818704888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364.3481978218424</v>
      </c>
      <c r="AO152" s="62">
        <f t="shared" si="144"/>
        <v>231.36959598460686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>
        <f>BD152*VLOOKUP('Données projet'!$B$11,Paramètres!$A$1:$I$89,3,0)*VLOOKUP('Données projet'!$B$11,Paramètres!$A$1:$I$89,5,0)</f>
        <v>0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403.50418598112844</v>
      </c>
      <c r="BJ152" s="62">
        <f t="shared" si="146"/>
        <v>254.25036207346591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0</v>
      </c>
      <c r="BQ152" s="23">
        <f>EXP(-LN(2)/25)*BQ151+(1-EXP(-LN(2)/25))/(LN(2)/25)*Calculateur!BL152*Calculateur!BN152*VLOOKUP('Données projet'!$B$11,Paramètres!$A$1:$I$89,3,0)*0.475*44/12</f>
        <v>0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0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-3.979039320256561E-13</v>
      </c>
      <c r="BZ152" s="14">
        <f>BY152*VLOOKUP('Données projet'!$B$12,Paramètres!$A$1:$I$89,3,0)*VLOOKUP('Données projet'!$B$12,Paramètres!$A$1:$I$89,5,0)</f>
        <v>-3.41401573678013E-13</v>
      </c>
      <c r="CA152" s="14" t="e">
        <f t="shared" si="147"/>
        <v>#NUM!</v>
      </c>
      <c r="CB152" s="22" t="e">
        <f t="shared" si="118"/>
        <v>#NUM!</v>
      </c>
      <c r="CC152" s="62" t="e">
        <f t="shared" si="119"/>
        <v>#NUM!</v>
      </c>
      <c r="CD152" s="62">
        <f ca="1">AVERAGE(OFFSET($CC$3,0,0,'Données projet'!$E$12+1,1))-AVERAGE(OFFSET($H$3,0,0,'Données projet'!$E$12+1,1))</f>
        <v>347.72886258008998</v>
      </c>
      <c r="CE152" s="62">
        <f t="shared" si="148"/>
        <v>176.81257896138806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0</v>
      </c>
      <c r="CL152" s="23">
        <f>EXP(-LN(2)/25)*CL151+(1-EXP(-LN(2)/25))/(LN(2)/25)*Calculateur!CG152*Calculateur!CI152*VLOOKUP('Données projet'!$B$12,Paramètres!$A$1:$I$89,3,0)*0.475*44/12</f>
        <v>0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0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3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5.6843418860808015E-14</v>
      </c>
      <c r="O153" s="14">
        <f>N153*VLOOKUP('Données projet'!$B$9,Paramètres!$A$1:$I$89,3,0)*VLOOKUP('Données projet'!$B$9,Paramètres!$A$1:$I$89,5,0)</f>
        <v>2.6602720026858149E-14</v>
      </c>
      <c r="P153" s="14">
        <f t="shared" si="141"/>
        <v>4.6624771586320878E-13</v>
      </c>
      <c r="Q153" s="22">
        <f t="shared" si="108"/>
        <v>8.583811758418665E-13</v>
      </c>
      <c r="R153" s="62">
        <f t="shared" si="109"/>
        <v>293.33333333333417</v>
      </c>
      <c r="S153" s="62">
        <f ca="1">AVERAGE(OFFSET($R$3,0,0,'Données projet'!$E$9+1,1))-AVERAGE(OFFSET($H$3,0,0,'Données projet'!$E$9+1,1))</f>
        <v>172.45217697899039</v>
      </c>
      <c r="T153" s="62">
        <f t="shared" si="142"/>
        <v>223.74038909289629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1.4273119458082211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1.3456197035309564E-17</v>
      </c>
      <c r="AC153" s="24">
        <f t="shared" si="111"/>
        <v>1.4273119458082211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364.3481978218424</v>
      </c>
      <c r="AO153" s="62">
        <f t="shared" si="144"/>
        <v>231.36959598460686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>
        <f>BD153*VLOOKUP('Données projet'!$B$11,Paramètres!$A$1:$I$89,3,0)*VLOOKUP('Données projet'!$B$11,Paramètres!$A$1:$I$89,5,0)</f>
        <v>0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403.50418598112844</v>
      </c>
      <c r="BJ153" s="62">
        <f t="shared" si="146"/>
        <v>254.25036207346591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0</v>
      </c>
      <c r="BQ153" s="23">
        <f>EXP(-LN(2)/25)*BQ152+(1-EXP(-LN(2)/25))/(LN(2)/25)*Calculateur!BL153*Calculateur!BN153*VLOOKUP('Données projet'!$B$11,Paramètres!$A$1:$I$89,3,0)*0.475*44/12</f>
        <v>0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0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-3.979039320256561E-13</v>
      </c>
      <c r="BZ153" s="14">
        <f>BY153*VLOOKUP('Données projet'!$B$12,Paramètres!$A$1:$I$89,3,0)*VLOOKUP('Données projet'!$B$12,Paramètres!$A$1:$I$89,5,0)</f>
        <v>-3.41401573678013E-13</v>
      </c>
      <c r="CA153" s="14" t="e">
        <f t="shared" si="147"/>
        <v>#NUM!</v>
      </c>
      <c r="CB153" s="22" t="e">
        <f t="shared" si="118"/>
        <v>#NUM!</v>
      </c>
      <c r="CC153" s="62" t="e">
        <f t="shared" si="119"/>
        <v>#NUM!</v>
      </c>
      <c r="CD153" s="62">
        <f ca="1">AVERAGE(OFFSET($CC$3,0,0,'Données projet'!$E$12+1,1))-AVERAGE(OFFSET($H$3,0,0,'Données projet'!$E$12+1,1))</f>
        <v>347.72886258008998</v>
      </c>
      <c r="CE153" s="62">
        <f t="shared" si="148"/>
        <v>176.81257896138806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0</v>
      </c>
      <c r="CL153" s="23">
        <f>EXP(-LN(2)/25)*CL152+(1-EXP(-LN(2)/25))/(LN(2)/25)*Calculateur!CG153*Calculateur!CI153*VLOOKUP('Données projet'!$B$12,Paramètres!$A$1:$I$89,3,0)*0.475*44/12</f>
        <v>0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0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3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5.6843418860808015E-14</v>
      </c>
      <c r="O154" s="14">
        <f>N154*VLOOKUP('Données projet'!$B$9,Paramètres!$A$1:$I$89,3,0)*VLOOKUP('Données projet'!$B$9,Paramètres!$A$1:$I$89,5,0)</f>
        <v>2.6602720026858149E-14</v>
      </c>
      <c r="P154" s="14">
        <f t="shared" si="141"/>
        <v>4.6624771586320878E-13</v>
      </c>
      <c r="Q154" s="22">
        <f t="shared" ref="Q154:Q203" si="162">(O154+P154)*0.475*44/12</f>
        <v>8.583811758418665E-13</v>
      </c>
      <c r="R154" s="62">
        <f t="shared" si="109"/>
        <v>293.33333333333417</v>
      </c>
      <c r="S154" s="62">
        <f ca="1">AVERAGE(OFFSET($R$3,0,0,'Données projet'!$E$9+1,1))-AVERAGE(OFFSET($H$3,0,0,'Données projet'!$E$9+1,1))</f>
        <v>172.45217697899039</v>
      </c>
      <c r="T154" s="62">
        <f t="shared" si="142"/>
        <v>223.74038909289629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1.3993232291252466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9.5149681726497103E-18</v>
      </c>
      <c r="AC154" s="24">
        <f t="shared" ref="AC154:AC203" si="163">SUM(Z154:AB154)</f>
        <v>1.3993232291252466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364.3481978218424</v>
      </c>
      <c r="AO154" s="62">
        <f t="shared" si="144"/>
        <v>231.36959598460686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>
        <f>BD154*VLOOKUP('Données projet'!$B$11,Paramètres!$A$1:$I$89,3,0)*VLOOKUP('Données projet'!$B$11,Paramètres!$A$1:$I$89,5,0)</f>
        <v>0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403.50418598112844</v>
      </c>
      <c r="BJ154" s="62">
        <f t="shared" si="146"/>
        <v>254.25036207346591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0</v>
      </c>
      <c r="BQ154" s="23">
        <f>EXP(-LN(2)/25)*BQ153+(1-EXP(-LN(2)/25))/(LN(2)/25)*Calculateur!BL154*Calculateur!BN154*VLOOKUP('Données projet'!$B$11,Paramètres!$A$1:$I$89,3,0)*0.475*44/12</f>
        <v>0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0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-3.979039320256561E-13</v>
      </c>
      <c r="BZ154" s="14">
        <f>BY154*VLOOKUP('Données projet'!$B$12,Paramètres!$A$1:$I$89,3,0)*VLOOKUP('Données projet'!$B$12,Paramètres!$A$1:$I$89,5,0)</f>
        <v>-3.41401573678013E-13</v>
      </c>
      <c r="CA154" s="14" t="e">
        <f t="shared" ref="CA154:CA203" si="170">EXP(-1.0587+0.8836*LN(BZ154)+0.284)</f>
        <v>#NUM!</v>
      </c>
      <c r="CB154" s="22" t="e">
        <f t="shared" ref="CB154:CB203" si="171">(BZ154+CA154)*0.475*44/12</f>
        <v>#NUM!</v>
      </c>
      <c r="CC154" s="62" t="e">
        <f t="shared" si="119"/>
        <v>#NUM!</v>
      </c>
      <c r="CD154" s="62">
        <f ca="1">AVERAGE(OFFSET($CC$3,0,0,'Données projet'!$E$12+1,1))-AVERAGE(OFFSET($H$3,0,0,'Données projet'!$E$12+1,1))</f>
        <v>347.72886258008998</v>
      </c>
      <c r="CE154" s="62">
        <f t="shared" si="148"/>
        <v>176.81257896138806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0</v>
      </c>
      <c r="CL154" s="23">
        <f>EXP(-LN(2)/25)*CL153+(1-EXP(-LN(2)/25))/(LN(2)/25)*Calculateur!CG154*Calculateur!CI154*VLOOKUP('Données projet'!$B$12,Paramètres!$A$1:$I$89,3,0)*0.475*44/12</f>
        <v>0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0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3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5.6843418860808015E-14</v>
      </c>
      <c r="O155" s="14">
        <f>N155*VLOOKUP('Données projet'!$B$9,Paramètres!$A$1:$I$89,3,0)*VLOOKUP('Données projet'!$B$9,Paramètres!$A$1:$I$89,5,0)</f>
        <v>2.6602720026858149E-14</v>
      </c>
      <c r="P155" s="14">
        <f t="shared" si="141"/>
        <v>4.6624771586320878E-13</v>
      </c>
      <c r="Q155" s="22">
        <f t="shared" si="162"/>
        <v>8.583811758418665E-13</v>
      </c>
      <c r="R155" s="62">
        <f t="shared" si="109"/>
        <v>293.33333333333417</v>
      </c>
      <c r="S155" s="62">
        <f ca="1">AVERAGE(OFFSET($R$3,0,0,'Données projet'!$E$9+1,1))-AVERAGE(OFFSET($H$3,0,0,'Données projet'!$E$9+1,1))</f>
        <v>172.45217697899039</v>
      </c>
      <c r="T155" s="62">
        <f t="shared" si="142"/>
        <v>223.74038909289629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1.371883354104994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6.7280985176547829E-18</v>
      </c>
      <c r="AC155" s="24">
        <f t="shared" si="163"/>
        <v>1.371883354104994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364.3481978218424</v>
      </c>
      <c r="AO155" s="62">
        <f t="shared" si="144"/>
        <v>231.36959598460686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>
        <f>BD155*VLOOKUP('Données projet'!$B$11,Paramètres!$A$1:$I$89,3,0)*VLOOKUP('Données projet'!$B$11,Paramètres!$A$1:$I$89,5,0)</f>
        <v>0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403.50418598112844</v>
      </c>
      <c r="BJ155" s="62">
        <f t="shared" si="146"/>
        <v>254.25036207346591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0</v>
      </c>
      <c r="BQ155" s="23">
        <f>EXP(-LN(2)/25)*BQ154+(1-EXP(-LN(2)/25))/(LN(2)/25)*Calculateur!BL155*Calculateur!BN155*VLOOKUP('Données projet'!$B$11,Paramètres!$A$1:$I$89,3,0)*0.475*44/12</f>
        <v>0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0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-3.979039320256561E-13</v>
      </c>
      <c r="BZ155" s="14">
        <f>BY155*VLOOKUP('Données projet'!$B$12,Paramètres!$A$1:$I$89,3,0)*VLOOKUP('Données projet'!$B$12,Paramètres!$A$1:$I$89,5,0)</f>
        <v>-3.41401573678013E-13</v>
      </c>
      <c r="CA155" s="14" t="e">
        <f t="shared" si="170"/>
        <v>#NUM!</v>
      </c>
      <c r="CB155" s="22" t="e">
        <f t="shared" si="171"/>
        <v>#NUM!</v>
      </c>
      <c r="CC155" s="62" t="e">
        <f t="shared" si="119"/>
        <v>#NUM!</v>
      </c>
      <c r="CD155" s="62">
        <f ca="1">AVERAGE(OFFSET($CC$3,0,0,'Données projet'!$E$12+1,1))-AVERAGE(OFFSET($H$3,0,0,'Données projet'!$E$12+1,1))</f>
        <v>347.72886258008998</v>
      </c>
      <c r="CE155" s="62">
        <f t="shared" si="148"/>
        <v>176.81257896138806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0</v>
      </c>
      <c r="CL155" s="23">
        <f>EXP(-LN(2)/25)*CL154+(1-EXP(-LN(2)/25))/(LN(2)/25)*Calculateur!CG155*Calculateur!CI155*VLOOKUP('Données projet'!$B$12,Paramètres!$A$1:$I$89,3,0)*0.475*44/12</f>
        <v>0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0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3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5.6843418860808015E-14</v>
      </c>
      <c r="O156" s="14">
        <f>N156*VLOOKUP('Données projet'!$B$9,Paramètres!$A$1:$I$89,3,0)*VLOOKUP('Données projet'!$B$9,Paramètres!$A$1:$I$89,5,0)</f>
        <v>2.6602720026858149E-14</v>
      </c>
      <c r="P156" s="14">
        <f t="shared" si="141"/>
        <v>4.6624771586320878E-13</v>
      </c>
      <c r="Q156" s="22">
        <f t="shared" si="162"/>
        <v>8.583811758418665E-13</v>
      </c>
      <c r="R156" s="62">
        <f t="shared" si="109"/>
        <v>293.33333333333417</v>
      </c>
      <c r="S156" s="62">
        <f ca="1">AVERAGE(OFFSET($R$3,0,0,'Données projet'!$E$9+1,1))-AVERAGE(OFFSET($H$3,0,0,'Données projet'!$E$9+1,1))</f>
        <v>172.45217697899039</v>
      </c>
      <c r="T156" s="62">
        <f t="shared" si="142"/>
        <v>223.74038909289629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1.3449815582972173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4.7574840863248559E-18</v>
      </c>
      <c r="AC156" s="24">
        <f t="shared" si="163"/>
        <v>1.3449815582972173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364.3481978218424</v>
      </c>
      <c r="AO156" s="62">
        <f t="shared" si="144"/>
        <v>231.36959598460686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>
        <f>BD156*VLOOKUP('Données projet'!$B$11,Paramètres!$A$1:$I$89,3,0)*VLOOKUP('Données projet'!$B$11,Paramètres!$A$1:$I$89,5,0)</f>
        <v>0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403.50418598112844</v>
      </c>
      <c r="BJ156" s="62">
        <f t="shared" si="146"/>
        <v>254.25036207346591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0</v>
      </c>
      <c r="BQ156" s="23">
        <f>EXP(-LN(2)/25)*BQ155+(1-EXP(-LN(2)/25))/(LN(2)/25)*Calculateur!BL156*Calculateur!BN156*VLOOKUP('Données projet'!$B$11,Paramètres!$A$1:$I$89,3,0)*0.475*44/12</f>
        <v>0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0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-3.979039320256561E-13</v>
      </c>
      <c r="BZ156" s="14">
        <f>BY156*VLOOKUP('Données projet'!$B$12,Paramètres!$A$1:$I$89,3,0)*VLOOKUP('Données projet'!$B$12,Paramètres!$A$1:$I$89,5,0)</f>
        <v>-3.41401573678013E-13</v>
      </c>
      <c r="CA156" s="14" t="e">
        <f t="shared" si="170"/>
        <v>#NUM!</v>
      </c>
      <c r="CB156" s="22" t="e">
        <f t="shared" si="171"/>
        <v>#NUM!</v>
      </c>
      <c r="CC156" s="62" t="e">
        <f t="shared" si="119"/>
        <v>#NUM!</v>
      </c>
      <c r="CD156" s="62">
        <f ca="1">AVERAGE(OFFSET($CC$3,0,0,'Données projet'!$E$12+1,1))-AVERAGE(OFFSET($H$3,0,0,'Données projet'!$E$12+1,1))</f>
        <v>347.72886258008998</v>
      </c>
      <c r="CE156" s="62">
        <f t="shared" si="148"/>
        <v>176.81257896138806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0</v>
      </c>
      <c r="CL156" s="23">
        <f>EXP(-LN(2)/25)*CL155+(1-EXP(-LN(2)/25))/(LN(2)/25)*Calculateur!CG156*Calculateur!CI156*VLOOKUP('Données projet'!$B$12,Paramètres!$A$1:$I$89,3,0)*0.475*44/12</f>
        <v>0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0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3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5.6843418860808015E-14</v>
      </c>
      <c r="O157" s="14">
        <f>N157*VLOOKUP('Données projet'!$B$9,Paramètres!$A$1:$I$89,3,0)*VLOOKUP('Données projet'!$B$9,Paramètres!$A$1:$I$89,5,0)</f>
        <v>2.6602720026858149E-14</v>
      </c>
      <c r="P157" s="14">
        <f t="shared" si="141"/>
        <v>4.6624771586320878E-13</v>
      </c>
      <c r="Q157" s="22">
        <f t="shared" si="162"/>
        <v>8.583811758418665E-13</v>
      </c>
      <c r="R157" s="62">
        <f t="shared" si="109"/>
        <v>293.33333333333417</v>
      </c>
      <c r="S157" s="62">
        <f ca="1">AVERAGE(OFFSET($R$3,0,0,'Données projet'!$E$9+1,1))-AVERAGE(OFFSET($H$3,0,0,'Données projet'!$E$9+1,1))</f>
        <v>172.45217697899039</v>
      </c>
      <c r="T157" s="62">
        <f t="shared" si="142"/>
        <v>223.74038909289629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1.3186072902967558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3.3640492588273922E-18</v>
      </c>
      <c r="AC157" s="24">
        <f t="shared" si="163"/>
        <v>1.3186072902967558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364.3481978218424</v>
      </c>
      <c r="AO157" s="62">
        <f t="shared" si="144"/>
        <v>231.36959598460686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>
        <f>BD157*VLOOKUP('Données projet'!$B$11,Paramètres!$A$1:$I$89,3,0)*VLOOKUP('Données projet'!$B$11,Paramètres!$A$1:$I$89,5,0)</f>
        <v>0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403.50418598112844</v>
      </c>
      <c r="BJ157" s="62">
        <f t="shared" si="146"/>
        <v>254.25036207346591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0</v>
      </c>
      <c r="BQ157" s="23">
        <f>EXP(-LN(2)/25)*BQ156+(1-EXP(-LN(2)/25))/(LN(2)/25)*Calculateur!BL157*Calculateur!BN157*VLOOKUP('Données projet'!$B$11,Paramètres!$A$1:$I$89,3,0)*0.475*44/12</f>
        <v>0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0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-3.979039320256561E-13</v>
      </c>
      <c r="BZ157" s="14">
        <f>BY157*VLOOKUP('Données projet'!$B$12,Paramètres!$A$1:$I$89,3,0)*VLOOKUP('Données projet'!$B$12,Paramètres!$A$1:$I$89,5,0)</f>
        <v>-3.41401573678013E-13</v>
      </c>
      <c r="CA157" s="14" t="e">
        <f t="shared" si="170"/>
        <v>#NUM!</v>
      </c>
      <c r="CB157" s="22" t="e">
        <f t="shared" si="171"/>
        <v>#NUM!</v>
      </c>
      <c r="CC157" s="62" t="e">
        <f t="shared" si="119"/>
        <v>#NUM!</v>
      </c>
      <c r="CD157" s="62">
        <f ca="1">AVERAGE(OFFSET($CC$3,0,0,'Données projet'!$E$12+1,1))-AVERAGE(OFFSET($H$3,0,0,'Données projet'!$E$12+1,1))</f>
        <v>347.72886258008998</v>
      </c>
      <c r="CE157" s="62">
        <f t="shared" si="148"/>
        <v>176.81257896138806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0</v>
      </c>
      <c r="CL157" s="23">
        <f>EXP(-LN(2)/25)*CL156+(1-EXP(-LN(2)/25))/(LN(2)/25)*Calculateur!CG157*Calculateur!CI157*VLOOKUP('Données projet'!$B$12,Paramètres!$A$1:$I$89,3,0)*0.475*44/12</f>
        <v>0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0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3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5.6843418860808015E-14</v>
      </c>
      <c r="O158" s="14">
        <f>N158*VLOOKUP('Données projet'!$B$9,Paramètres!$A$1:$I$89,3,0)*VLOOKUP('Données projet'!$B$9,Paramètres!$A$1:$I$89,5,0)</f>
        <v>2.6602720026858149E-14</v>
      </c>
      <c r="P158" s="14">
        <f t="shared" si="141"/>
        <v>4.6624771586320878E-13</v>
      </c>
      <c r="Q158" s="22">
        <f t="shared" si="162"/>
        <v>8.583811758418665E-13</v>
      </c>
      <c r="R158" s="62">
        <f t="shared" si="109"/>
        <v>293.33333333333417</v>
      </c>
      <c r="S158" s="62">
        <f ca="1">AVERAGE(OFFSET($R$3,0,0,'Données projet'!$E$9+1,1))-AVERAGE(OFFSET($H$3,0,0,'Données projet'!$E$9+1,1))</f>
        <v>172.45217697899039</v>
      </c>
      <c r="T158" s="62">
        <f t="shared" si="142"/>
        <v>223.74038909289629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1.2927502056050684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2.3787420431624283E-18</v>
      </c>
      <c r="AC158" s="24">
        <f t="shared" si="163"/>
        <v>1.2927502056050684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364.3481978218424</v>
      </c>
      <c r="AO158" s="62">
        <f t="shared" si="144"/>
        <v>231.36959598460686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>
        <f>BD158*VLOOKUP('Données projet'!$B$11,Paramètres!$A$1:$I$89,3,0)*VLOOKUP('Données projet'!$B$11,Paramètres!$A$1:$I$89,5,0)</f>
        <v>0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403.50418598112844</v>
      </c>
      <c r="BJ158" s="62">
        <f t="shared" si="146"/>
        <v>254.25036207346591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0</v>
      </c>
      <c r="BQ158" s="23">
        <f>EXP(-LN(2)/25)*BQ157+(1-EXP(-LN(2)/25))/(LN(2)/25)*Calculateur!BL158*Calculateur!BN158*VLOOKUP('Données projet'!$B$11,Paramètres!$A$1:$I$89,3,0)*0.475*44/12</f>
        <v>0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0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-3.979039320256561E-13</v>
      </c>
      <c r="BZ158" s="14">
        <f>BY158*VLOOKUP('Données projet'!$B$12,Paramètres!$A$1:$I$89,3,0)*VLOOKUP('Données projet'!$B$12,Paramètres!$A$1:$I$89,5,0)</f>
        <v>-3.41401573678013E-13</v>
      </c>
      <c r="CA158" s="14" t="e">
        <f t="shared" si="170"/>
        <v>#NUM!</v>
      </c>
      <c r="CB158" s="22" t="e">
        <f t="shared" si="171"/>
        <v>#NUM!</v>
      </c>
      <c r="CC158" s="62" t="e">
        <f t="shared" si="119"/>
        <v>#NUM!</v>
      </c>
      <c r="CD158" s="62">
        <f ca="1">AVERAGE(OFFSET($CC$3,0,0,'Données projet'!$E$12+1,1))-AVERAGE(OFFSET($H$3,0,0,'Données projet'!$E$12+1,1))</f>
        <v>347.72886258008998</v>
      </c>
      <c r="CE158" s="62">
        <f t="shared" si="148"/>
        <v>176.81257896138806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0</v>
      </c>
      <c r="CL158" s="23">
        <f>EXP(-LN(2)/25)*CL157+(1-EXP(-LN(2)/25))/(LN(2)/25)*Calculateur!CG158*Calculateur!CI158*VLOOKUP('Données projet'!$B$12,Paramètres!$A$1:$I$89,3,0)*0.475*44/12</f>
        <v>0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0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3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5.6843418860808015E-14</v>
      </c>
      <c r="O159" s="14">
        <f>N159*VLOOKUP('Données projet'!$B$9,Paramètres!$A$1:$I$89,3,0)*VLOOKUP('Données projet'!$B$9,Paramètres!$A$1:$I$89,5,0)</f>
        <v>2.6602720026858149E-14</v>
      </c>
      <c r="P159" s="14">
        <f t="shared" si="141"/>
        <v>4.6624771586320878E-13</v>
      </c>
      <c r="Q159" s="22">
        <f t="shared" si="162"/>
        <v>8.583811758418665E-13</v>
      </c>
      <c r="R159" s="62">
        <f t="shared" si="109"/>
        <v>293.33333333333417</v>
      </c>
      <c r="S159" s="62">
        <f ca="1">AVERAGE(OFFSET($R$3,0,0,'Données projet'!$E$9+1,1))-AVERAGE(OFFSET($H$3,0,0,'Données projet'!$E$9+1,1))</f>
        <v>172.45217697899039</v>
      </c>
      <c r="T159" s="62">
        <f t="shared" si="142"/>
        <v>223.74038909289629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1.2674001625729205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1.6820246294136963E-18</v>
      </c>
      <c r="AC159" s="24">
        <f t="shared" si="163"/>
        <v>1.2674001625729205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364.3481978218424</v>
      </c>
      <c r="AO159" s="62">
        <f t="shared" si="144"/>
        <v>231.36959598460686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>
        <f>BD159*VLOOKUP('Données projet'!$B$11,Paramètres!$A$1:$I$89,3,0)*VLOOKUP('Données projet'!$B$11,Paramètres!$A$1:$I$89,5,0)</f>
        <v>0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403.50418598112844</v>
      </c>
      <c r="BJ159" s="62">
        <f t="shared" si="146"/>
        <v>254.25036207346591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0</v>
      </c>
      <c r="BQ159" s="23">
        <f>EXP(-LN(2)/25)*BQ158+(1-EXP(-LN(2)/25))/(LN(2)/25)*Calculateur!BL159*Calculateur!BN159*VLOOKUP('Données projet'!$B$11,Paramètres!$A$1:$I$89,3,0)*0.475*44/12</f>
        <v>0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0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-3.979039320256561E-13</v>
      </c>
      <c r="BZ159" s="14">
        <f>BY159*VLOOKUP('Données projet'!$B$12,Paramètres!$A$1:$I$89,3,0)*VLOOKUP('Données projet'!$B$12,Paramètres!$A$1:$I$89,5,0)</f>
        <v>-3.41401573678013E-13</v>
      </c>
      <c r="CA159" s="14" t="e">
        <f t="shared" si="170"/>
        <v>#NUM!</v>
      </c>
      <c r="CB159" s="22" t="e">
        <f t="shared" si="171"/>
        <v>#NUM!</v>
      </c>
      <c r="CC159" s="62" t="e">
        <f t="shared" si="119"/>
        <v>#NUM!</v>
      </c>
      <c r="CD159" s="62">
        <f ca="1">AVERAGE(OFFSET($CC$3,0,0,'Données projet'!$E$12+1,1))-AVERAGE(OFFSET($H$3,0,0,'Données projet'!$E$12+1,1))</f>
        <v>347.72886258008998</v>
      </c>
      <c r="CE159" s="62">
        <f t="shared" si="148"/>
        <v>176.81257896138806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0</v>
      </c>
      <c r="CL159" s="23">
        <f>EXP(-LN(2)/25)*CL158+(1-EXP(-LN(2)/25))/(LN(2)/25)*Calculateur!CG159*Calculateur!CI159*VLOOKUP('Données projet'!$B$12,Paramètres!$A$1:$I$89,3,0)*0.475*44/12</f>
        <v>0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0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3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5.6843418860808015E-14</v>
      </c>
      <c r="O160" s="14">
        <f>N160*VLOOKUP('Données projet'!$B$9,Paramètres!$A$1:$I$89,3,0)*VLOOKUP('Données projet'!$B$9,Paramètres!$A$1:$I$89,5,0)</f>
        <v>2.6602720026858149E-14</v>
      </c>
      <c r="P160" s="14">
        <f t="shared" si="141"/>
        <v>4.6624771586320878E-13</v>
      </c>
      <c r="Q160" s="22">
        <f t="shared" si="162"/>
        <v>8.583811758418665E-13</v>
      </c>
      <c r="R160" s="62">
        <f t="shared" si="109"/>
        <v>293.33333333333417</v>
      </c>
      <c r="S160" s="62">
        <f ca="1">AVERAGE(OFFSET($R$3,0,0,'Données projet'!$E$9+1,1))-AVERAGE(OFFSET($H$3,0,0,'Données projet'!$E$9+1,1))</f>
        <v>172.45217697899039</v>
      </c>
      <c r="T160" s="62">
        <f t="shared" si="142"/>
        <v>223.74038909289629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1.2425472184226336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1.1893710215812144E-18</v>
      </c>
      <c r="AC160" s="24">
        <f t="shared" si="163"/>
        <v>1.2425472184226336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364.3481978218424</v>
      </c>
      <c r="AO160" s="62">
        <f t="shared" si="144"/>
        <v>231.36959598460686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>
        <f>BD160*VLOOKUP('Données projet'!$B$11,Paramètres!$A$1:$I$89,3,0)*VLOOKUP('Données projet'!$B$11,Paramètres!$A$1:$I$89,5,0)</f>
        <v>0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403.50418598112844</v>
      </c>
      <c r="BJ160" s="62">
        <f t="shared" si="146"/>
        <v>254.25036207346591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0</v>
      </c>
      <c r="BQ160" s="23">
        <f>EXP(-LN(2)/25)*BQ159+(1-EXP(-LN(2)/25))/(LN(2)/25)*Calculateur!BL160*Calculateur!BN160*VLOOKUP('Données projet'!$B$11,Paramètres!$A$1:$I$89,3,0)*0.475*44/12</f>
        <v>0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0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-3.979039320256561E-13</v>
      </c>
      <c r="BZ160" s="14">
        <f>BY160*VLOOKUP('Données projet'!$B$12,Paramètres!$A$1:$I$89,3,0)*VLOOKUP('Données projet'!$B$12,Paramètres!$A$1:$I$89,5,0)</f>
        <v>-3.41401573678013E-13</v>
      </c>
      <c r="CA160" s="14" t="e">
        <f t="shared" si="170"/>
        <v>#NUM!</v>
      </c>
      <c r="CB160" s="22" t="e">
        <f t="shared" si="171"/>
        <v>#NUM!</v>
      </c>
      <c r="CC160" s="62" t="e">
        <f t="shared" si="119"/>
        <v>#NUM!</v>
      </c>
      <c r="CD160" s="62">
        <f ca="1">AVERAGE(OFFSET($CC$3,0,0,'Données projet'!$E$12+1,1))-AVERAGE(OFFSET($H$3,0,0,'Données projet'!$E$12+1,1))</f>
        <v>347.72886258008998</v>
      </c>
      <c r="CE160" s="62">
        <f t="shared" si="148"/>
        <v>176.81257896138806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0</v>
      </c>
      <c r="CL160" s="23">
        <f>EXP(-LN(2)/25)*CL159+(1-EXP(-LN(2)/25))/(LN(2)/25)*Calculateur!CG160*Calculateur!CI160*VLOOKUP('Données projet'!$B$12,Paramètres!$A$1:$I$89,3,0)*0.475*44/12</f>
        <v>0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0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3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5.6843418860808015E-14</v>
      </c>
      <c r="O161" s="14">
        <f>N161*VLOOKUP('Données projet'!$B$9,Paramètres!$A$1:$I$89,3,0)*VLOOKUP('Données projet'!$B$9,Paramètres!$A$1:$I$89,5,0)</f>
        <v>2.6602720026858149E-14</v>
      </c>
      <c r="P161" s="14">
        <f t="shared" si="141"/>
        <v>4.6624771586320878E-13</v>
      </c>
      <c r="Q161" s="22">
        <f t="shared" si="162"/>
        <v>8.583811758418665E-13</v>
      </c>
      <c r="R161" s="62">
        <f t="shared" si="109"/>
        <v>293.33333333333417</v>
      </c>
      <c r="S161" s="62">
        <f ca="1">AVERAGE(OFFSET($R$3,0,0,'Données projet'!$E$9+1,1))-AVERAGE(OFFSET($H$3,0,0,'Données projet'!$E$9+1,1))</f>
        <v>172.45217697899039</v>
      </c>
      <c r="T161" s="62">
        <f t="shared" si="142"/>
        <v>223.74038909289629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1.2181816253483346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8.4101231470684825E-19</v>
      </c>
      <c r="AC161" s="24">
        <f t="shared" si="163"/>
        <v>1.2181816253483346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364.3481978218424</v>
      </c>
      <c r="AO161" s="62">
        <f t="shared" si="144"/>
        <v>231.36959598460686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>
        <f>BD161*VLOOKUP('Données projet'!$B$11,Paramètres!$A$1:$I$89,3,0)*VLOOKUP('Données projet'!$B$11,Paramètres!$A$1:$I$89,5,0)</f>
        <v>0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403.50418598112844</v>
      </c>
      <c r="BJ161" s="62">
        <f t="shared" si="146"/>
        <v>254.25036207346591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0</v>
      </c>
      <c r="BQ161" s="23">
        <f>EXP(-LN(2)/25)*BQ160+(1-EXP(-LN(2)/25))/(LN(2)/25)*Calculateur!BL161*Calculateur!BN161*VLOOKUP('Données projet'!$B$11,Paramètres!$A$1:$I$89,3,0)*0.475*44/12</f>
        <v>0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0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-3.979039320256561E-13</v>
      </c>
      <c r="BZ161" s="14">
        <f>BY161*VLOOKUP('Données projet'!$B$12,Paramètres!$A$1:$I$89,3,0)*VLOOKUP('Données projet'!$B$12,Paramètres!$A$1:$I$89,5,0)</f>
        <v>-3.41401573678013E-13</v>
      </c>
      <c r="CA161" s="14" t="e">
        <f t="shared" si="170"/>
        <v>#NUM!</v>
      </c>
      <c r="CB161" s="22" t="e">
        <f t="shared" si="171"/>
        <v>#NUM!</v>
      </c>
      <c r="CC161" s="62" t="e">
        <f t="shared" si="119"/>
        <v>#NUM!</v>
      </c>
      <c r="CD161" s="62">
        <f ca="1">AVERAGE(OFFSET($CC$3,0,0,'Données projet'!$E$12+1,1))-AVERAGE(OFFSET($H$3,0,0,'Données projet'!$E$12+1,1))</f>
        <v>347.72886258008998</v>
      </c>
      <c r="CE161" s="62">
        <f t="shared" si="148"/>
        <v>176.81257896138806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0</v>
      </c>
      <c r="CL161" s="23">
        <f>EXP(-LN(2)/25)*CL160+(1-EXP(-LN(2)/25))/(LN(2)/25)*Calculateur!CG161*Calculateur!CI161*VLOOKUP('Données projet'!$B$12,Paramètres!$A$1:$I$89,3,0)*0.475*44/12</f>
        <v>0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0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3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5.6843418860808015E-14</v>
      </c>
      <c r="O162" s="14">
        <f>N162*VLOOKUP('Données projet'!$B$9,Paramètres!$A$1:$I$89,3,0)*VLOOKUP('Données projet'!$B$9,Paramètres!$A$1:$I$89,5,0)</f>
        <v>2.6602720026858149E-14</v>
      </c>
      <c r="P162" s="14">
        <f t="shared" si="141"/>
        <v>4.6624771586320878E-13</v>
      </c>
      <c r="Q162" s="22">
        <f t="shared" si="162"/>
        <v>8.583811758418665E-13</v>
      </c>
      <c r="R162" s="62">
        <f t="shared" si="109"/>
        <v>293.33333333333417</v>
      </c>
      <c r="S162" s="62">
        <f ca="1">AVERAGE(OFFSET($R$3,0,0,'Données projet'!$E$9+1,1))-AVERAGE(OFFSET($H$3,0,0,'Données projet'!$E$9+1,1))</f>
        <v>172.45217697899039</v>
      </c>
      <c r="T162" s="62">
        <f t="shared" si="142"/>
        <v>223.74038909289629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1.1942938266926784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5.9468551079060728E-19</v>
      </c>
      <c r="AC162" s="24">
        <f t="shared" si="163"/>
        <v>1.1942938266926784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364.3481978218424</v>
      </c>
      <c r="AO162" s="62">
        <f t="shared" si="144"/>
        <v>231.36959598460686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>
        <f>BD162*VLOOKUP('Données projet'!$B$11,Paramètres!$A$1:$I$89,3,0)*VLOOKUP('Données projet'!$B$11,Paramètres!$A$1:$I$89,5,0)</f>
        <v>0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403.50418598112844</v>
      </c>
      <c r="BJ162" s="62">
        <f t="shared" si="146"/>
        <v>254.25036207346591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0</v>
      </c>
      <c r="BQ162" s="23">
        <f>EXP(-LN(2)/25)*BQ161+(1-EXP(-LN(2)/25))/(LN(2)/25)*Calculateur!BL162*Calculateur!BN162*VLOOKUP('Données projet'!$B$11,Paramètres!$A$1:$I$89,3,0)*0.475*44/12</f>
        <v>0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0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-3.979039320256561E-13</v>
      </c>
      <c r="BZ162" s="14">
        <f>BY162*VLOOKUP('Données projet'!$B$12,Paramètres!$A$1:$I$89,3,0)*VLOOKUP('Données projet'!$B$12,Paramètres!$A$1:$I$89,5,0)</f>
        <v>-3.41401573678013E-13</v>
      </c>
      <c r="CA162" s="14" t="e">
        <f t="shared" si="170"/>
        <v>#NUM!</v>
      </c>
      <c r="CB162" s="22" t="e">
        <f t="shared" si="171"/>
        <v>#NUM!</v>
      </c>
      <c r="CC162" s="62" t="e">
        <f t="shared" si="119"/>
        <v>#NUM!</v>
      </c>
      <c r="CD162" s="62">
        <f ca="1">AVERAGE(OFFSET($CC$3,0,0,'Données projet'!$E$12+1,1))-AVERAGE(OFFSET($H$3,0,0,'Données projet'!$E$12+1,1))</f>
        <v>347.72886258008998</v>
      </c>
      <c r="CE162" s="62">
        <f t="shared" si="148"/>
        <v>176.81257896138806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0</v>
      </c>
      <c r="CL162" s="23">
        <f>EXP(-LN(2)/25)*CL161+(1-EXP(-LN(2)/25))/(LN(2)/25)*Calculateur!CG162*Calculateur!CI162*VLOOKUP('Données projet'!$B$12,Paramètres!$A$1:$I$89,3,0)*0.475*44/12</f>
        <v>0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0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3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5.6843418860808015E-14</v>
      </c>
      <c r="O163" s="14">
        <f>N163*VLOOKUP('Données projet'!$B$9,Paramètres!$A$1:$I$89,3,0)*VLOOKUP('Données projet'!$B$9,Paramètres!$A$1:$I$89,5,0)</f>
        <v>2.6602720026858149E-14</v>
      </c>
      <c r="P163" s="14">
        <f t="shared" si="141"/>
        <v>4.6624771586320878E-13</v>
      </c>
      <c r="Q163" s="22">
        <f t="shared" si="162"/>
        <v>8.583811758418665E-13</v>
      </c>
      <c r="R163" s="62">
        <f t="shared" si="109"/>
        <v>293.33333333333417</v>
      </c>
      <c r="S163" s="62">
        <f ca="1">AVERAGE(OFFSET($R$3,0,0,'Données projet'!$E$9+1,1))-AVERAGE(OFFSET($H$3,0,0,'Données projet'!$E$9+1,1))</f>
        <v>172.45217697899039</v>
      </c>
      <c r="T163" s="62">
        <f t="shared" si="142"/>
        <v>223.74038909289629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1.1708744531985411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4.2050615735342422E-19</v>
      </c>
      <c r="AC163" s="24">
        <f t="shared" si="163"/>
        <v>1.1708744531985411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364.3481978218424</v>
      </c>
      <c r="AO163" s="62">
        <f t="shared" si="144"/>
        <v>231.36959598460686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>
        <f>BD163*VLOOKUP('Données projet'!$B$11,Paramètres!$A$1:$I$89,3,0)*VLOOKUP('Données projet'!$B$11,Paramètres!$A$1:$I$89,5,0)</f>
        <v>0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403.50418598112844</v>
      </c>
      <c r="BJ163" s="62">
        <f t="shared" si="146"/>
        <v>254.25036207346591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0</v>
      </c>
      <c r="BQ163" s="23">
        <f>EXP(-LN(2)/25)*BQ162+(1-EXP(-LN(2)/25))/(LN(2)/25)*Calculateur!BL163*Calculateur!BN163*VLOOKUP('Données projet'!$B$11,Paramètres!$A$1:$I$89,3,0)*0.475*44/12</f>
        <v>0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0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-3.979039320256561E-13</v>
      </c>
      <c r="BZ163" s="14">
        <f>BY163*VLOOKUP('Données projet'!$B$12,Paramètres!$A$1:$I$89,3,0)*VLOOKUP('Données projet'!$B$12,Paramètres!$A$1:$I$89,5,0)</f>
        <v>-3.41401573678013E-13</v>
      </c>
      <c r="CA163" s="14" t="e">
        <f t="shared" si="170"/>
        <v>#NUM!</v>
      </c>
      <c r="CB163" s="22" t="e">
        <f t="shared" si="171"/>
        <v>#NUM!</v>
      </c>
      <c r="CC163" s="62" t="e">
        <f t="shared" si="119"/>
        <v>#NUM!</v>
      </c>
      <c r="CD163" s="62">
        <f ca="1">AVERAGE(OFFSET($CC$3,0,0,'Données projet'!$E$12+1,1))-AVERAGE(OFFSET($H$3,0,0,'Données projet'!$E$12+1,1))</f>
        <v>347.72886258008998</v>
      </c>
      <c r="CE163" s="62">
        <f t="shared" si="148"/>
        <v>176.81257896138806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0</v>
      </c>
      <c r="CL163" s="23">
        <f>EXP(-LN(2)/25)*CL162+(1-EXP(-LN(2)/25))/(LN(2)/25)*Calculateur!CG163*Calculateur!CI163*VLOOKUP('Données projet'!$B$12,Paramètres!$A$1:$I$89,3,0)*0.475*44/12</f>
        <v>0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0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3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5.6843418860808015E-14</v>
      </c>
      <c r="O164" s="14">
        <f>N164*VLOOKUP('Données projet'!$B$9,Paramètres!$A$1:$I$89,3,0)*VLOOKUP('Données projet'!$B$9,Paramètres!$A$1:$I$89,5,0)</f>
        <v>2.6602720026858149E-14</v>
      </c>
      <c r="P164" s="14">
        <f t="shared" si="141"/>
        <v>4.6624771586320878E-13</v>
      </c>
      <c r="Q164" s="22">
        <f t="shared" si="162"/>
        <v>8.583811758418665E-13</v>
      </c>
      <c r="R164" s="62">
        <f t="shared" si="109"/>
        <v>293.33333333333417</v>
      </c>
      <c r="S164" s="62">
        <f ca="1">AVERAGE(OFFSET($R$3,0,0,'Données projet'!$E$9+1,1))-AVERAGE(OFFSET($H$3,0,0,'Données projet'!$E$9+1,1))</f>
        <v>172.45217697899039</v>
      </c>
      <c r="T164" s="62">
        <f t="shared" si="142"/>
        <v>223.74038909289629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1.1479143193342165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2.9734275539530369E-19</v>
      </c>
      <c r="AC164" s="24">
        <f t="shared" si="163"/>
        <v>1.1479143193342165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364.3481978218424</v>
      </c>
      <c r="AO164" s="62">
        <f t="shared" si="144"/>
        <v>231.36959598460686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>
        <f>BD164*VLOOKUP('Données projet'!$B$11,Paramètres!$A$1:$I$89,3,0)*VLOOKUP('Données projet'!$B$11,Paramètres!$A$1:$I$89,5,0)</f>
        <v>0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403.50418598112844</v>
      </c>
      <c r="BJ164" s="62">
        <f t="shared" si="146"/>
        <v>254.25036207346591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0</v>
      </c>
      <c r="BQ164" s="23">
        <f>EXP(-LN(2)/25)*BQ163+(1-EXP(-LN(2)/25))/(LN(2)/25)*Calculateur!BL164*Calculateur!BN164*VLOOKUP('Données projet'!$B$11,Paramètres!$A$1:$I$89,3,0)*0.475*44/12</f>
        <v>0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0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-3.979039320256561E-13</v>
      </c>
      <c r="BZ164" s="14">
        <f>BY164*VLOOKUP('Données projet'!$B$12,Paramètres!$A$1:$I$89,3,0)*VLOOKUP('Données projet'!$B$12,Paramètres!$A$1:$I$89,5,0)</f>
        <v>-3.41401573678013E-13</v>
      </c>
      <c r="CA164" s="14" t="e">
        <f t="shared" si="170"/>
        <v>#NUM!</v>
      </c>
      <c r="CB164" s="22" t="e">
        <f t="shared" si="171"/>
        <v>#NUM!</v>
      </c>
      <c r="CC164" s="62" t="e">
        <f t="shared" si="119"/>
        <v>#NUM!</v>
      </c>
      <c r="CD164" s="62">
        <f ca="1">AVERAGE(OFFSET($CC$3,0,0,'Données projet'!$E$12+1,1))-AVERAGE(OFFSET($H$3,0,0,'Données projet'!$E$12+1,1))</f>
        <v>347.72886258008998</v>
      </c>
      <c r="CE164" s="62">
        <f t="shared" si="148"/>
        <v>176.81257896138806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0</v>
      </c>
      <c r="CL164" s="23">
        <f>EXP(-LN(2)/25)*CL163+(1-EXP(-LN(2)/25))/(LN(2)/25)*Calculateur!CG164*Calculateur!CI164*VLOOKUP('Données projet'!$B$12,Paramètres!$A$1:$I$89,3,0)*0.475*44/12</f>
        <v>0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0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3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5.6843418860808015E-14</v>
      </c>
      <c r="O165" s="14">
        <f>N165*VLOOKUP('Données projet'!$B$9,Paramètres!$A$1:$I$89,3,0)*VLOOKUP('Données projet'!$B$9,Paramètres!$A$1:$I$89,5,0)</f>
        <v>2.6602720026858149E-14</v>
      </c>
      <c r="P165" s="14">
        <f t="shared" si="141"/>
        <v>4.6624771586320878E-13</v>
      </c>
      <c r="Q165" s="22">
        <f t="shared" si="162"/>
        <v>8.583811758418665E-13</v>
      </c>
      <c r="R165" s="62">
        <f t="shared" si="109"/>
        <v>293.33333333333417</v>
      </c>
      <c r="S165" s="62">
        <f ca="1">AVERAGE(OFFSET($R$3,0,0,'Données projet'!$E$9+1,1))-AVERAGE(OFFSET($H$3,0,0,'Données projet'!$E$9+1,1))</f>
        <v>172.45217697899039</v>
      </c>
      <c r="T165" s="62">
        <f t="shared" si="142"/>
        <v>223.74038909289629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1.1254044196906723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2.1025307867671214E-19</v>
      </c>
      <c r="AC165" s="24">
        <f t="shared" si="163"/>
        <v>1.1254044196906723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364.3481978218424</v>
      </c>
      <c r="AO165" s="62">
        <f t="shared" si="144"/>
        <v>231.36959598460686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>
        <f>BD165*VLOOKUP('Données projet'!$B$11,Paramètres!$A$1:$I$89,3,0)*VLOOKUP('Données projet'!$B$11,Paramètres!$A$1:$I$89,5,0)</f>
        <v>0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403.50418598112844</v>
      </c>
      <c r="BJ165" s="62">
        <f t="shared" si="146"/>
        <v>254.25036207346591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0</v>
      </c>
      <c r="BQ165" s="23">
        <f>EXP(-LN(2)/25)*BQ164+(1-EXP(-LN(2)/25))/(LN(2)/25)*Calculateur!BL165*Calculateur!BN165*VLOOKUP('Données projet'!$B$11,Paramètres!$A$1:$I$89,3,0)*0.475*44/12</f>
        <v>0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0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-3.979039320256561E-13</v>
      </c>
      <c r="BZ165" s="14">
        <f>BY165*VLOOKUP('Données projet'!$B$12,Paramètres!$A$1:$I$89,3,0)*VLOOKUP('Données projet'!$B$12,Paramètres!$A$1:$I$89,5,0)</f>
        <v>-3.41401573678013E-13</v>
      </c>
      <c r="CA165" s="14" t="e">
        <f t="shared" si="170"/>
        <v>#NUM!</v>
      </c>
      <c r="CB165" s="22" t="e">
        <f t="shared" si="171"/>
        <v>#NUM!</v>
      </c>
      <c r="CC165" s="62" t="e">
        <f t="shared" si="119"/>
        <v>#NUM!</v>
      </c>
      <c r="CD165" s="62">
        <f ca="1">AVERAGE(OFFSET($CC$3,0,0,'Données projet'!$E$12+1,1))-AVERAGE(OFFSET($H$3,0,0,'Données projet'!$E$12+1,1))</f>
        <v>347.72886258008998</v>
      </c>
      <c r="CE165" s="62">
        <f t="shared" si="148"/>
        <v>176.81257896138806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0</v>
      </c>
      <c r="CL165" s="23">
        <f>EXP(-LN(2)/25)*CL164+(1-EXP(-LN(2)/25))/(LN(2)/25)*Calculateur!CG165*Calculateur!CI165*VLOOKUP('Données projet'!$B$12,Paramètres!$A$1:$I$89,3,0)*0.475*44/12</f>
        <v>0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0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3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5.6843418860808015E-14</v>
      </c>
      <c r="O166" s="14">
        <f>N166*VLOOKUP('Données projet'!$B$9,Paramètres!$A$1:$I$89,3,0)*VLOOKUP('Données projet'!$B$9,Paramètres!$A$1:$I$89,5,0)</f>
        <v>2.6602720026858149E-14</v>
      </c>
      <c r="P166" s="14">
        <f t="shared" si="141"/>
        <v>4.6624771586320878E-13</v>
      </c>
      <c r="Q166" s="22">
        <f t="shared" si="162"/>
        <v>8.583811758418665E-13</v>
      </c>
      <c r="R166" s="62">
        <f t="shared" si="109"/>
        <v>293.33333333333417</v>
      </c>
      <c r="S166" s="62">
        <f ca="1">AVERAGE(OFFSET($R$3,0,0,'Données projet'!$E$9+1,1))-AVERAGE(OFFSET($H$3,0,0,'Données projet'!$E$9+1,1))</f>
        <v>172.45217697899039</v>
      </c>
      <c r="T166" s="62">
        <f t="shared" si="142"/>
        <v>223.74038909289629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1.103335925449455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1.4867137769765187E-19</v>
      </c>
      <c r="AC166" s="24">
        <f t="shared" si="163"/>
        <v>1.103335925449455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364.3481978218424</v>
      </c>
      <c r="AO166" s="62">
        <f t="shared" si="144"/>
        <v>231.36959598460686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>
        <f>BD166*VLOOKUP('Données projet'!$B$11,Paramètres!$A$1:$I$89,3,0)*VLOOKUP('Données projet'!$B$11,Paramètres!$A$1:$I$89,5,0)</f>
        <v>0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403.50418598112844</v>
      </c>
      <c r="BJ166" s="62">
        <f t="shared" si="146"/>
        <v>254.25036207346591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0</v>
      </c>
      <c r="BQ166" s="23">
        <f>EXP(-LN(2)/25)*BQ165+(1-EXP(-LN(2)/25))/(LN(2)/25)*Calculateur!BL166*Calculateur!BN166*VLOOKUP('Données projet'!$B$11,Paramètres!$A$1:$I$89,3,0)*0.475*44/12</f>
        <v>0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0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-3.979039320256561E-13</v>
      </c>
      <c r="BZ166" s="14">
        <f>BY166*VLOOKUP('Données projet'!$B$12,Paramètres!$A$1:$I$89,3,0)*VLOOKUP('Données projet'!$B$12,Paramètres!$A$1:$I$89,5,0)</f>
        <v>-3.41401573678013E-13</v>
      </c>
      <c r="CA166" s="14" t="e">
        <f t="shared" si="170"/>
        <v>#NUM!</v>
      </c>
      <c r="CB166" s="22" t="e">
        <f t="shared" si="171"/>
        <v>#NUM!</v>
      </c>
      <c r="CC166" s="62" t="e">
        <f t="shared" si="119"/>
        <v>#NUM!</v>
      </c>
      <c r="CD166" s="62">
        <f ca="1">AVERAGE(OFFSET($CC$3,0,0,'Données projet'!$E$12+1,1))-AVERAGE(OFFSET($H$3,0,0,'Données projet'!$E$12+1,1))</f>
        <v>347.72886258008998</v>
      </c>
      <c r="CE166" s="62">
        <f t="shared" si="148"/>
        <v>176.81257896138806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0</v>
      </c>
      <c r="CL166" s="23">
        <f>EXP(-LN(2)/25)*CL165+(1-EXP(-LN(2)/25))/(LN(2)/25)*Calculateur!CG166*Calculateur!CI166*VLOOKUP('Données projet'!$B$12,Paramètres!$A$1:$I$89,3,0)*0.475*44/12</f>
        <v>0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0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3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5.6843418860808015E-14</v>
      </c>
      <c r="O167" s="14">
        <f>N167*VLOOKUP('Données projet'!$B$9,Paramètres!$A$1:$I$89,3,0)*VLOOKUP('Données projet'!$B$9,Paramètres!$A$1:$I$89,5,0)</f>
        <v>2.6602720026858149E-14</v>
      </c>
      <c r="P167" s="14">
        <f t="shared" si="141"/>
        <v>4.6624771586320878E-13</v>
      </c>
      <c r="Q167" s="22">
        <f t="shared" si="162"/>
        <v>8.583811758418665E-13</v>
      </c>
      <c r="R167" s="62">
        <f t="shared" si="109"/>
        <v>293.33333333333417</v>
      </c>
      <c r="S167" s="62">
        <f ca="1">AVERAGE(OFFSET($R$3,0,0,'Données projet'!$E$9+1,1))-AVERAGE(OFFSET($H$3,0,0,'Données projet'!$E$9+1,1))</f>
        <v>172.45217697899039</v>
      </c>
      <c r="T167" s="62">
        <f t="shared" si="142"/>
        <v>223.74038909289629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1.0817001809198556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1.0512653933835609E-19</v>
      </c>
      <c r="AC167" s="24">
        <f t="shared" si="163"/>
        <v>1.0817001809198556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364.3481978218424</v>
      </c>
      <c r="AO167" s="62">
        <f t="shared" si="144"/>
        <v>231.36959598460686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>
        <f>BD167*VLOOKUP('Données projet'!$B$11,Paramètres!$A$1:$I$89,3,0)*VLOOKUP('Données projet'!$B$11,Paramètres!$A$1:$I$89,5,0)</f>
        <v>0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403.50418598112844</v>
      </c>
      <c r="BJ167" s="62">
        <f t="shared" si="146"/>
        <v>254.25036207346591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0</v>
      </c>
      <c r="BQ167" s="23">
        <f>EXP(-LN(2)/25)*BQ166+(1-EXP(-LN(2)/25))/(LN(2)/25)*Calculateur!BL167*Calculateur!BN167*VLOOKUP('Données projet'!$B$11,Paramètres!$A$1:$I$89,3,0)*0.475*44/12</f>
        <v>0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0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-3.979039320256561E-13</v>
      </c>
      <c r="BZ167" s="14">
        <f>BY167*VLOOKUP('Données projet'!$B$12,Paramètres!$A$1:$I$89,3,0)*VLOOKUP('Données projet'!$B$12,Paramètres!$A$1:$I$89,5,0)</f>
        <v>-3.41401573678013E-13</v>
      </c>
      <c r="CA167" s="14" t="e">
        <f t="shared" si="170"/>
        <v>#NUM!</v>
      </c>
      <c r="CB167" s="22" t="e">
        <f t="shared" si="171"/>
        <v>#NUM!</v>
      </c>
      <c r="CC167" s="62" t="e">
        <f t="shared" si="119"/>
        <v>#NUM!</v>
      </c>
      <c r="CD167" s="62">
        <f ca="1">AVERAGE(OFFSET($CC$3,0,0,'Données projet'!$E$12+1,1))-AVERAGE(OFFSET($H$3,0,0,'Données projet'!$E$12+1,1))</f>
        <v>347.72886258008998</v>
      </c>
      <c r="CE167" s="62">
        <f t="shared" si="148"/>
        <v>176.81257896138806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0</v>
      </c>
      <c r="CL167" s="23">
        <f>EXP(-LN(2)/25)*CL166+(1-EXP(-LN(2)/25))/(LN(2)/25)*Calculateur!CG167*Calculateur!CI167*VLOOKUP('Données projet'!$B$12,Paramètres!$A$1:$I$89,3,0)*0.475*44/12</f>
        <v>0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0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3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5.6843418860808015E-14</v>
      </c>
      <c r="O168" s="14">
        <f>N168*VLOOKUP('Données projet'!$B$9,Paramètres!$A$1:$I$89,3,0)*VLOOKUP('Données projet'!$B$9,Paramètres!$A$1:$I$89,5,0)</f>
        <v>2.6602720026858149E-14</v>
      </c>
      <c r="P168" s="14">
        <f t="shared" si="141"/>
        <v>4.6624771586320878E-13</v>
      </c>
      <c r="Q168" s="22">
        <f t="shared" si="162"/>
        <v>8.583811758418665E-13</v>
      </c>
      <c r="R168" s="62">
        <f t="shared" si="109"/>
        <v>293.33333333333417</v>
      </c>
      <c r="S168" s="62">
        <f ca="1">AVERAGE(OFFSET($R$3,0,0,'Données projet'!$E$9+1,1))-AVERAGE(OFFSET($H$3,0,0,'Données projet'!$E$9+1,1))</f>
        <v>172.45217697899039</v>
      </c>
      <c r="T168" s="62">
        <f t="shared" si="142"/>
        <v>223.74038909289629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1.0604887001439807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7.4335688848825946E-20</v>
      </c>
      <c r="AC168" s="24">
        <f t="shared" si="163"/>
        <v>1.0604887001439807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364.3481978218424</v>
      </c>
      <c r="AO168" s="62">
        <f t="shared" si="144"/>
        <v>231.36959598460686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>
        <f>BD168*VLOOKUP('Données projet'!$B$11,Paramètres!$A$1:$I$89,3,0)*VLOOKUP('Données projet'!$B$11,Paramètres!$A$1:$I$89,5,0)</f>
        <v>0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403.50418598112844</v>
      </c>
      <c r="BJ168" s="62">
        <f t="shared" si="146"/>
        <v>254.25036207346591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0</v>
      </c>
      <c r="BQ168" s="23">
        <f>EXP(-LN(2)/25)*BQ167+(1-EXP(-LN(2)/25))/(LN(2)/25)*Calculateur!BL168*Calculateur!BN168*VLOOKUP('Données projet'!$B$11,Paramètres!$A$1:$I$89,3,0)*0.475*44/12</f>
        <v>0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0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-3.979039320256561E-13</v>
      </c>
      <c r="BZ168" s="14">
        <f>BY168*VLOOKUP('Données projet'!$B$12,Paramètres!$A$1:$I$89,3,0)*VLOOKUP('Données projet'!$B$12,Paramètres!$A$1:$I$89,5,0)</f>
        <v>-3.41401573678013E-13</v>
      </c>
      <c r="CA168" s="14" t="e">
        <f t="shared" si="170"/>
        <v>#NUM!</v>
      </c>
      <c r="CB168" s="22" t="e">
        <f t="shared" si="171"/>
        <v>#NUM!</v>
      </c>
      <c r="CC168" s="62" t="e">
        <f t="shared" si="119"/>
        <v>#NUM!</v>
      </c>
      <c r="CD168" s="62">
        <f ca="1">AVERAGE(OFFSET($CC$3,0,0,'Données projet'!$E$12+1,1))-AVERAGE(OFFSET($H$3,0,0,'Données projet'!$E$12+1,1))</f>
        <v>347.72886258008998</v>
      </c>
      <c r="CE168" s="62">
        <f t="shared" si="148"/>
        <v>176.81257896138806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0</v>
      </c>
      <c r="CL168" s="23">
        <f>EXP(-LN(2)/25)*CL167+(1-EXP(-LN(2)/25))/(LN(2)/25)*Calculateur!CG168*Calculateur!CI168*VLOOKUP('Données projet'!$B$12,Paramètres!$A$1:$I$89,3,0)*0.475*44/12</f>
        <v>0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0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3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5.6843418860808015E-14</v>
      </c>
      <c r="O169" s="14">
        <f>N169*VLOOKUP('Données projet'!$B$9,Paramètres!$A$1:$I$89,3,0)*VLOOKUP('Données projet'!$B$9,Paramètres!$A$1:$I$89,5,0)</f>
        <v>2.6602720026858149E-14</v>
      </c>
      <c r="P169" s="14">
        <f t="shared" si="141"/>
        <v>4.6624771586320878E-13</v>
      </c>
      <c r="Q169" s="22">
        <f t="shared" si="162"/>
        <v>8.583811758418665E-13</v>
      </c>
      <c r="R169" s="62">
        <f t="shared" si="109"/>
        <v>293.33333333333417</v>
      </c>
      <c r="S169" s="62">
        <f ca="1">AVERAGE(OFFSET($R$3,0,0,'Données projet'!$E$9+1,1))-AVERAGE(OFFSET($H$3,0,0,'Données projet'!$E$9+1,1))</f>
        <v>172.45217697899039</v>
      </c>
      <c r="T169" s="62">
        <f t="shared" si="142"/>
        <v>223.74038909289629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1.0396931635683948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5.2563269669178052E-20</v>
      </c>
      <c r="AC169" s="24">
        <f t="shared" si="163"/>
        <v>1.0396931635683948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364.3481978218424</v>
      </c>
      <c r="AO169" s="62">
        <f t="shared" si="144"/>
        <v>231.36959598460686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>
        <f>BD169*VLOOKUP('Données projet'!$B$11,Paramètres!$A$1:$I$89,3,0)*VLOOKUP('Données projet'!$B$11,Paramètres!$A$1:$I$89,5,0)</f>
        <v>0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403.50418598112844</v>
      </c>
      <c r="BJ169" s="62">
        <f t="shared" si="146"/>
        <v>254.25036207346591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0</v>
      </c>
      <c r="BQ169" s="23">
        <f>EXP(-LN(2)/25)*BQ168+(1-EXP(-LN(2)/25))/(LN(2)/25)*Calculateur!BL169*Calculateur!BN169*VLOOKUP('Données projet'!$B$11,Paramètres!$A$1:$I$89,3,0)*0.475*44/12</f>
        <v>0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0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-3.979039320256561E-13</v>
      </c>
      <c r="BZ169" s="14">
        <f>BY169*VLOOKUP('Données projet'!$B$12,Paramètres!$A$1:$I$89,3,0)*VLOOKUP('Données projet'!$B$12,Paramètres!$A$1:$I$89,5,0)</f>
        <v>-3.41401573678013E-13</v>
      </c>
      <c r="CA169" s="14" t="e">
        <f t="shared" si="170"/>
        <v>#NUM!</v>
      </c>
      <c r="CB169" s="22" t="e">
        <f t="shared" si="171"/>
        <v>#NUM!</v>
      </c>
      <c r="CC169" s="62" t="e">
        <f t="shared" si="119"/>
        <v>#NUM!</v>
      </c>
      <c r="CD169" s="62">
        <f ca="1">AVERAGE(OFFSET($CC$3,0,0,'Données projet'!$E$12+1,1))-AVERAGE(OFFSET($H$3,0,0,'Données projet'!$E$12+1,1))</f>
        <v>347.72886258008998</v>
      </c>
      <c r="CE169" s="62">
        <f t="shared" si="148"/>
        <v>176.81257896138806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0</v>
      </c>
      <c r="CL169" s="23">
        <f>EXP(-LN(2)/25)*CL168+(1-EXP(-LN(2)/25))/(LN(2)/25)*Calculateur!CG169*Calculateur!CI169*VLOOKUP('Données projet'!$B$12,Paramètres!$A$1:$I$89,3,0)*0.475*44/12</f>
        <v>0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0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3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5.6843418860808015E-14</v>
      </c>
      <c r="O170" s="14">
        <f>N170*VLOOKUP('Données projet'!$B$9,Paramètres!$A$1:$I$89,3,0)*VLOOKUP('Données projet'!$B$9,Paramètres!$A$1:$I$89,5,0)</f>
        <v>2.6602720026858149E-14</v>
      </c>
      <c r="P170" s="14">
        <f t="shared" si="141"/>
        <v>4.6624771586320878E-13</v>
      </c>
      <c r="Q170" s="22">
        <f t="shared" si="162"/>
        <v>8.583811758418665E-13</v>
      </c>
      <c r="R170" s="62">
        <f t="shared" si="109"/>
        <v>293.33333333333417</v>
      </c>
      <c r="S170" s="62">
        <f ca="1">AVERAGE(OFFSET($R$3,0,0,'Données projet'!$E$9+1,1))-AVERAGE(OFFSET($H$3,0,0,'Données projet'!$E$9+1,1))</f>
        <v>172.45217697899039</v>
      </c>
      <c r="T170" s="62">
        <f t="shared" si="142"/>
        <v>223.74038909289629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1.0193054147810312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3.7167844424412979E-20</v>
      </c>
      <c r="AC170" s="24">
        <f t="shared" si="163"/>
        <v>1.0193054147810312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364.3481978218424</v>
      </c>
      <c r="AO170" s="62">
        <f t="shared" si="144"/>
        <v>231.36959598460686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>
        <f>BD170*VLOOKUP('Données projet'!$B$11,Paramètres!$A$1:$I$89,3,0)*VLOOKUP('Données projet'!$B$11,Paramètres!$A$1:$I$89,5,0)</f>
        <v>0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403.50418598112844</v>
      </c>
      <c r="BJ170" s="62">
        <f t="shared" si="146"/>
        <v>254.25036207346591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0</v>
      </c>
      <c r="BQ170" s="23">
        <f>EXP(-LN(2)/25)*BQ169+(1-EXP(-LN(2)/25))/(LN(2)/25)*Calculateur!BL170*Calculateur!BN170*VLOOKUP('Données projet'!$B$11,Paramètres!$A$1:$I$89,3,0)*0.475*44/12</f>
        <v>0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0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-3.979039320256561E-13</v>
      </c>
      <c r="BZ170" s="14">
        <f>BY170*VLOOKUP('Données projet'!$B$12,Paramètres!$A$1:$I$89,3,0)*VLOOKUP('Données projet'!$B$12,Paramètres!$A$1:$I$89,5,0)</f>
        <v>-3.41401573678013E-13</v>
      </c>
      <c r="CA170" s="14" t="e">
        <f t="shared" si="170"/>
        <v>#NUM!</v>
      </c>
      <c r="CB170" s="22" t="e">
        <f t="shared" si="171"/>
        <v>#NUM!</v>
      </c>
      <c r="CC170" s="62" t="e">
        <f t="shared" si="119"/>
        <v>#NUM!</v>
      </c>
      <c r="CD170" s="62">
        <f ca="1">AVERAGE(OFFSET($CC$3,0,0,'Données projet'!$E$12+1,1))-AVERAGE(OFFSET($H$3,0,0,'Données projet'!$E$12+1,1))</f>
        <v>347.72886258008998</v>
      </c>
      <c r="CE170" s="62">
        <f t="shared" si="148"/>
        <v>176.81257896138806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0</v>
      </c>
      <c r="CL170" s="23">
        <f>EXP(-LN(2)/25)*CL169+(1-EXP(-LN(2)/25))/(LN(2)/25)*Calculateur!CG170*Calculateur!CI170*VLOOKUP('Données projet'!$B$12,Paramètres!$A$1:$I$89,3,0)*0.475*44/12</f>
        <v>0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0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3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5.6843418860808015E-14</v>
      </c>
      <c r="O171" s="14">
        <f>N171*VLOOKUP('Données projet'!$B$9,Paramètres!$A$1:$I$89,3,0)*VLOOKUP('Données projet'!$B$9,Paramètres!$A$1:$I$89,5,0)</f>
        <v>2.6602720026858149E-14</v>
      </c>
      <c r="P171" s="14">
        <f t="shared" si="141"/>
        <v>4.6624771586320878E-13</v>
      </c>
      <c r="Q171" s="22">
        <f t="shared" si="162"/>
        <v>8.583811758418665E-13</v>
      </c>
      <c r="R171" s="62">
        <f t="shared" si="109"/>
        <v>293.33333333333417</v>
      </c>
      <c r="S171" s="62">
        <f ca="1">AVERAGE(OFFSET($R$3,0,0,'Données projet'!$E$9+1,1))-AVERAGE(OFFSET($H$3,0,0,'Données projet'!$E$9+1,1))</f>
        <v>172.45217697899039</v>
      </c>
      <c r="T171" s="62">
        <f t="shared" si="142"/>
        <v>223.74038909289629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0.99931745731208899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2.6281634834589029E-20</v>
      </c>
      <c r="AC171" s="24">
        <f t="shared" si="163"/>
        <v>0.99931745731208899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364.3481978218424</v>
      </c>
      <c r="AO171" s="62">
        <f t="shared" si="144"/>
        <v>231.36959598460686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>
        <f>BD171*VLOOKUP('Données projet'!$B$11,Paramètres!$A$1:$I$89,3,0)*VLOOKUP('Données projet'!$B$11,Paramètres!$A$1:$I$89,5,0)</f>
        <v>0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403.50418598112844</v>
      </c>
      <c r="BJ171" s="62">
        <f t="shared" si="146"/>
        <v>254.25036207346591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0</v>
      </c>
      <c r="BQ171" s="23">
        <f>EXP(-LN(2)/25)*BQ170+(1-EXP(-LN(2)/25))/(LN(2)/25)*Calculateur!BL171*Calculateur!BN171*VLOOKUP('Données projet'!$B$11,Paramètres!$A$1:$I$89,3,0)*0.475*44/12</f>
        <v>0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0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-3.979039320256561E-13</v>
      </c>
      <c r="BZ171" s="14">
        <f>BY171*VLOOKUP('Données projet'!$B$12,Paramètres!$A$1:$I$89,3,0)*VLOOKUP('Données projet'!$B$12,Paramètres!$A$1:$I$89,5,0)</f>
        <v>-3.41401573678013E-13</v>
      </c>
      <c r="CA171" s="14" t="e">
        <f t="shared" si="170"/>
        <v>#NUM!</v>
      </c>
      <c r="CB171" s="22" t="e">
        <f t="shared" si="171"/>
        <v>#NUM!</v>
      </c>
      <c r="CC171" s="62" t="e">
        <f t="shared" si="119"/>
        <v>#NUM!</v>
      </c>
      <c r="CD171" s="62">
        <f ca="1">AVERAGE(OFFSET($CC$3,0,0,'Données projet'!$E$12+1,1))-AVERAGE(OFFSET($H$3,0,0,'Données projet'!$E$12+1,1))</f>
        <v>347.72886258008998</v>
      </c>
      <c r="CE171" s="62">
        <f t="shared" si="148"/>
        <v>176.81257896138806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0</v>
      </c>
      <c r="CL171" s="23">
        <f>EXP(-LN(2)/25)*CL170+(1-EXP(-LN(2)/25))/(LN(2)/25)*Calculateur!CG171*Calculateur!CI171*VLOOKUP('Données projet'!$B$12,Paramètres!$A$1:$I$89,3,0)*0.475*44/12</f>
        <v>0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0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3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5.6843418860808015E-14</v>
      </c>
      <c r="O172" s="14">
        <f>N172*VLOOKUP('Données projet'!$B$9,Paramètres!$A$1:$I$89,3,0)*VLOOKUP('Données projet'!$B$9,Paramètres!$A$1:$I$89,5,0)</f>
        <v>2.6602720026858149E-14</v>
      </c>
      <c r="P172" s="14">
        <f t="shared" si="141"/>
        <v>4.6624771586320878E-13</v>
      </c>
      <c r="Q172" s="22">
        <f t="shared" si="162"/>
        <v>8.583811758418665E-13</v>
      </c>
      <c r="R172" s="62">
        <f t="shared" si="109"/>
        <v>293.33333333333417</v>
      </c>
      <c r="S172" s="62">
        <f ca="1">AVERAGE(OFFSET($R$3,0,0,'Données projet'!$E$9+1,1))-AVERAGE(OFFSET($H$3,0,0,'Données projet'!$E$9+1,1))</f>
        <v>172.45217697899039</v>
      </c>
      <c r="T172" s="62">
        <f t="shared" si="142"/>
        <v>223.74038909289629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0.97972145149766243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1.8583922212206489E-20</v>
      </c>
      <c r="AC172" s="24">
        <f t="shared" si="163"/>
        <v>0.97972145149766243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364.3481978218424</v>
      </c>
      <c r="AO172" s="62">
        <f t="shared" si="144"/>
        <v>231.36959598460686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>
        <f>BD172*VLOOKUP('Données projet'!$B$11,Paramètres!$A$1:$I$89,3,0)*VLOOKUP('Données projet'!$B$11,Paramètres!$A$1:$I$89,5,0)</f>
        <v>0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403.50418598112844</v>
      </c>
      <c r="BJ172" s="62">
        <f t="shared" si="146"/>
        <v>254.25036207346591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0</v>
      </c>
      <c r="BQ172" s="23">
        <f>EXP(-LN(2)/25)*BQ171+(1-EXP(-LN(2)/25))/(LN(2)/25)*Calculateur!BL172*Calculateur!BN172*VLOOKUP('Données projet'!$B$11,Paramètres!$A$1:$I$89,3,0)*0.475*44/12</f>
        <v>0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0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-3.979039320256561E-13</v>
      </c>
      <c r="BZ172" s="14">
        <f>BY172*VLOOKUP('Données projet'!$B$12,Paramètres!$A$1:$I$89,3,0)*VLOOKUP('Données projet'!$B$12,Paramètres!$A$1:$I$89,5,0)</f>
        <v>-3.41401573678013E-13</v>
      </c>
      <c r="CA172" s="14" t="e">
        <f t="shared" si="170"/>
        <v>#NUM!</v>
      </c>
      <c r="CB172" s="22" t="e">
        <f t="shared" si="171"/>
        <v>#NUM!</v>
      </c>
      <c r="CC172" s="62" t="e">
        <f t="shared" si="119"/>
        <v>#NUM!</v>
      </c>
      <c r="CD172" s="62">
        <f ca="1">AVERAGE(OFFSET($CC$3,0,0,'Données projet'!$E$12+1,1))-AVERAGE(OFFSET($H$3,0,0,'Données projet'!$E$12+1,1))</f>
        <v>347.72886258008998</v>
      </c>
      <c r="CE172" s="62">
        <f t="shared" si="148"/>
        <v>176.81257896138806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0</v>
      </c>
      <c r="CL172" s="23">
        <f>EXP(-LN(2)/25)*CL171+(1-EXP(-LN(2)/25))/(LN(2)/25)*Calculateur!CG172*Calculateur!CI172*VLOOKUP('Données projet'!$B$12,Paramètres!$A$1:$I$89,3,0)*0.475*44/12</f>
        <v>0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0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3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5.6843418860808015E-14</v>
      </c>
      <c r="O173" s="14">
        <f>N173*VLOOKUP('Données projet'!$B$9,Paramètres!$A$1:$I$89,3,0)*VLOOKUP('Données projet'!$B$9,Paramètres!$A$1:$I$89,5,0)</f>
        <v>2.6602720026858149E-14</v>
      </c>
      <c r="P173" s="14">
        <f t="shared" si="141"/>
        <v>4.6624771586320878E-13</v>
      </c>
      <c r="Q173" s="22">
        <f t="shared" si="162"/>
        <v>8.583811758418665E-13</v>
      </c>
      <c r="R173" s="62">
        <f t="shared" si="109"/>
        <v>293.33333333333417</v>
      </c>
      <c r="S173" s="62">
        <f ca="1">AVERAGE(OFFSET($R$3,0,0,'Données projet'!$E$9+1,1))-AVERAGE(OFFSET($H$3,0,0,'Données projet'!$E$9+1,1))</f>
        <v>172.45217697899039</v>
      </c>
      <c r="T173" s="62">
        <f t="shared" si="142"/>
        <v>223.74038909289629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0.9605097114048734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1.3140817417294514E-20</v>
      </c>
      <c r="AC173" s="24">
        <f t="shared" si="163"/>
        <v>0.9605097114048734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364.3481978218424</v>
      </c>
      <c r="AO173" s="62">
        <f t="shared" si="144"/>
        <v>231.36959598460686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>
        <f>BD173*VLOOKUP('Données projet'!$B$11,Paramètres!$A$1:$I$89,3,0)*VLOOKUP('Données projet'!$B$11,Paramètres!$A$1:$I$89,5,0)</f>
        <v>0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403.50418598112844</v>
      </c>
      <c r="BJ173" s="62">
        <f t="shared" si="146"/>
        <v>254.25036207346591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0</v>
      </c>
      <c r="BQ173" s="23">
        <f>EXP(-LN(2)/25)*BQ172+(1-EXP(-LN(2)/25))/(LN(2)/25)*Calculateur!BL173*Calculateur!BN173*VLOOKUP('Données projet'!$B$11,Paramètres!$A$1:$I$89,3,0)*0.475*44/12</f>
        <v>0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0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-3.979039320256561E-13</v>
      </c>
      <c r="BZ173" s="14">
        <f>BY173*VLOOKUP('Données projet'!$B$12,Paramètres!$A$1:$I$89,3,0)*VLOOKUP('Données projet'!$B$12,Paramètres!$A$1:$I$89,5,0)</f>
        <v>-3.41401573678013E-13</v>
      </c>
      <c r="CA173" s="14" t="e">
        <f t="shared" si="170"/>
        <v>#NUM!</v>
      </c>
      <c r="CB173" s="22" t="e">
        <f t="shared" si="171"/>
        <v>#NUM!</v>
      </c>
      <c r="CC173" s="62" t="e">
        <f t="shared" si="119"/>
        <v>#NUM!</v>
      </c>
      <c r="CD173" s="62">
        <f ca="1">AVERAGE(OFFSET($CC$3,0,0,'Données projet'!$E$12+1,1))-AVERAGE(OFFSET($H$3,0,0,'Données projet'!$E$12+1,1))</f>
        <v>347.72886258008998</v>
      </c>
      <c r="CE173" s="62">
        <f t="shared" si="148"/>
        <v>176.81257896138806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0</v>
      </c>
      <c r="CL173" s="23">
        <f>EXP(-LN(2)/25)*CL172+(1-EXP(-LN(2)/25))/(LN(2)/25)*Calculateur!CG173*Calculateur!CI173*VLOOKUP('Données projet'!$B$12,Paramètres!$A$1:$I$89,3,0)*0.475*44/12</f>
        <v>0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0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3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5.6843418860808015E-14</v>
      </c>
      <c r="O174" s="14">
        <f>N174*VLOOKUP('Données projet'!$B$9,Paramètres!$A$1:$I$89,3,0)*VLOOKUP('Données projet'!$B$9,Paramètres!$A$1:$I$89,5,0)</f>
        <v>2.6602720026858149E-14</v>
      </c>
      <c r="P174" s="14">
        <f t="shared" si="141"/>
        <v>4.6624771586320878E-13</v>
      </c>
      <c r="Q174" s="22">
        <f t="shared" si="162"/>
        <v>8.583811758418665E-13</v>
      </c>
      <c r="R174" s="62">
        <f t="shared" si="109"/>
        <v>293.33333333333417</v>
      </c>
      <c r="S174" s="62">
        <f ca="1">AVERAGE(OFFSET($R$3,0,0,'Données projet'!$E$9+1,1))-AVERAGE(OFFSET($H$3,0,0,'Données projet'!$E$9+1,1))</f>
        <v>172.45217697899039</v>
      </c>
      <c r="T174" s="62">
        <f t="shared" si="142"/>
        <v>223.74038909289629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0.94167470181729962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9.2919611061032447E-21</v>
      </c>
      <c r="AC174" s="24">
        <f t="shared" si="163"/>
        <v>0.94167470181729962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364.3481978218424</v>
      </c>
      <c r="AO174" s="62">
        <f t="shared" si="144"/>
        <v>231.36959598460686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>
        <f>BD174*VLOOKUP('Données projet'!$B$11,Paramètres!$A$1:$I$89,3,0)*VLOOKUP('Données projet'!$B$11,Paramètres!$A$1:$I$89,5,0)</f>
        <v>0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403.50418598112844</v>
      </c>
      <c r="BJ174" s="62">
        <f t="shared" si="146"/>
        <v>254.25036207346591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0</v>
      </c>
      <c r="BQ174" s="23">
        <f>EXP(-LN(2)/25)*BQ173+(1-EXP(-LN(2)/25))/(LN(2)/25)*Calculateur!BL174*Calculateur!BN174*VLOOKUP('Données projet'!$B$11,Paramètres!$A$1:$I$89,3,0)*0.475*44/12</f>
        <v>0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0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-3.979039320256561E-13</v>
      </c>
      <c r="BZ174" s="14">
        <f>BY174*VLOOKUP('Données projet'!$B$12,Paramètres!$A$1:$I$89,3,0)*VLOOKUP('Données projet'!$B$12,Paramètres!$A$1:$I$89,5,0)</f>
        <v>-3.41401573678013E-13</v>
      </c>
      <c r="CA174" s="14" t="e">
        <f t="shared" si="170"/>
        <v>#NUM!</v>
      </c>
      <c r="CB174" s="22" t="e">
        <f t="shared" si="171"/>
        <v>#NUM!</v>
      </c>
      <c r="CC174" s="62" t="e">
        <f t="shared" si="119"/>
        <v>#NUM!</v>
      </c>
      <c r="CD174" s="62">
        <f ca="1">AVERAGE(OFFSET($CC$3,0,0,'Données projet'!$E$12+1,1))-AVERAGE(OFFSET($H$3,0,0,'Données projet'!$E$12+1,1))</f>
        <v>347.72886258008998</v>
      </c>
      <c r="CE174" s="62">
        <f t="shared" si="148"/>
        <v>176.81257896138806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0</v>
      </c>
      <c r="CL174" s="23">
        <f>EXP(-LN(2)/25)*CL173+(1-EXP(-LN(2)/25))/(LN(2)/25)*Calculateur!CG174*Calculateur!CI174*VLOOKUP('Données projet'!$B$12,Paramètres!$A$1:$I$89,3,0)*0.475*44/12</f>
        <v>0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0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3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5.6843418860808015E-14</v>
      </c>
      <c r="O175" s="14">
        <f>N175*VLOOKUP('Données projet'!$B$9,Paramètres!$A$1:$I$89,3,0)*VLOOKUP('Données projet'!$B$9,Paramètres!$A$1:$I$89,5,0)</f>
        <v>2.6602720026858149E-14</v>
      </c>
      <c r="P175" s="14">
        <f t="shared" si="141"/>
        <v>4.6624771586320878E-13</v>
      </c>
      <c r="Q175" s="22">
        <f t="shared" si="162"/>
        <v>8.583811758418665E-13</v>
      </c>
      <c r="R175" s="62">
        <f t="shared" si="109"/>
        <v>293.33333333333417</v>
      </c>
      <c r="S175" s="62">
        <f ca="1">AVERAGE(OFFSET($R$3,0,0,'Données projet'!$E$9+1,1))-AVERAGE(OFFSET($H$3,0,0,'Données projet'!$E$9+1,1))</f>
        <v>172.45217697899039</v>
      </c>
      <c r="T175" s="62">
        <f t="shared" si="142"/>
        <v>223.74038909289629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0.9232090352795167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6.5704087086472572E-21</v>
      </c>
      <c r="AC175" s="24">
        <f t="shared" si="163"/>
        <v>0.9232090352795167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364.3481978218424</v>
      </c>
      <c r="AO175" s="62">
        <f t="shared" si="144"/>
        <v>231.36959598460686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>
        <f>BD175*VLOOKUP('Données projet'!$B$11,Paramètres!$A$1:$I$89,3,0)*VLOOKUP('Données projet'!$B$11,Paramètres!$A$1:$I$89,5,0)</f>
        <v>0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403.50418598112844</v>
      </c>
      <c r="BJ175" s="62">
        <f t="shared" si="146"/>
        <v>254.25036207346591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0</v>
      </c>
      <c r="BQ175" s="23">
        <f>EXP(-LN(2)/25)*BQ174+(1-EXP(-LN(2)/25))/(LN(2)/25)*Calculateur!BL175*Calculateur!BN175*VLOOKUP('Données projet'!$B$11,Paramètres!$A$1:$I$89,3,0)*0.475*44/12</f>
        <v>0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0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-3.979039320256561E-13</v>
      </c>
      <c r="BZ175" s="14">
        <f>BY175*VLOOKUP('Données projet'!$B$12,Paramètres!$A$1:$I$89,3,0)*VLOOKUP('Données projet'!$B$12,Paramètres!$A$1:$I$89,5,0)</f>
        <v>-3.41401573678013E-13</v>
      </c>
      <c r="CA175" s="14" t="e">
        <f t="shared" si="170"/>
        <v>#NUM!</v>
      </c>
      <c r="CB175" s="22" t="e">
        <f t="shared" si="171"/>
        <v>#NUM!</v>
      </c>
      <c r="CC175" s="62" t="e">
        <f t="shared" si="119"/>
        <v>#NUM!</v>
      </c>
      <c r="CD175" s="62">
        <f ca="1">AVERAGE(OFFSET($CC$3,0,0,'Données projet'!$E$12+1,1))-AVERAGE(OFFSET($H$3,0,0,'Données projet'!$E$12+1,1))</f>
        <v>347.72886258008998</v>
      </c>
      <c r="CE175" s="62">
        <f t="shared" si="148"/>
        <v>176.81257896138806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0</v>
      </c>
      <c r="CL175" s="23">
        <f>EXP(-LN(2)/25)*CL174+(1-EXP(-LN(2)/25))/(LN(2)/25)*Calculateur!CG175*Calculateur!CI175*VLOOKUP('Données projet'!$B$12,Paramètres!$A$1:$I$89,3,0)*0.475*44/12</f>
        <v>0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0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3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5.6843418860808015E-14</v>
      </c>
      <c r="O176" s="14">
        <f>N176*VLOOKUP('Données projet'!$B$9,Paramètres!$A$1:$I$89,3,0)*VLOOKUP('Données projet'!$B$9,Paramètres!$A$1:$I$89,5,0)</f>
        <v>2.6602720026858149E-14</v>
      </c>
      <c r="P176" s="14">
        <f t="shared" si="141"/>
        <v>4.6624771586320878E-13</v>
      </c>
      <c r="Q176" s="22">
        <f t="shared" si="162"/>
        <v>8.583811758418665E-13</v>
      </c>
      <c r="R176" s="62">
        <f t="shared" si="109"/>
        <v>293.33333333333417</v>
      </c>
      <c r="S176" s="62">
        <f ca="1">AVERAGE(OFFSET($R$3,0,0,'Données projet'!$E$9+1,1))-AVERAGE(OFFSET($H$3,0,0,'Données projet'!$E$9+1,1))</f>
        <v>172.45217697899039</v>
      </c>
      <c r="T176" s="62">
        <f t="shared" si="142"/>
        <v>223.74038909289629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0.90510546919959523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4.6459805530516224E-21</v>
      </c>
      <c r="AC176" s="24">
        <f t="shared" si="163"/>
        <v>0.90510546919959523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364.3481978218424</v>
      </c>
      <c r="AO176" s="62">
        <f t="shared" si="144"/>
        <v>231.36959598460686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>
        <f>BD176*VLOOKUP('Données projet'!$B$11,Paramètres!$A$1:$I$89,3,0)*VLOOKUP('Données projet'!$B$11,Paramètres!$A$1:$I$89,5,0)</f>
        <v>0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403.50418598112844</v>
      </c>
      <c r="BJ176" s="62">
        <f t="shared" si="146"/>
        <v>254.25036207346591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0</v>
      </c>
      <c r="BQ176" s="23">
        <f>EXP(-LN(2)/25)*BQ175+(1-EXP(-LN(2)/25))/(LN(2)/25)*Calculateur!BL176*Calculateur!BN176*VLOOKUP('Données projet'!$B$11,Paramètres!$A$1:$I$89,3,0)*0.475*44/12</f>
        <v>0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0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-3.979039320256561E-13</v>
      </c>
      <c r="BZ176" s="14">
        <f>BY176*VLOOKUP('Données projet'!$B$12,Paramètres!$A$1:$I$89,3,0)*VLOOKUP('Données projet'!$B$12,Paramètres!$A$1:$I$89,5,0)</f>
        <v>-3.41401573678013E-13</v>
      </c>
      <c r="CA176" s="14" t="e">
        <f t="shared" si="170"/>
        <v>#NUM!</v>
      </c>
      <c r="CB176" s="22" t="e">
        <f t="shared" si="171"/>
        <v>#NUM!</v>
      </c>
      <c r="CC176" s="62" t="e">
        <f t="shared" si="119"/>
        <v>#NUM!</v>
      </c>
      <c r="CD176" s="62">
        <f ca="1">AVERAGE(OFFSET($CC$3,0,0,'Données projet'!$E$12+1,1))-AVERAGE(OFFSET($H$3,0,0,'Données projet'!$E$12+1,1))</f>
        <v>347.72886258008998</v>
      </c>
      <c r="CE176" s="62">
        <f t="shared" si="148"/>
        <v>176.81257896138806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0</v>
      </c>
      <c r="CL176" s="23">
        <f>EXP(-LN(2)/25)*CL175+(1-EXP(-LN(2)/25))/(LN(2)/25)*Calculateur!CG176*Calculateur!CI176*VLOOKUP('Données projet'!$B$12,Paramètres!$A$1:$I$89,3,0)*0.475*44/12</f>
        <v>0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0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3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5.6843418860808015E-14</v>
      </c>
      <c r="O177" s="14">
        <f>N177*VLOOKUP('Données projet'!$B$9,Paramètres!$A$1:$I$89,3,0)*VLOOKUP('Données projet'!$B$9,Paramètres!$A$1:$I$89,5,0)</f>
        <v>2.6602720026858149E-14</v>
      </c>
      <c r="P177" s="14">
        <f t="shared" si="141"/>
        <v>4.6624771586320878E-13</v>
      </c>
      <c r="Q177" s="22">
        <f t="shared" si="162"/>
        <v>8.583811758418665E-13</v>
      </c>
      <c r="R177" s="62">
        <f t="shared" si="109"/>
        <v>293.33333333333417</v>
      </c>
      <c r="S177" s="62">
        <f ca="1">AVERAGE(OFFSET($R$3,0,0,'Données projet'!$E$9+1,1))-AVERAGE(OFFSET($H$3,0,0,'Données projet'!$E$9+1,1))</f>
        <v>172.45217697899039</v>
      </c>
      <c r="T177" s="62">
        <f t="shared" si="142"/>
        <v>223.74038909289629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0.88735690300841596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3.2852043543236286E-21</v>
      </c>
      <c r="AC177" s="24">
        <f t="shared" si="163"/>
        <v>0.88735690300841596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364.3481978218424</v>
      </c>
      <c r="AO177" s="62">
        <f t="shared" si="144"/>
        <v>231.36959598460686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>
        <f>BD177*VLOOKUP('Données projet'!$B$11,Paramètres!$A$1:$I$89,3,0)*VLOOKUP('Données projet'!$B$11,Paramètres!$A$1:$I$89,5,0)</f>
        <v>0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403.50418598112844</v>
      </c>
      <c r="BJ177" s="62">
        <f t="shared" si="146"/>
        <v>254.25036207346591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0</v>
      </c>
      <c r="BQ177" s="23">
        <f>EXP(-LN(2)/25)*BQ176+(1-EXP(-LN(2)/25))/(LN(2)/25)*Calculateur!BL177*Calculateur!BN177*VLOOKUP('Données projet'!$B$11,Paramètres!$A$1:$I$89,3,0)*0.475*44/12</f>
        <v>0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0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-3.979039320256561E-13</v>
      </c>
      <c r="BZ177" s="14">
        <f>BY177*VLOOKUP('Données projet'!$B$12,Paramètres!$A$1:$I$89,3,0)*VLOOKUP('Données projet'!$B$12,Paramètres!$A$1:$I$89,5,0)</f>
        <v>-3.41401573678013E-13</v>
      </c>
      <c r="CA177" s="14" t="e">
        <f t="shared" si="170"/>
        <v>#NUM!</v>
      </c>
      <c r="CB177" s="22" t="e">
        <f t="shared" si="171"/>
        <v>#NUM!</v>
      </c>
      <c r="CC177" s="62" t="e">
        <f t="shared" si="119"/>
        <v>#NUM!</v>
      </c>
      <c r="CD177" s="62">
        <f ca="1">AVERAGE(OFFSET($CC$3,0,0,'Données projet'!$E$12+1,1))-AVERAGE(OFFSET($H$3,0,0,'Données projet'!$E$12+1,1))</f>
        <v>347.72886258008998</v>
      </c>
      <c r="CE177" s="62">
        <f t="shared" si="148"/>
        <v>176.81257896138806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0</v>
      </c>
      <c r="CL177" s="23">
        <f>EXP(-LN(2)/25)*CL176+(1-EXP(-LN(2)/25))/(LN(2)/25)*Calculateur!CG177*Calculateur!CI177*VLOOKUP('Données projet'!$B$12,Paramètres!$A$1:$I$89,3,0)*0.475*44/12</f>
        <v>0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0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3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5.6843418860808015E-14</v>
      </c>
      <c r="O178" s="14">
        <f>N178*VLOOKUP('Données projet'!$B$9,Paramètres!$A$1:$I$89,3,0)*VLOOKUP('Données projet'!$B$9,Paramètres!$A$1:$I$89,5,0)</f>
        <v>2.6602720026858149E-14</v>
      </c>
      <c r="P178" s="14">
        <f t="shared" si="141"/>
        <v>4.6624771586320878E-13</v>
      </c>
      <c r="Q178" s="22">
        <f t="shared" si="162"/>
        <v>8.583811758418665E-13</v>
      </c>
      <c r="R178" s="62">
        <f t="shared" si="109"/>
        <v>293.33333333333417</v>
      </c>
      <c r="S178" s="62">
        <f ca="1">AVERAGE(OFFSET($R$3,0,0,'Données projet'!$E$9+1,1))-AVERAGE(OFFSET($H$3,0,0,'Données projet'!$E$9+1,1))</f>
        <v>172.45217697899039</v>
      </c>
      <c r="T178" s="62">
        <f t="shared" si="142"/>
        <v>223.74038909289629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0.86995637537468928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2.3229902765258112E-21</v>
      </c>
      <c r="AC178" s="24">
        <f t="shared" si="163"/>
        <v>0.86995637537468928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364.3481978218424</v>
      </c>
      <c r="AO178" s="62">
        <f t="shared" si="144"/>
        <v>231.36959598460686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>
        <f>BD178*VLOOKUP('Données projet'!$B$11,Paramètres!$A$1:$I$89,3,0)*VLOOKUP('Données projet'!$B$11,Paramètres!$A$1:$I$89,5,0)</f>
        <v>0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403.50418598112844</v>
      </c>
      <c r="BJ178" s="62">
        <f t="shared" si="146"/>
        <v>254.25036207346591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0</v>
      </c>
      <c r="BQ178" s="23">
        <f>EXP(-LN(2)/25)*BQ177+(1-EXP(-LN(2)/25))/(LN(2)/25)*Calculateur!BL178*Calculateur!BN178*VLOOKUP('Données projet'!$B$11,Paramètres!$A$1:$I$89,3,0)*0.475*44/12</f>
        <v>0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0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-3.979039320256561E-13</v>
      </c>
      <c r="BZ178" s="14">
        <f>BY178*VLOOKUP('Données projet'!$B$12,Paramètres!$A$1:$I$89,3,0)*VLOOKUP('Données projet'!$B$12,Paramètres!$A$1:$I$89,5,0)</f>
        <v>-3.41401573678013E-13</v>
      </c>
      <c r="CA178" s="14" t="e">
        <f t="shared" si="170"/>
        <v>#NUM!</v>
      </c>
      <c r="CB178" s="22" t="e">
        <f t="shared" si="171"/>
        <v>#NUM!</v>
      </c>
      <c r="CC178" s="62" t="e">
        <f t="shared" si="119"/>
        <v>#NUM!</v>
      </c>
      <c r="CD178" s="62">
        <f ca="1">AVERAGE(OFFSET($CC$3,0,0,'Données projet'!$E$12+1,1))-AVERAGE(OFFSET($H$3,0,0,'Données projet'!$E$12+1,1))</f>
        <v>347.72886258008998</v>
      </c>
      <c r="CE178" s="62">
        <f t="shared" si="148"/>
        <v>176.81257896138806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0</v>
      </c>
      <c r="CL178" s="23">
        <f>EXP(-LN(2)/25)*CL177+(1-EXP(-LN(2)/25))/(LN(2)/25)*Calculateur!CG178*Calculateur!CI178*VLOOKUP('Données projet'!$B$12,Paramètres!$A$1:$I$89,3,0)*0.475*44/12</f>
        <v>0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0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3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5.6843418860808015E-14</v>
      </c>
      <c r="O179" s="14">
        <f>N179*VLOOKUP('Données projet'!$B$9,Paramètres!$A$1:$I$89,3,0)*VLOOKUP('Données projet'!$B$9,Paramètres!$A$1:$I$89,5,0)</f>
        <v>2.6602720026858149E-14</v>
      </c>
      <c r="P179" s="14">
        <f t="shared" si="141"/>
        <v>4.6624771586320878E-13</v>
      </c>
      <c r="Q179" s="22">
        <f t="shared" si="162"/>
        <v>8.583811758418665E-13</v>
      </c>
      <c r="R179" s="62">
        <f t="shared" si="109"/>
        <v>293.33333333333417</v>
      </c>
      <c r="S179" s="62">
        <f ca="1">AVERAGE(OFFSET($R$3,0,0,'Données projet'!$E$9+1,1))-AVERAGE(OFFSET($H$3,0,0,'Données projet'!$E$9+1,1))</f>
        <v>172.45217697899039</v>
      </c>
      <c r="T179" s="62">
        <f t="shared" si="142"/>
        <v>223.74038909289629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0.8528970614745861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1.6426021771618143E-21</v>
      </c>
      <c r="AC179" s="24">
        <f t="shared" si="163"/>
        <v>0.8528970614745861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364.3481978218424</v>
      </c>
      <c r="AO179" s="62">
        <f t="shared" si="144"/>
        <v>231.36959598460686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>
        <f>BD179*VLOOKUP('Données projet'!$B$11,Paramètres!$A$1:$I$89,3,0)*VLOOKUP('Données projet'!$B$11,Paramètres!$A$1:$I$89,5,0)</f>
        <v>0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403.50418598112844</v>
      </c>
      <c r="BJ179" s="62">
        <f t="shared" si="146"/>
        <v>254.25036207346591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0</v>
      </c>
      <c r="BQ179" s="23">
        <f>EXP(-LN(2)/25)*BQ178+(1-EXP(-LN(2)/25))/(LN(2)/25)*Calculateur!BL179*Calculateur!BN179*VLOOKUP('Données projet'!$B$11,Paramètres!$A$1:$I$89,3,0)*0.475*44/12</f>
        <v>0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0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-3.979039320256561E-13</v>
      </c>
      <c r="BZ179" s="14">
        <f>BY179*VLOOKUP('Données projet'!$B$12,Paramètres!$A$1:$I$89,3,0)*VLOOKUP('Données projet'!$B$12,Paramètres!$A$1:$I$89,5,0)</f>
        <v>-3.41401573678013E-13</v>
      </c>
      <c r="CA179" s="14" t="e">
        <f t="shared" si="170"/>
        <v>#NUM!</v>
      </c>
      <c r="CB179" s="22" t="e">
        <f t="shared" si="171"/>
        <v>#NUM!</v>
      </c>
      <c r="CC179" s="62" t="e">
        <f t="shared" si="119"/>
        <v>#NUM!</v>
      </c>
      <c r="CD179" s="62">
        <f ca="1">AVERAGE(OFFSET($CC$3,0,0,'Données projet'!$E$12+1,1))-AVERAGE(OFFSET($H$3,0,0,'Données projet'!$E$12+1,1))</f>
        <v>347.72886258008998</v>
      </c>
      <c r="CE179" s="62">
        <f t="shared" si="148"/>
        <v>176.81257896138806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0</v>
      </c>
      <c r="CL179" s="23">
        <f>EXP(-LN(2)/25)*CL178+(1-EXP(-LN(2)/25))/(LN(2)/25)*Calculateur!CG179*Calculateur!CI179*VLOOKUP('Données projet'!$B$12,Paramètres!$A$1:$I$89,3,0)*0.475*44/12</f>
        <v>0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0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3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5.6843418860808015E-14</v>
      </c>
      <c r="O180" s="14">
        <f>N180*VLOOKUP('Données projet'!$B$9,Paramètres!$A$1:$I$89,3,0)*VLOOKUP('Données projet'!$B$9,Paramètres!$A$1:$I$89,5,0)</f>
        <v>2.6602720026858149E-14</v>
      </c>
      <c r="P180" s="14">
        <f t="shared" si="141"/>
        <v>4.6624771586320878E-13</v>
      </c>
      <c r="Q180" s="22">
        <f t="shared" si="162"/>
        <v>8.583811758418665E-13</v>
      </c>
      <c r="R180" s="62">
        <f t="shared" si="109"/>
        <v>293.33333333333417</v>
      </c>
      <c r="S180" s="62">
        <f ca="1">AVERAGE(OFFSET($R$3,0,0,'Données projet'!$E$9+1,1))-AVERAGE(OFFSET($H$3,0,0,'Données projet'!$E$9+1,1))</f>
        <v>172.45217697899039</v>
      </c>
      <c r="T180" s="62">
        <f t="shared" si="142"/>
        <v>223.74038909289629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0.83617227031490993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1.1614951382629056E-21</v>
      </c>
      <c r="AC180" s="24">
        <f t="shared" si="163"/>
        <v>0.83617227031490993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364.3481978218424</v>
      </c>
      <c r="AO180" s="62">
        <f t="shared" si="144"/>
        <v>231.36959598460686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>
        <f>BD180*VLOOKUP('Données projet'!$B$11,Paramètres!$A$1:$I$89,3,0)*VLOOKUP('Données projet'!$B$11,Paramètres!$A$1:$I$89,5,0)</f>
        <v>0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403.50418598112844</v>
      </c>
      <c r="BJ180" s="62">
        <f t="shared" si="146"/>
        <v>254.25036207346591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0</v>
      </c>
      <c r="BQ180" s="23">
        <f>EXP(-LN(2)/25)*BQ179+(1-EXP(-LN(2)/25))/(LN(2)/25)*Calculateur!BL180*Calculateur!BN180*VLOOKUP('Données projet'!$B$11,Paramètres!$A$1:$I$89,3,0)*0.475*44/12</f>
        <v>0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0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-3.979039320256561E-13</v>
      </c>
      <c r="BZ180" s="14">
        <f>BY180*VLOOKUP('Données projet'!$B$12,Paramètres!$A$1:$I$89,3,0)*VLOOKUP('Données projet'!$B$12,Paramètres!$A$1:$I$89,5,0)</f>
        <v>-3.41401573678013E-13</v>
      </c>
      <c r="CA180" s="14" t="e">
        <f t="shared" si="170"/>
        <v>#NUM!</v>
      </c>
      <c r="CB180" s="22" t="e">
        <f t="shared" si="171"/>
        <v>#NUM!</v>
      </c>
      <c r="CC180" s="62" t="e">
        <f t="shared" si="119"/>
        <v>#NUM!</v>
      </c>
      <c r="CD180" s="62">
        <f ca="1">AVERAGE(OFFSET($CC$3,0,0,'Données projet'!$E$12+1,1))-AVERAGE(OFFSET($H$3,0,0,'Données projet'!$E$12+1,1))</f>
        <v>347.72886258008998</v>
      </c>
      <c r="CE180" s="62">
        <f t="shared" si="148"/>
        <v>176.81257896138806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0</v>
      </c>
      <c r="CL180" s="23">
        <f>EXP(-LN(2)/25)*CL179+(1-EXP(-LN(2)/25))/(LN(2)/25)*Calculateur!CG180*Calculateur!CI180*VLOOKUP('Données projet'!$B$12,Paramètres!$A$1:$I$89,3,0)*0.475*44/12</f>
        <v>0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0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3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5.6843418860808015E-14</v>
      </c>
      <c r="O181" s="14">
        <f>N181*VLOOKUP('Données projet'!$B$9,Paramètres!$A$1:$I$89,3,0)*VLOOKUP('Données projet'!$B$9,Paramètres!$A$1:$I$89,5,0)</f>
        <v>2.6602720026858149E-14</v>
      </c>
      <c r="P181" s="14">
        <f t="shared" si="141"/>
        <v>4.6624771586320878E-13</v>
      </c>
      <c r="Q181" s="22">
        <f t="shared" si="162"/>
        <v>8.583811758418665E-13</v>
      </c>
      <c r="R181" s="62">
        <f t="shared" si="109"/>
        <v>293.33333333333417</v>
      </c>
      <c r="S181" s="62">
        <f ca="1">AVERAGE(OFFSET($R$3,0,0,'Données projet'!$E$9+1,1))-AVERAGE(OFFSET($H$3,0,0,'Données projet'!$E$9+1,1))</f>
        <v>172.45217697899039</v>
      </c>
      <c r="T181" s="62">
        <f t="shared" si="142"/>
        <v>223.74038909289629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0.81977544210875963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8.2130108858090716E-22</v>
      </c>
      <c r="AC181" s="24">
        <f t="shared" si="163"/>
        <v>0.81977544210875963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364.3481978218424</v>
      </c>
      <c r="AO181" s="62">
        <f t="shared" si="144"/>
        <v>231.36959598460686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>
        <f>BD181*VLOOKUP('Données projet'!$B$11,Paramètres!$A$1:$I$89,3,0)*VLOOKUP('Données projet'!$B$11,Paramètres!$A$1:$I$89,5,0)</f>
        <v>0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403.50418598112844</v>
      </c>
      <c r="BJ181" s="62">
        <f t="shared" si="146"/>
        <v>254.25036207346591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0</v>
      </c>
      <c r="BQ181" s="23">
        <f>EXP(-LN(2)/25)*BQ180+(1-EXP(-LN(2)/25))/(LN(2)/25)*Calculateur!BL181*Calculateur!BN181*VLOOKUP('Données projet'!$B$11,Paramètres!$A$1:$I$89,3,0)*0.475*44/12</f>
        <v>0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0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-3.979039320256561E-13</v>
      </c>
      <c r="BZ181" s="14">
        <f>BY181*VLOOKUP('Données projet'!$B$12,Paramètres!$A$1:$I$89,3,0)*VLOOKUP('Données projet'!$B$12,Paramètres!$A$1:$I$89,5,0)</f>
        <v>-3.41401573678013E-13</v>
      </c>
      <c r="CA181" s="14" t="e">
        <f t="shared" si="170"/>
        <v>#NUM!</v>
      </c>
      <c r="CB181" s="22" t="e">
        <f t="shared" si="171"/>
        <v>#NUM!</v>
      </c>
      <c r="CC181" s="62" t="e">
        <f t="shared" si="119"/>
        <v>#NUM!</v>
      </c>
      <c r="CD181" s="62">
        <f ca="1">AVERAGE(OFFSET($CC$3,0,0,'Données projet'!$E$12+1,1))-AVERAGE(OFFSET($H$3,0,0,'Données projet'!$E$12+1,1))</f>
        <v>347.72886258008998</v>
      </c>
      <c r="CE181" s="62">
        <f t="shared" si="148"/>
        <v>176.81257896138806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0</v>
      </c>
      <c r="CL181" s="23">
        <f>EXP(-LN(2)/25)*CL180+(1-EXP(-LN(2)/25))/(LN(2)/25)*Calculateur!CG181*Calculateur!CI181*VLOOKUP('Données projet'!$B$12,Paramètres!$A$1:$I$89,3,0)*0.475*44/12</f>
        <v>0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0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3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5.6843418860808015E-14</v>
      </c>
      <c r="O182" s="14">
        <f>N182*VLOOKUP('Données projet'!$B$9,Paramètres!$A$1:$I$89,3,0)*VLOOKUP('Données projet'!$B$9,Paramètres!$A$1:$I$89,5,0)</f>
        <v>2.6602720026858149E-14</v>
      </c>
      <c r="P182" s="14">
        <f t="shared" si="141"/>
        <v>4.6624771586320878E-13</v>
      </c>
      <c r="Q182" s="22">
        <f t="shared" si="162"/>
        <v>8.583811758418665E-13</v>
      </c>
      <c r="R182" s="62">
        <f t="shared" si="109"/>
        <v>293.33333333333417</v>
      </c>
      <c r="S182" s="62">
        <f ca="1">AVERAGE(OFFSET($R$3,0,0,'Données projet'!$E$9+1,1))-AVERAGE(OFFSET($H$3,0,0,'Données projet'!$E$9+1,1))</f>
        <v>172.45217697899039</v>
      </c>
      <c r="T182" s="62">
        <f t="shared" si="142"/>
        <v>223.74038909289629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0.80370014570265425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5.8074756913145279E-22</v>
      </c>
      <c r="AC182" s="24">
        <f t="shared" si="163"/>
        <v>0.80370014570265425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364.3481978218424</v>
      </c>
      <c r="AO182" s="62">
        <f t="shared" si="144"/>
        <v>231.36959598460686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>
        <f>BD182*VLOOKUP('Données projet'!$B$11,Paramètres!$A$1:$I$89,3,0)*VLOOKUP('Données projet'!$B$11,Paramètres!$A$1:$I$89,5,0)</f>
        <v>0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403.50418598112844</v>
      </c>
      <c r="BJ182" s="62">
        <f t="shared" si="146"/>
        <v>254.25036207346591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0</v>
      </c>
      <c r="BQ182" s="23">
        <f>EXP(-LN(2)/25)*BQ181+(1-EXP(-LN(2)/25))/(LN(2)/25)*Calculateur!BL182*Calculateur!BN182*VLOOKUP('Données projet'!$B$11,Paramètres!$A$1:$I$89,3,0)*0.475*44/12</f>
        <v>0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0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-3.979039320256561E-13</v>
      </c>
      <c r="BZ182" s="14">
        <f>BY182*VLOOKUP('Données projet'!$B$12,Paramètres!$A$1:$I$89,3,0)*VLOOKUP('Données projet'!$B$12,Paramètres!$A$1:$I$89,5,0)</f>
        <v>-3.41401573678013E-13</v>
      </c>
      <c r="CA182" s="14" t="e">
        <f t="shared" si="170"/>
        <v>#NUM!</v>
      </c>
      <c r="CB182" s="22" t="e">
        <f t="shared" si="171"/>
        <v>#NUM!</v>
      </c>
      <c r="CC182" s="62" t="e">
        <f t="shared" si="119"/>
        <v>#NUM!</v>
      </c>
      <c r="CD182" s="62">
        <f ca="1">AVERAGE(OFFSET($CC$3,0,0,'Données projet'!$E$12+1,1))-AVERAGE(OFFSET($H$3,0,0,'Données projet'!$E$12+1,1))</f>
        <v>347.72886258008998</v>
      </c>
      <c r="CE182" s="62">
        <f t="shared" si="148"/>
        <v>176.81257896138806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0</v>
      </c>
      <c r="CL182" s="23">
        <f>EXP(-LN(2)/25)*CL181+(1-EXP(-LN(2)/25))/(LN(2)/25)*Calculateur!CG182*Calculateur!CI182*VLOOKUP('Données projet'!$B$12,Paramètres!$A$1:$I$89,3,0)*0.475*44/12</f>
        <v>0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0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3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5.6843418860808015E-14</v>
      </c>
      <c r="O183" s="14">
        <f>N183*VLOOKUP('Données projet'!$B$9,Paramètres!$A$1:$I$89,3,0)*VLOOKUP('Données projet'!$B$9,Paramètres!$A$1:$I$89,5,0)</f>
        <v>2.6602720026858149E-14</v>
      </c>
      <c r="P183" s="14">
        <f t="shared" si="141"/>
        <v>4.6624771586320878E-13</v>
      </c>
      <c r="Q183" s="22">
        <f t="shared" si="162"/>
        <v>8.583811758418665E-13</v>
      </c>
      <c r="R183" s="62">
        <f t="shared" si="109"/>
        <v>293.33333333333417</v>
      </c>
      <c r="S183" s="62">
        <f ca="1">AVERAGE(OFFSET($R$3,0,0,'Données projet'!$E$9+1,1))-AVERAGE(OFFSET($H$3,0,0,'Données projet'!$E$9+1,1))</f>
        <v>172.45217697899039</v>
      </c>
      <c r="T183" s="62">
        <f t="shared" si="142"/>
        <v>223.74038909289629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0.78794007605410998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4.1065054429045358E-22</v>
      </c>
      <c r="AC183" s="24">
        <f t="shared" si="163"/>
        <v>0.78794007605410998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364.3481978218424</v>
      </c>
      <c r="AO183" s="62">
        <f t="shared" si="144"/>
        <v>231.36959598460686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>
        <f>BD183*VLOOKUP('Données projet'!$B$11,Paramètres!$A$1:$I$89,3,0)*VLOOKUP('Données projet'!$B$11,Paramètres!$A$1:$I$89,5,0)</f>
        <v>0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403.50418598112844</v>
      </c>
      <c r="BJ183" s="62">
        <f t="shared" si="146"/>
        <v>254.25036207346591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0</v>
      </c>
      <c r="BQ183" s="23">
        <f>EXP(-LN(2)/25)*BQ182+(1-EXP(-LN(2)/25))/(LN(2)/25)*Calculateur!BL183*Calculateur!BN183*VLOOKUP('Données projet'!$B$11,Paramètres!$A$1:$I$89,3,0)*0.475*44/12</f>
        <v>0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0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-3.979039320256561E-13</v>
      </c>
      <c r="BZ183" s="14">
        <f>BY183*VLOOKUP('Données projet'!$B$12,Paramètres!$A$1:$I$89,3,0)*VLOOKUP('Données projet'!$B$12,Paramètres!$A$1:$I$89,5,0)</f>
        <v>-3.41401573678013E-13</v>
      </c>
      <c r="CA183" s="14" t="e">
        <f t="shared" si="170"/>
        <v>#NUM!</v>
      </c>
      <c r="CB183" s="22" t="e">
        <f t="shared" si="171"/>
        <v>#NUM!</v>
      </c>
      <c r="CC183" s="62" t="e">
        <f t="shared" si="119"/>
        <v>#NUM!</v>
      </c>
      <c r="CD183" s="62">
        <f ca="1">AVERAGE(OFFSET($CC$3,0,0,'Données projet'!$E$12+1,1))-AVERAGE(OFFSET($H$3,0,0,'Données projet'!$E$12+1,1))</f>
        <v>347.72886258008998</v>
      </c>
      <c r="CE183" s="62">
        <f t="shared" si="148"/>
        <v>176.81257896138806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0</v>
      </c>
      <c r="CL183" s="23">
        <f>EXP(-LN(2)/25)*CL182+(1-EXP(-LN(2)/25))/(LN(2)/25)*Calculateur!CG183*Calculateur!CI183*VLOOKUP('Données projet'!$B$12,Paramètres!$A$1:$I$89,3,0)*0.475*44/12</f>
        <v>0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0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3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5.6843418860808015E-14</v>
      </c>
      <c r="O184" s="14">
        <f>N184*VLOOKUP('Données projet'!$B$9,Paramètres!$A$1:$I$89,3,0)*VLOOKUP('Données projet'!$B$9,Paramètres!$A$1:$I$89,5,0)</f>
        <v>2.6602720026858149E-14</v>
      </c>
      <c r="P184" s="14">
        <f t="shared" si="141"/>
        <v>4.6624771586320878E-13</v>
      </c>
      <c r="Q184" s="22">
        <f t="shared" si="162"/>
        <v>8.583811758418665E-13</v>
      </c>
      <c r="R184" s="62">
        <f t="shared" si="109"/>
        <v>293.33333333333417</v>
      </c>
      <c r="S184" s="62">
        <f ca="1">AVERAGE(OFFSET($R$3,0,0,'Données projet'!$E$9+1,1))-AVERAGE(OFFSET($H$3,0,0,'Données projet'!$E$9+1,1))</f>
        <v>172.45217697899039</v>
      </c>
      <c r="T184" s="62">
        <f t="shared" si="142"/>
        <v>223.74038909289629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0.77248905175868032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2.903737845657264E-22</v>
      </c>
      <c r="AC184" s="24">
        <f t="shared" si="163"/>
        <v>0.77248905175868032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364.3481978218424</v>
      </c>
      <c r="AO184" s="62">
        <f t="shared" si="144"/>
        <v>231.36959598460686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>
        <f>BD184*VLOOKUP('Données projet'!$B$11,Paramètres!$A$1:$I$89,3,0)*VLOOKUP('Données projet'!$B$11,Paramètres!$A$1:$I$89,5,0)</f>
        <v>0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403.50418598112844</v>
      </c>
      <c r="BJ184" s="62">
        <f t="shared" si="146"/>
        <v>254.25036207346591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0</v>
      </c>
      <c r="BQ184" s="23">
        <f>EXP(-LN(2)/25)*BQ183+(1-EXP(-LN(2)/25))/(LN(2)/25)*Calculateur!BL184*Calculateur!BN184*VLOOKUP('Données projet'!$B$11,Paramètres!$A$1:$I$89,3,0)*0.475*44/12</f>
        <v>0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0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-3.979039320256561E-13</v>
      </c>
      <c r="BZ184" s="14">
        <f>BY184*VLOOKUP('Données projet'!$B$12,Paramètres!$A$1:$I$89,3,0)*VLOOKUP('Données projet'!$B$12,Paramètres!$A$1:$I$89,5,0)</f>
        <v>-3.41401573678013E-13</v>
      </c>
      <c r="CA184" s="14" t="e">
        <f t="shared" si="170"/>
        <v>#NUM!</v>
      </c>
      <c r="CB184" s="22" t="e">
        <f t="shared" si="171"/>
        <v>#NUM!</v>
      </c>
      <c r="CC184" s="62" t="e">
        <f t="shared" si="119"/>
        <v>#NUM!</v>
      </c>
      <c r="CD184" s="62">
        <f ca="1">AVERAGE(OFFSET($CC$3,0,0,'Données projet'!$E$12+1,1))-AVERAGE(OFFSET($H$3,0,0,'Données projet'!$E$12+1,1))</f>
        <v>347.72886258008998</v>
      </c>
      <c r="CE184" s="62">
        <f t="shared" si="148"/>
        <v>176.81257896138806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0</v>
      </c>
      <c r="CL184" s="23">
        <f>EXP(-LN(2)/25)*CL183+(1-EXP(-LN(2)/25))/(LN(2)/25)*Calculateur!CG184*Calculateur!CI184*VLOOKUP('Données projet'!$B$12,Paramètres!$A$1:$I$89,3,0)*0.475*44/12</f>
        <v>0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0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3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5.6843418860808015E-14</v>
      </c>
      <c r="O185" s="14">
        <f>N185*VLOOKUP('Données projet'!$B$9,Paramètres!$A$1:$I$89,3,0)*VLOOKUP('Données projet'!$B$9,Paramètres!$A$1:$I$89,5,0)</f>
        <v>2.6602720026858149E-14</v>
      </c>
      <c r="P185" s="14">
        <f t="shared" si="141"/>
        <v>4.6624771586320878E-13</v>
      </c>
      <c r="Q185" s="22">
        <f t="shared" si="162"/>
        <v>8.583811758418665E-13</v>
      </c>
      <c r="R185" s="62">
        <f t="shared" si="109"/>
        <v>293.33333333333417</v>
      </c>
      <c r="S185" s="62">
        <f ca="1">AVERAGE(OFFSET($R$3,0,0,'Données projet'!$E$9+1,1))-AVERAGE(OFFSET($H$3,0,0,'Données projet'!$E$9+1,1))</f>
        <v>172.45217697899039</v>
      </c>
      <c r="T185" s="62">
        <f t="shared" si="142"/>
        <v>223.74038909289629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0.75734101262548981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2.0532527214522679E-22</v>
      </c>
      <c r="AC185" s="24">
        <f t="shared" si="163"/>
        <v>0.75734101262548981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364.3481978218424</v>
      </c>
      <c r="AO185" s="62">
        <f t="shared" si="144"/>
        <v>231.36959598460686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>
        <f>BD185*VLOOKUP('Données projet'!$B$11,Paramètres!$A$1:$I$89,3,0)*VLOOKUP('Données projet'!$B$11,Paramètres!$A$1:$I$89,5,0)</f>
        <v>0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403.50418598112844</v>
      </c>
      <c r="BJ185" s="62">
        <f t="shared" si="146"/>
        <v>254.25036207346591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0</v>
      </c>
      <c r="BQ185" s="23">
        <f>EXP(-LN(2)/25)*BQ184+(1-EXP(-LN(2)/25))/(LN(2)/25)*Calculateur!BL185*Calculateur!BN185*VLOOKUP('Données projet'!$B$11,Paramètres!$A$1:$I$89,3,0)*0.475*44/12</f>
        <v>0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0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-3.979039320256561E-13</v>
      </c>
      <c r="BZ185" s="14">
        <f>BY185*VLOOKUP('Données projet'!$B$12,Paramètres!$A$1:$I$89,3,0)*VLOOKUP('Données projet'!$B$12,Paramètres!$A$1:$I$89,5,0)</f>
        <v>-3.41401573678013E-13</v>
      </c>
      <c r="CA185" s="14" t="e">
        <f t="shared" si="170"/>
        <v>#NUM!</v>
      </c>
      <c r="CB185" s="22" t="e">
        <f t="shared" si="171"/>
        <v>#NUM!</v>
      </c>
      <c r="CC185" s="62" t="e">
        <f t="shared" si="119"/>
        <v>#NUM!</v>
      </c>
      <c r="CD185" s="62">
        <f ca="1">AVERAGE(OFFSET($CC$3,0,0,'Données projet'!$E$12+1,1))-AVERAGE(OFFSET($H$3,0,0,'Données projet'!$E$12+1,1))</f>
        <v>347.72886258008998</v>
      </c>
      <c r="CE185" s="62">
        <f t="shared" si="148"/>
        <v>176.81257896138806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0</v>
      </c>
      <c r="CL185" s="23">
        <f>EXP(-LN(2)/25)*CL184+(1-EXP(-LN(2)/25))/(LN(2)/25)*Calculateur!CG185*Calculateur!CI185*VLOOKUP('Données projet'!$B$12,Paramètres!$A$1:$I$89,3,0)*0.475*44/12</f>
        <v>0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0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3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5.6843418860808015E-14</v>
      </c>
      <c r="O186" s="14">
        <f>N186*VLOOKUP('Données projet'!$B$9,Paramètres!$A$1:$I$89,3,0)*VLOOKUP('Données projet'!$B$9,Paramètres!$A$1:$I$89,5,0)</f>
        <v>2.6602720026858149E-14</v>
      </c>
      <c r="P186" s="14">
        <f t="shared" si="141"/>
        <v>4.6624771586320878E-13</v>
      </c>
      <c r="Q186" s="22">
        <f t="shared" si="162"/>
        <v>8.583811758418665E-13</v>
      </c>
      <c r="R186" s="62">
        <f t="shared" si="109"/>
        <v>293.33333333333417</v>
      </c>
      <c r="S186" s="62">
        <f ca="1">AVERAGE(OFFSET($R$3,0,0,'Données projet'!$E$9+1,1))-AVERAGE(OFFSET($H$3,0,0,'Données projet'!$E$9+1,1))</f>
        <v>172.45217697899039</v>
      </c>
      <c r="T186" s="62">
        <f t="shared" si="142"/>
        <v>223.74038909289629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0.74249001730030961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1.451868922828632E-22</v>
      </c>
      <c r="AC186" s="24">
        <f t="shared" si="163"/>
        <v>0.74249001730030961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364.3481978218424</v>
      </c>
      <c r="AO186" s="62">
        <f t="shared" si="144"/>
        <v>231.36959598460686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>
        <f>BD186*VLOOKUP('Données projet'!$B$11,Paramètres!$A$1:$I$89,3,0)*VLOOKUP('Données projet'!$B$11,Paramètres!$A$1:$I$89,5,0)</f>
        <v>0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403.50418598112844</v>
      </c>
      <c r="BJ186" s="62">
        <f t="shared" si="146"/>
        <v>254.25036207346591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0</v>
      </c>
      <c r="BQ186" s="23">
        <f>EXP(-LN(2)/25)*BQ185+(1-EXP(-LN(2)/25))/(LN(2)/25)*Calculateur!BL186*Calculateur!BN186*VLOOKUP('Données projet'!$B$11,Paramètres!$A$1:$I$89,3,0)*0.475*44/12</f>
        <v>0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0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-3.979039320256561E-13</v>
      </c>
      <c r="BZ186" s="14">
        <f>BY186*VLOOKUP('Données projet'!$B$12,Paramètres!$A$1:$I$89,3,0)*VLOOKUP('Données projet'!$B$12,Paramètres!$A$1:$I$89,5,0)</f>
        <v>-3.41401573678013E-13</v>
      </c>
      <c r="CA186" s="14" t="e">
        <f t="shared" si="170"/>
        <v>#NUM!</v>
      </c>
      <c r="CB186" s="22" t="e">
        <f t="shared" si="171"/>
        <v>#NUM!</v>
      </c>
      <c r="CC186" s="62" t="e">
        <f t="shared" si="119"/>
        <v>#NUM!</v>
      </c>
      <c r="CD186" s="62">
        <f ca="1">AVERAGE(OFFSET($CC$3,0,0,'Données projet'!$E$12+1,1))-AVERAGE(OFFSET($H$3,0,0,'Données projet'!$E$12+1,1))</f>
        <v>347.72886258008998</v>
      </c>
      <c r="CE186" s="62">
        <f t="shared" si="148"/>
        <v>176.81257896138806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0</v>
      </c>
      <c r="CL186" s="23">
        <f>EXP(-LN(2)/25)*CL185+(1-EXP(-LN(2)/25))/(LN(2)/25)*Calculateur!CG186*Calculateur!CI186*VLOOKUP('Données projet'!$B$12,Paramètres!$A$1:$I$89,3,0)*0.475*44/12</f>
        <v>0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0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3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5.6843418860808015E-14</v>
      </c>
      <c r="O187" s="14">
        <f>N187*VLOOKUP('Données projet'!$B$9,Paramètres!$A$1:$I$89,3,0)*VLOOKUP('Données projet'!$B$9,Paramètres!$A$1:$I$89,5,0)</f>
        <v>2.6602720026858149E-14</v>
      </c>
      <c r="P187" s="14">
        <f t="shared" si="141"/>
        <v>4.6624771586320878E-13</v>
      </c>
      <c r="Q187" s="22">
        <f t="shared" si="162"/>
        <v>8.583811758418665E-13</v>
      </c>
      <c r="R187" s="62">
        <f t="shared" si="109"/>
        <v>293.33333333333417</v>
      </c>
      <c r="S187" s="62">
        <f ca="1">AVERAGE(OFFSET($R$3,0,0,'Données projet'!$E$9+1,1))-AVERAGE(OFFSET($H$3,0,0,'Données projet'!$E$9+1,1))</f>
        <v>172.45217697899039</v>
      </c>
      <c r="T187" s="62">
        <f t="shared" si="142"/>
        <v>223.74038909289629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0.7279302409352435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1.0266263607261339E-22</v>
      </c>
      <c r="AC187" s="24">
        <f t="shared" si="163"/>
        <v>0.7279302409352435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364.3481978218424</v>
      </c>
      <c r="AO187" s="62">
        <f t="shared" si="144"/>
        <v>231.36959598460686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>
        <f>BD187*VLOOKUP('Données projet'!$B$11,Paramètres!$A$1:$I$89,3,0)*VLOOKUP('Données projet'!$B$11,Paramètres!$A$1:$I$89,5,0)</f>
        <v>0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403.50418598112844</v>
      </c>
      <c r="BJ187" s="62">
        <f t="shared" si="146"/>
        <v>254.25036207346591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0</v>
      </c>
      <c r="BQ187" s="23">
        <f>EXP(-LN(2)/25)*BQ186+(1-EXP(-LN(2)/25))/(LN(2)/25)*Calculateur!BL187*Calculateur!BN187*VLOOKUP('Données projet'!$B$11,Paramètres!$A$1:$I$89,3,0)*0.475*44/12</f>
        <v>0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0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-3.979039320256561E-13</v>
      </c>
      <c r="BZ187" s="14">
        <f>BY187*VLOOKUP('Données projet'!$B$12,Paramètres!$A$1:$I$89,3,0)*VLOOKUP('Données projet'!$B$12,Paramètres!$A$1:$I$89,5,0)</f>
        <v>-3.41401573678013E-13</v>
      </c>
      <c r="CA187" s="14" t="e">
        <f t="shared" si="170"/>
        <v>#NUM!</v>
      </c>
      <c r="CB187" s="22" t="e">
        <f t="shared" si="171"/>
        <v>#NUM!</v>
      </c>
      <c r="CC187" s="62" t="e">
        <f t="shared" si="119"/>
        <v>#NUM!</v>
      </c>
      <c r="CD187" s="62">
        <f ca="1">AVERAGE(OFFSET($CC$3,0,0,'Données projet'!$E$12+1,1))-AVERAGE(OFFSET($H$3,0,0,'Données projet'!$E$12+1,1))</f>
        <v>347.72886258008998</v>
      </c>
      <c r="CE187" s="62">
        <f t="shared" si="148"/>
        <v>176.81257896138806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0</v>
      </c>
      <c r="CL187" s="23">
        <f>EXP(-LN(2)/25)*CL186+(1-EXP(-LN(2)/25))/(LN(2)/25)*Calculateur!CG187*Calculateur!CI187*VLOOKUP('Données projet'!$B$12,Paramètres!$A$1:$I$89,3,0)*0.475*44/12</f>
        <v>0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0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3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5.6843418860808015E-14</v>
      </c>
      <c r="O188" s="14">
        <f>N188*VLOOKUP('Données projet'!$B$9,Paramètres!$A$1:$I$89,3,0)*VLOOKUP('Données projet'!$B$9,Paramètres!$A$1:$I$89,5,0)</f>
        <v>2.6602720026858149E-14</v>
      </c>
      <c r="P188" s="14">
        <f t="shared" si="141"/>
        <v>4.6624771586320878E-13</v>
      </c>
      <c r="Q188" s="22">
        <f t="shared" si="162"/>
        <v>8.583811758418665E-13</v>
      </c>
      <c r="R188" s="62">
        <f t="shared" si="109"/>
        <v>293.33333333333417</v>
      </c>
      <c r="S188" s="62">
        <f ca="1">AVERAGE(OFFSET($R$3,0,0,'Données projet'!$E$9+1,1))-AVERAGE(OFFSET($H$3,0,0,'Données projet'!$E$9+1,1))</f>
        <v>172.45217697899039</v>
      </c>
      <c r="T188" s="62">
        <f t="shared" si="142"/>
        <v>223.74038909289629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0.71365597290410965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7.2593446141431599E-23</v>
      </c>
      <c r="AC188" s="24">
        <f t="shared" si="163"/>
        <v>0.71365597290410965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364.3481978218424</v>
      </c>
      <c r="AO188" s="62">
        <f t="shared" si="144"/>
        <v>231.36959598460686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>
        <f>BD188*VLOOKUP('Données projet'!$B$11,Paramètres!$A$1:$I$89,3,0)*VLOOKUP('Données projet'!$B$11,Paramètres!$A$1:$I$89,5,0)</f>
        <v>0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403.50418598112844</v>
      </c>
      <c r="BJ188" s="62">
        <f t="shared" si="146"/>
        <v>254.25036207346591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0</v>
      </c>
      <c r="BQ188" s="23">
        <f>EXP(-LN(2)/25)*BQ187+(1-EXP(-LN(2)/25))/(LN(2)/25)*Calculateur!BL188*Calculateur!BN188*VLOOKUP('Données projet'!$B$11,Paramètres!$A$1:$I$89,3,0)*0.475*44/12</f>
        <v>0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0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-3.979039320256561E-13</v>
      </c>
      <c r="BZ188" s="14">
        <f>BY188*VLOOKUP('Données projet'!$B$12,Paramètres!$A$1:$I$89,3,0)*VLOOKUP('Données projet'!$B$12,Paramètres!$A$1:$I$89,5,0)</f>
        <v>-3.41401573678013E-13</v>
      </c>
      <c r="CA188" s="14" t="e">
        <f t="shared" si="170"/>
        <v>#NUM!</v>
      </c>
      <c r="CB188" s="22" t="e">
        <f t="shared" si="171"/>
        <v>#NUM!</v>
      </c>
      <c r="CC188" s="62" t="e">
        <f t="shared" si="119"/>
        <v>#NUM!</v>
      </c>
      <c r="CD188" s="62">
        <f ca="1">AVERAGE(OFFSET($CC$3,0,0,'Données projet'!$E$12+1,1))-AVERAGE(OFFSET($H$3,0,0,'Données projet'!$E$12+1,1))</f>
        <v>347.72886258008998</v>
      </c>
      <c r="CE188" s="62">
        <f t="shared" si="148"/>
        <v>176.81257896138806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0</v>
      </c>
      <c r="CL188" s="23">
        <f>EXP(-LN(2)/25)*CL187+(1-EXP(-LN(2)/25))/(LN(2)/25)*Calculateur!CG188*Calculateur!CI188*VLOOKUP('Données projet'!$B$12,Paramètres!$A$1:$I$89,3,0)*0.475*44/12</f>
        <v>0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0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3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5.6843418860808015E-14</v>
      </c>
      <c r="O189" s="14">
        <f>N189*VLOOKUP('Données projet'!$B$9,Paramètres!$A$1:$I$89,3,0)*VLOOKUP('Données projet'!$B$9,Paramètres!$A$1:$I$89,5,0)</f>
        <v>2.6602720026858149E-14</v>
      </c>
      <c r="P189" s="14">
        <f t="shared" si="141"/>
        <v>4.6624771586320878E-13</v>
      </c>
      <c r="Q189" s="22">
        <f t="shared" si="162"/>
        <v>8.583811758418665E-13</v>
      </c>
      <c r="R189" s="62">
        <f t="shared" si="109"/>
        <v>293.33333333333417</v>
      </c>
      <c r="S189" s="62">
        <f ca="1">AVERAGE(OFFSET($R$3,0,0,'Données projet'!$E$9+1,1))-AVERAGE(OFFSET($H$3,0,0,'Données projet'!$E$9+1,1))</f>
        <v>172.45217697899039</v>
      </c>
      <c r="T189" s="62">
        <f t="shared" si="142"/>
        <v>223.74038909289629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0.69966161456262255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5.1331318036306697E-23</v>
      </c>
      <c r="AC189" s="24">
        <f t="shared" si="163"/>
        <v>0.69966161456262255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364.3481978218424</v>
      </c>
      <c r="AO189" s="62">
        <f t="shared" si="144"/>
        <v>231.36959598460686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>
        <f>BD189*VLOOKUP('Données projet'!$B$11,Paramètres!$A$1:$I$89,3,0)*VLOOKUP('Données projet'!$B$11,Paramètres!$A$1:$I$89,5,0)</f>
        <v>0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403.50418598112844</v>
      </c>
      <c r="BJ189" s="62">
        <f t="shared" si="146"/>
        <v>254.25036207346591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0</v>
      </c>
      <c r="BQ189" s="23">
        <f>EXP(-LN(2)/25)*BQ188+(1-EXP(-LN(2)/25))/(LN(2)/25)*Calculateur!BL189*Calculateur!BN189*VLOOKUP('Données projet'!$B$11,Paramètres!$A$1:$I$89,3,0)*0.475*44/12</f>
        <v>0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0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-3.979039320256561E-13</v>
      </c>
      <c r="BZ189" s="14">
        <f>BY189*VLOOKUP('Données projet'!$B$12,Paramètres!$A$1:$I$89,3,0)*VLOOKUP('Données projet'!$B$12,Paramètres!$A$1:$I$89,5,0)</f>
        <v>-3.41401573678013E-13</v>
      </c>
      <c r="CA189" s="14" t="e">
        <f t="shared" si="170"/>
        <v>#NUM!</v>
      </c>
      <c r="CB189" s="22" t="e">
        <f t="shared" si="171"/>
        <v>#NUM!</v>
      </c>
      <c r="CC189" s="62" t="e">
        <f t="shared" si="119"/>
        <v>#NUM!</v>
      </c>
      <c r="CD189" s="62">
        <f ca="1">AVERAGE(OFFSET($CC$3,0,0,'Données projet'!$E$12+1,1))-AVERAGE(OFFSET($H$3,0,0,'Données projet'!$E$12+1,1))</f>
        <v>347.72886258008998</v>
      </c>
      <c r="CE189" s="62">
        <f t="shared" si="148"/>
        <v>176.81257896138806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0</v>
      </c>
      <c r="CL189" s="23">
        <f>EXP(-LN(2)/25)*CL188+(1-EXP(-LN(2)/25))/(LN(2)/25)*Calculateur!CG189*Calculateur!CI189*VLOOKUP('Données projet'!$B$12,Paramètres!$A$1:$I$89,3,0)*0.475*44/12</f>
        <v>0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0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3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5.6843418860808015E-14</v>
      </c>
      <c r="O190" s="14">
        <f>N190*VLOOKUP('Données projet'!$B$9,Paramètres!$A$1:$I$89,3,0)*VLOOKUP('Données projet'!$B$9,Paramètres!$A$1:$I$89,5,0)</f>
        <v>2.6602720026858149E-14</v>
      </c>
      <c r="P190" s="14">
        <f t="shared" si="141"/>
        <v>4.6624771586320878E-13</v>
      </c>
      <c r="Q190" s="22">
        <f t="shared" si="162"/>
        <v>8.583811758418665E-13</v>
      </c>
      <c r="R190" s="62">
        <f t="shared" si="109"/>
        <v>293.33333333333417</v>
      </c>
      <c r="S190" s="62">
        <f ca="1">AVERAGE(OFFSET($R$3,0,0,'Données projet'!$E$9+1,1))-AVERAGE(OFFSET($H$3,0,0,'Données projet'!$E$9+1,1))</f>
        <v>172.45217697899039</v>
      </c>
      <c r="T190" s="62">
        <f t="shared" si="142"/>
        <v>223.74038909289629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0.6859416770524962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3.62967230707158E-23</v>
      </c>
      <c r="AC190" s="24">
        <f t="shared" si="163"/>
        <v>0.6859416770524962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364.3481978218424</v>
      </c>
      <c r="AO190" s="62">
        <f t="shared" si="144"/>
        <v>231.36959598460686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>
        <f>BD190*VLOOKUP('Données projet'!$B$11,Paramètres!$A$1:$I$89,3,0)*VLOOKUP('Données projet'!$B$11,Paramètres!$A$1:$I$89,5,0)</f>
        <v>0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403.50418598112844</v>
      </c>
      <c r="BJ190" s="62">
        <f t="shared" si="146"/>
        <v>254.25036207346591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0</v>
      </c>
      <c r="BQ190" s="23">
        <f>EXP(-LN(2)/25)*BQ189+(1-EXP(-LN(2)/25))/(LN(2)/25)*Calculateur!BL190*Calculateur!BN190*VLOOKUP('Données projet'!$B$11,Paramètres!$A$1:$I$89,3,0)*0.475*44/12</f>
        <v>0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0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-3.979039320256561E-13</v>
      </c>
      <c r="BZ190" s="14">
        <f>BY190*VLOOKUP('Données projet'!$B$12,Paramètres!$A$1:$I$89,3,0)*VLOOKUP('Données projet'!$B$12,Paramètres!$A$1:$I$89,5,0)</f>
        <v>-3.41401573678013E-13</v>
      </c>
      <c r="CA190" s="14" t="e">
        <f t="shared" si="170"/>
        <v>#NUM!</v>
      </c>
      <c r="CB190" s="22" t="e">
        <f t="shared" si="171"/>
        <v>#NUM!</v>
      </c>
      <c r="CC190" s="62" t="e">
        <f t="shared" si="119"/>
        <v>#NUM!</v>
      </c>
      <c r="CD190" s="62">
        <f ca="1">AVERAGE(OFFSET($CC$3,0,0,'Données projet'!$E$12+1,1))-AVERAGE(OFFSET($H$3,0,0,'Données projet'!$E$12+1,1))</f>
        <v>347.72886258008998</v>
      </c>
      <c r="CE190" s="62">
        <f t="shared" si="148"/>
        <v>176.81257896138806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0</v>
      </c>
      <c r="CL190" s="23">
        <f>EXP(-LN(2)/25)*CL189+(1-EXP(-LN(2)/25))/(LN(2)/25)*Calculateur!CG190*Calculateur!CI190*VLOOKUP('Données projet'!$B$12,Paramètres!$A$1:$I$89,3,0)*0.475*44/12</f>
        <v>0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0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3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5.6843418860808015E-14</v>
      </c>
      <c r="O191" s="14">
        <f>N191*VLOOKUP('Données projet'!$B$9,Paramètres!$A$1:$I$89,3,0)*VLOOKUP('Données projet'!$B$9,Paramètres!$A$1:$I$89,5,0)</f>
        <v>2.6602720026858149E-14</v>
      </c>
      <c r="P191" s="14">
        <f t="shared" si="141"/>
        <v>4.6624771586320878E-13</v>
      </c>
      <c r="Q191" s="22">
        <f t="shared" si="162"/>
        <v>8.583811758418665E-13</v>
      </c>
      <c r="R191" s="62">
        <f t="shared" si="109"/>
        <v>293.33333333333417</v>
      </c>
      <c r="S191" s="62">
        <f ca="1">AVERAGE(OFFSET($R$3,0,0,'Données projet'!$E$9+1,1))-AVERAGE(OFFSET($H$3,0,0,'Données projet'!$E$9+1,1))</f>
        <v>172.45217697899039</v>
      </c>
      <c r="T191" s="62">
        <f t="shared" si="142"/>
        <v>223.74038909289629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0.67249077914860789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2.5665659018153349E-23</v>
      </c>
      <c r="AC191" s="24">
        <f t="shared" si="163"/>
        <v>0.67249077914860789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364.3481978218424</v>
      </c>
      <c r="AO191" s="62">
        <f t="shared" si="144"/>
        <v>231.36959598460686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>
        <f>BD191*VLOOKUP('Données projet'!$B$11,Paramètres!$A$1:$I$89,3,0)*VLOOKUP('Données projet'!$B$11,Paramètres!$A$1:$I$89,5,0)</f>
        <v>0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403.50418598112844</v>
      </c>
      <c r="BJ191" s="62">
        <f t="shared" si="146"/>
        <v>254.25036207346591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0</v>
      </c>
      <c r="BQ191" s="23">
        <f>EXP(-LN(2)/25)*BQ190+(1-EXP(-LN(2)/25))/(LN(2)/25)*Calculateur!BL191*Calculateur!BN191*VLOOKUP('Données projet'!$B$11,Paramètres!$A$1:$I$89,3,0)*0.475*44/12</f>
        <v>0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0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-3.979039320256561E-13</v>
      </c>
      <c r="BZ191" s="14">
        <f>BY191*VLOOKUP('Données projet'!$B$12,Paramètres!$A$1:$I$89,3,0)*VLOOKUP('Données projet'!$B$12,Paramètres!$A$1:$I$89,5,0)</f>
        <v>-3.41401573678013E-13</v>
      </c>
      <c r="CA191" s="14" t="e">
        <f t="shared" si="170"/>
        <v>#NUM!</v>
      </c>
      <c r="CB191" s="22" t="e">
        <f t="shared" si="171"/>
        <v>#NUM!</v>
      </c>
      <c r="CC191" s="62" t="e">
        <f t="shared" si="119"/>
        <v>#NUM!</v>
      </c>
      <c r="CD191" s="62">
        <f ca="1">AVERAGE(OFFSET($CC$3,0,0,'Données projet'!$E$12+1,1))-AVERAGE(OFFSET($H$3,0,0,'Données projet'!$E$12+1,1))</f>
        <v>347.72886258008998</v>
      </c>
      <c r="CE191" s="62">
        <f t="shared" si="148"/>
        <v>176.81257896138806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0</v>
      </c>
      <c r="CL191" s="23">
        <f>EXP(-LN(2)/25)*CL190+(1-EXP(-LN(2)/25))/(LN(2)/25)*Calculateur!CG191*Calculateur!CI191*VLOOKUP('Données projet'!$B$12,Paramètres!$A$1:$I$89,3,0)*0.475*44/12</f>
        <v>0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0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3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5.6843418860808015E-14</v>
      </c>
      <c r="O192" s="14">
        <f>N192*VLOOKUP('Données projet'!$B$9,Paramètres!$A$1:$I$89,3,0)*VLOOKUP('Données projet'!$B$9,Paramètres!$A$1:$I$89,5,0)</f>
        <v>2.6602720026858149E-14</v>
      </c>
      <c r="P192" s="14">
        <f t="shared" si="141"/>
        <v>4.6624771586320878E-13</v>
      </c>
      <c r="Q192" s="22">
        <f t="shared" si="162"/>
        <v>8.583811758418665E-13</v>
      </c>
      <c r="R192" s="62">
        <f t="shared" si="109"/>
        <v>293.33333333333417</v>
      </c>
      <c r="S192" s="62">
        <f ca="1">AVERAGE(OFFSET($R$3,0,0,'Données projet'!$E$9+1,1))-AVERAGE(OFFSET($H$3,0,0,'Données projet'!$E$9+1,1))</f>
        <v>172.45217697899039</v>
      </c>
      <c r="T192" s="62">
        <f t="shared" si="142"/>
        <v>223.74038909289629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0.65930364514837714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1.81483615353579E-23</v>
      </c>
      <c r="AC192" s="24">
        <f t="shared" si="163"/>
        <v>0.65930364514837714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364.3481978218424</v>
      </c>
      <c r="AO192" s="62">
        <f t="shared" si="144"/>
        <v>231.36959598460686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>
        <f>BD192*VLOOKUP('Données projet'!$B$11,Paramètres!$A$1:$I$89,3,0)*VLOOKUP('Données projet'!$B$11,Paramètres!$A$1:$I$89,5,0)</f>
        <v>0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403.50418598112844</v>
      </c>
      <c r="BJ192" s="62">
        <f t="shared" si="146"/>
        <v>254.25036207346591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0</v>
      </c>
      <c r="BQ192" s="23">
        <f>EXP(-LN(2)/25)*BQ191+(1-EXP(-LN(2)/25))/(LN(2)/25)*Calculateur!BL192*Calculateur!BN192*VLOOKUP('Données projet'!$B$11,Paramètres!$A$1:$I$89,3,0)*0.475*44/12</f>
        <v>0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0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-3.979039320256561E-13</v>
      </c>
      <c r="BZ192" s="14">
        <f>BY192*VLOOKUP('Données projet'!$B$12,Paramètres!$A$1:$I$89,3,0)*VLOOKUP('Données projet'!$B$12,Paramètres!$A$1:$I$89,5,0)</f>
        <v>-3.41401573678013E-13</v>
      </c>
      <c r="CA192" s="14" t="e">
        <f t="shared" si="170"/>
        <v>#NUM!</v>
      </c>
      <c r="CB192" s="22" t="e">
        <f t="shared" si="171"/>
        <v>#NUM!</v>
      </c>
      <c r="CC192" s="62" t="e">
        <f t="shared" si="119"/>
        <v>#NUM!</v>
      </c>
      <c r="CD192" s="62">
        <f ca="1">AVERAGE(OFFSET($CC$3,0,0,'Données projet'!$E$12+1,1))-AVERAGE(OFFSET($H$3,0,0,'Données projet'!$E$12+1,1))</f>
        <v>347.72886258008998</v>
      </c>
      <c r="CE192" s="62">
        <f t="shared" si="148"/>
        <v>176.81257896138806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0</v>
      </c>
      <c r="CL192" s="23">
        <f>EXP(-LN(2)/25)*CL191+(1-EXP(-LN(2)/25))/(LN(2)/25)*Calculateur!CG192*Calculateur!CI192*VLOOKUP('Données projet'!$B$12,Paramètres!$A$1:$I$89,3,0)*0.475*44/12</f>
        <v>0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0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3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5.6843418860808015E-14</v>
      </c>
      <c r="O193" s="14">
        <f>N193*VLOOKUP('Données projet'!$B$9,Paramètres!$A$1:$I$89,3,0)*VLOOKUP('Données projet'!$B$9,Paramètres!$A$1:$I$89,5,0)</f>
        <v>2.6602720026858149E-14</v>
      </c>
      <c r="P193" s="14">
        <f t="shared" si="141"/>
        <v>4.6624771586320878E-13</v>
      </c>
      <c r="Q193" s="22">
        <f t="shared" si="162"/>
        <v>8.583811758418665E-13</v>
      </c>
      <c r="R193" s="62">
        <f t="shared" si="109"/>
        <v>293.33333333333417</v>
      </c>
      <c r="S193" s="62">
        <f ca="1">AVERAGE(OFFSET($R$3,0,0,'Données projet'!$E$9+1,1))-AVERAGE(OFFSET($H$3,0,0,'Données projet'!$E$9+1,1))</f>
        <v>172.45217697899039</v>
      </c>
      <c r="T193" s="62">
        <f t="shared" si="142"/>
        <v>223.74038909289629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0.64637510280253341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1.2832829509076674E-23</v>
      </c>
      <c r="AC193" s="24">
        <f t="shared" si="163"/>
        <v>0.64637510280253341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364.3481978218424</v>
      </c>
      <c r="AO193" s="62">
        <f t="shared" si="144"/>
        <v>231.36959598460686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>
        <f>BD193*VLOOKUP('Données projet'!$B$11,Paramètres!$A$1:$I$89,3,0)*VLOOKUP('Données projet'!$B$11,Paramètres!$A$1:$I$89,5,0)</f>
        <v>0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403.50418598112844</v>
      </c>
      <c r="BJ193" s="62">
        <f t="shared" si="146"/>
        <v>254.25036207346591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0</v>
      </c>
      <c r="BQ193" s="23">
        <f>EXP(-LN(2)/25)*BQ192+(1-EXP(-LN(2)/25))/(LN(2)/25)*Calculateur!BL193*Calculateur!BN193*VLOOKUP('Données projet'!$B$11,Paramètres!$A$1:$I$89,3,0)*0.475*44/12</f>
        <v>0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0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-3.979039320256561E-13</v>
      </c>
      <c r="BZ193" s="14">
        <f>BY193*VLOOKUP('Données projet'!$B$12,Paramètres!$A$1:$I$89,3,0)*VLOOKUP('Données projet'!$B$12,Paramètres!$A$1:$I$89,5,0)</f>
        <v>-3.41401573678013E-13</v>
      </c>
      <c r="CA193" s="14" t="e">
        <f t="shared" si="170"/>
        <v>#NUM!</v>
      </c>
      <c r="CB193" s="22" t="e">
        <f t="shared" si="171"/>
        <v>#NUM!</v>
      </c>
      <c r="CC193" s="62" t="e">
        <f t="shared" si="119"/>
        <v>#NUM!</v>
      </c>
      <c r="CD193" s="62">
        <f ca="1">AVERAGE(OFFSET($CC$3,0,0,'Données projet'!$E$12+1,1))-AVERAGE(OFFSET($H$3,0,0,'Données projet'!$E$12+1,1))</f>
        <v>347.72886258008998</v>
      </c>
      <c r="CE193" s="62">
        <f t="shared" si="148"/>
        <v>176.81257896138806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0</v>
      </c>
      <c r="CL193" s="23">
        <f>EXP(-LN(2)/25)*CL192+(1-EXP(-LN(2)/25))/(LN(2)/25)*Calculateur!CG193*Calculateur!CI193*VLOOKUP('Données projet'!$B$12,Paramètres!$A$1:$I$89,3,0)*0.475*44/12</f>
        <v>0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0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3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5.6843418860808015E-14</v>
      </c>
      <c r="O194" s="14">
        <f>N194*VLOOKUP('Données projet'!$B$9,Paramètres!$A$1:$I$89,3,0)*VLOOKUP('Données projet'!$B$9,Paramètres!$A$1:$I$89,5,0)</f>
        <v>2.6602720026858149E-14</v>
      </c>
      <c r="P194" s="14">
        <f t="shared" si="141"/>
        <v>4.6624771586320878E-13</v>
      </c>
      <c r="Q194" s="22">
        <f t="shared" si="162"/>
        <v>8.583811758418665E-13</v>
      </c>
      <c r="R194" s="62">
        <f t="shared" si="109"/>
        <v>293.33333333333417</v>
      </c>
      <c r="S194" s="62">
        <f ca="1">AVERAGE(OFFSET($R$3,0,0,'Données projet'!$E$9+1,1))-AVERAGE(OFFSET($H$3,0,0,'Données projet'!$E$9+1,1))</f>
        <v>172.45217697899039</v>
      </c>
      <c r="T194" s="62">
        <f t="shared" si="142"/>
        <v>223.74038909289629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0.63370008128645949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9.0741807676789499E-24</v>
      </c>
      <c r="AC194" s="24">
        <f t="shared" si="163"/>
        <v>0.63370008128645949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364.3481978218424</v>
      </c>
      <c r="AO194" s="62">
        <f t="shared" si="144"/>
        <v>231.36959598460686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>
        <f>BD194*VLOOKUP('Données projet'!$B$11,Paramètres!$A$1:$I$89,3,0)*VLOOKUP('Données projet'!$B$11,Paramètres!$A$1:$I$89,5,0)</f>
        <v>0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403.50418598112844</v>
      </c>
      <c r="BJ194" s="62">
        <f t="shared" si="146"/>
        <v>254.25036207346591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0</v>
      </c>
      <c r="BQ194" s="23">
        <f>EXP(-LN(2)/25)*BQ193+(1-EXP(-LN(2)/25))/(LN(2)/25)*Calculateur!BL194*Calculateur!BN194*VLOOKUP('Données projet'!$B$11,Paramètres!$A$1:$I$89,3,0)*0.475*44/12</f>
        <v>0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0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-3.979039320256561E-13</v>
      </c>
      <c r="BZ194" s="14">
        <f>BY194*VLOOKUP('Données projet'!$B$12,Paramètres!$A$1:$I$89,3,0)*VLOOKUP('Données projet'!$B$12,Paramètres!$A$1:$I$89,5,0)</f>
        <v>-3.41401573678013E-13</v>
      </c>
      <c r="CA194" s="14" t="e">
        <f t="shared" si="170"/>
        <v>#NUM!</v>
      </c>
      <c r="CB194" s="22" t="e">
        <f t="shared" si="171"/>
        <v>#NUM!</v>
      </c>
      <c r="CC194" s="62" t="e">
        <f t="shared" si="119"/>
        <v>#NUM!</v>
      </c>
      <c r="CD194" s="62">
        <f ca="1">AVERAGE(OFFSET($CC$3,0,0,'Données projet'!$E$12+1,1))-AVERAGE(OFFSET($H$3,0,0,'Données projet'!$E$12+1,1))</f>
        <v>347.72886258008998</v>
      </c>
      <c r="CE194" s="62">
        <f t="shared" si="148"/>
        <v>176.81257896138806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0</v>
      </c>
      <c r="CL194" s="23">
        <f>EXP(-LN(2)/25)*CL193+(1-EXP(-LN(2)/25))/(LN(2)/25)*Calculateur!CG194*Calculateur!CI194*VLOOKUP('Données projet'!$B$12,Paramètres!$A$1:$I$89,3,0)*0.475*44/12</f>
        <v>0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0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3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5.6843418860808015E-14</v>
      </c>
      <c r="O195" s="14">
        <f>N195*VLOOKUP('Données projet'!$B$9,Paramètres!$A$1:$I$89,3,0)*VLOOKUP('Données projet'!$B$9,Paramètres!$A$1:$I$89,5,0)</f>
        <v>2.6602720026858149E-14</v>
      </c>
      <c r="P195" s="14">
        <f t="shared" si="141"/>
        <v>4.6624771586320878E-13</v>
      </c>
      <c r="Q195" s="22">
        <f t="shared" si="162"/>
        <v>8.583811758418665E-13</v>
      </c>
      <c r="R195" s="62">
        <f t="shared" ref="R195:R203" si="191">Q195+(I195+J195)*44/12</f>
        <v>293.33333333333417</v>
      </c>
      <c r="S195" s="62">
        <f ca="1">AVERAGE(OFFSET($R$3,0,0,'Données projet'!$E$9+1,1))-AVERAGE(OFFSET($H$3,0,0,'Données projet'!$E$9+1,1))</f>
        <v>172.45217697899039</v>
      </c>
      <c r="T195" s="62">
        <f t="shared" si="142"/>
        <v>223.74038909289629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0.62127360921131602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6.4164147545383372E-24</v>
      </c>
      <c r="AC195" s="24">
        <f t="shared" si="163"/>
        <v>0.62127360921131602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364.3481978218424</v>
      </c>
      <c r="AO195" s="62">
        <f t="shared" si="144"/>
        <v>231.36959598460686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>
        <f>BD195*VLOOKUP('Données projet'!$B$11,Paramètres!$A$1:$I$89,3,0)*VLOOKUP('Données projet'!$B$11,Paramètres!$A$1:$I$89,5,0)</f>
        <v>0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403.50418598112844</v>
      </c>
      <c r="BJ195" s="62">
        <f t="shared" si="146"/>
        <v>254.25036207346591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0</v>
      </c>
      <c r="BQ195" s="23">
        <f>EXP(-LN(2)/25)*BQ194+(1-EXP(-LN(2)/25))/(LN(2)/25)*Calculateur!BL195*Calculateur!BN195*VLOOKUP('Données projet'!$B$11,Paramètres!$A$1:$I$89,3,0)*0.475*44/12</f>
        <v>0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0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-3.979039320256561E-13</v>
      </c>
      <c r="BZ195" s="14">
        <f>BY195*VLOOKUP('Données projet'!$B$12,Paramètres!$A$1:$I$89,3,0)*VLOOKUP('Données projet'!$B$12,Paramètres!$A$1:$I$89,5,0)</f>
        <v>-3.41401573678013E-13</v>
      </c>
      <c r="CA195" s="14" t="e">
        <f t="shared" si="170"/>
        <v>#NUM!</v>
      </c>
      <c r="CB195" s="22" t="e">
        <f t="shared" si="171"/>
        <v>#NUM!</v>
      </c>
      <c r="CC195" s="62" t="e">
        <f t="shared" si="119"/>
        <v>#NUM!</v>
      </c>
      <c r="CD195" s="62">
        <f ca="1">AVERAGE(OFFSET($CC$3,0,0,'Données projet'!$E$12+1,1))-AVERAGE(OFFSET($H$3,0,0,'Données projet'!$E$12+1,1))</f>
        <v>347.72886258008998</v>
      </c>
      <c r="CE195" s="62">
        <f t="shared" si="148"/>
        <v>176.81257896138806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0</v>
      </c>
      <c r="CL195" s="23">
        <f>EXP(-LN(2)/25)*CL194+(1-EXP(-LN(2)/25))/(LN(2)/25)*Calculateur!CG195*Calculateur!CI195*VLOOKUP('Données projet'!$B$12,Paramètres!$A$1:$I$89,3,0)*0.475*44/12</f>
        <v>0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0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3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5.6843418860808015E-14</v>
      </c>
      <c r="O196" s="14">
        <f>N196*VLOOKUP('Données projet'!$B$9,Paramètres!$A$1:$I$89,3,0)*VLOOKUP('Données projet'!$B$9,Paramètres!$A$1:$I$89,5,0)</f>
        <v>2.6602720026858149E-14</v>
      </c>
      <c r="P196" s="14">
        <f t="shared" si="141"/>
        <v>4.6624771586320878E-13</v>
      </c>
      <c r="Q196" s="22">
        <f t="shared" si="162"/>
        <v>8.583811758418665E-13</v>
      </c>
      <c r="R196" s="62">
        <f t="shared" si="191"/>
        <v>293.33333333333417</v>
      </c>
      <c r="S196" s="62">
        <f ca="1">AVERAGE(OFFSET($R$3,0,0,'Données projet'!$E$9+1,1))-AVERAGE(OFFSET($H$3,0,0,'Données projet'!$E$9+1,1))</f>
        <v>172.45217697899039</v>
      </c>
      <c r="T196" s="62">
        <f t="shared" si="142"/>
        <v>223.74038909289629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0.60909081267416654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4.537090383839475E-24</v>
      </c>
      <c r="AC196" s="24">
        <f t="shared" si="163"/>
        <v>0.60909081267416654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364.3481978218424</v>
      </c>
      <c r="AO196" s="62">
        <f t="shared" si="144"/>
        <v>231.36959598460686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>
        <f>BD196*VLOOKUP('Données projet'!$B$11,Paramètres!$A$1:$I$89,3,0)*VLOOKUP('Données projet'!$B$11,Paramètres!$A$1:$I$89,5,0)</f>
        <v>0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403.50418598112844</v>
      </c>
      <c r="BJ196" s="62">
        <f t="shared" si="146"/>
        <v>254.25036207346591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0</v>
      </c>
      <c r="BQ196" s="23">
        <f>EXP(-LN(2)/25)*BQ195+(1-EXP(-LN(2)/25))/(LN(2)/25)*Calculateur!BL196*Calculateur!BN196*VLOOKUP('Données projet'!$B$11,Paramètres!$A$1:$I$89,3,0)*0.475*44/12</f>
        <v>0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0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-3.979039320256561E-13</v>
      </c>
      <c r="BZ196" s="14">
        <f>BY196*VLOOKUP('Données projet'!$B$12,Paramètres!$A$1:$I$89,3,0)*VLOOKUP('Données projet'!$B$12,Paramètres!$A$1:$I$89,5,0)</f>
        <v>-3.41401573678013E-13</v>
      </c>
      <c r="CA196" s="14" t="e">
        <f t="shared" si="170"/>
        <v>#NUM!</v>
      </c>
      <c r="CB196" s="22" t="e">
        <f t="shared" si="171"/>
        <v>#NUM!</v>
      </c>
      <c r="CC196" s="62" t="e">
        <f t="shared" ref="CC196:CC203" si="195">CB196+(BT196+BU196)*44/12</f>
        <v>#NUM!</v>
      </c>
      <c r="CD196" s="62">
        <f ca="1">AVERAGE(OFFSET($CC$3,0,0,'Données projet'!$E$12+1,1))-AVERAGE(OFFSET($H$3,0,0,'Données projet'!$E$12+1,1))</f>
        <v>347.72886258008998</v>
      </c>
      <c r="CE196" s="62">
        <f t="shared" si="148"/>
        <v>176.81257896138806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0</v>
      </c>
      <c r="CL196" s="23">
        <f>EXP(-LN(2)/25)*CL195+(1-EXP(-LN(2)/25))/(LN(2)/25)*Calculateur!CG196*Calculateur!CI196*VLOOKUP('Données projet'!$B$12,Paramètres!$A$1:$I$89,3,0)*0.475*44/12</f>
        <v>0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0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3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5.6843418860808015E-14</v>
      </c>
      <c r="O197" s="14">
        <f>N197*VLOOKUP('Données projet'!$B$9,Paramètres!$A$1:$I$89,3,0)*VLOOKUP('Données projet'!$B$9,Paramètres!$A$1:$I$89,5,0)</f>
        <v>2.6602720026858149E-14</v>
      </c>
      <c r="P197" s="14">
        <f t="shared" ref="P197:P203" si="203">EXP(-1.0587+0.8836*LN(O197)+0.284)</f>
        <v>4.6624771586320878E-13</v>
      </c>
      <c r="Q197" s="22">
        <f t="shared" si="162"/>
        <v>8.583811758418665E-13</v>
      </c>
      <c r="R197" s="62">
        <f t="shared" si="191"/>
        <v>293.33333333333417</v>
      </c>
      <c r="S197" s="62">
        <f ca="1">AVERAGE(OFFSET($R$3,0,0,'Données projet'!$E$9+1,1))-AVERAGE(OFFSET($H$3,0,0,'Données projet'!$E$9+1,1))</f>
        <v>172.45217697899039</v>
      </c>
      <c r="T197" s="62">
        <f t="shared" ref="T197:T203" si="204">$T$3</f>
        <v>223.74038909289629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0.5971469133463384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3.2082073772691686E-24</v>
      </c>
      <c r="AC197" s="24">
        <f t="shared" si="163"/>
        <v>0.5971469133463384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364.3481978218424</v>
      </c>
      <c r="AO197" s="62">
        <f t="shared" ref="AO197:AO203" si="205">$AO$3</f>
        <v>231.36959598460686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>
        <f>BD197*VLOOKUP('Données projet'!$B$11,Paramètres!$A$1:$I$89,3,0)*VLOOKUP('Données projet'!$B$11,Paramètres!$A$1:$I$89,5,0)</f>
        <v>0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403.50418598112844</v>
      </c>
      <c r="BJ197" s="62">
        <f t="shared" ref="BJ197:BJ203" si="206">$BJ$3</f>
        <v>254.25036207346591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0</v>
      </c>
      <c r="BQ197" s="23">
        <f>EXP(-LN(2)/25)*BQ196+(1-EXP(-LN(2)/25))/(LN(2)/25)*Calculateur!BL197*Calculateur!BN197*VLOOKUP('Données projet'!$B$11,Paramètres!$A$1:$I$89,3,0)*0.475*44/12</f>
        <v>0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0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-3.979039320256561E-13</v>
      </c>
      <c r="BZ197" s="14">
        <f>BY197*VLOOKUP('Données projet'!$B$12,Paramètres!$A$1:$I$89,3,0)*VLOOKUP('Données projet'!$B$12,Paramètres!$A$1:$I$89,5,0)</f>
        <v>-3.41401573678013E-13</v>
      </c>
      <c r="CA197" s="14" t="e">
        <f t="shared" si="170"/>
        <v>#NUM!</v>
      </c>
      <c r="CB197" s="22" t="e">
        <f t="shared" si="171"/>
        <v>#NUM!</v>
      </c>
      <c r="CC197" s="62" t="e">
        <f t="shared" si="195"/>
        <v>#NUM!</v>
      </c>
      <c r="CD197" s="62">
        <f ca="1">AVERAGE(OFFSET($CC$3,0,0,'Données projet'!$E$12+1,1))-AVERAGE(OFFSET($H$3,0,0,'Données projet'!$E$12+1,1))</f>
        <v>347.72886258008998</v>
      </c>
      <c r="CE197" s="62">
        <f t="shared" ref="CE197:CE203" si="207">$CE$3</f>
        <v>176.81257896138806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0</v>
      </c>
      <c r="CL197" s="23">
        <f>EXP(-LN(2)/25)*CL196+(1-EXP(-LN(2)/25))/(LN(2)/25)*Calculateur!CG197*Calculateur!CI197*VLOOKUP('Données projet'!$B$12,Paramètres!$A$1:$I$89,3,0)*0.475*44/12</f>
        <v>0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0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3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5.6843418860808015E-14</v>
      </c>
      <c r="O198" s="14">
        <f>N198*VLOOKUP('Données projet'!$B$9,Paramètres!$A$1:$I$89,3,0)*VLOOKUP('Données projet'!$B$9,Paramètres!$A$1:$I$89,5,0)</f>
        <v>2.6602720026858149E-14</v>
      </c>
      <c r="P198" s="14">
        <f t="shared" si="203"/>
        <v>4.6624771586320878E-13</v>
      </c>
      <c r="Q198" s="22">
        <f t="shared" si="162"/>
        <v>8.583811758418665E-13</v>
      </c>
      <c r="R198" s="62">
        <f t="shared" si="191"/>
        <v>293.33333333333417</v>
      </c>
      <c r="S198" s="62">
        <f ca="1">AVERAGE(OFFSET($R$3,0,0,'Données projet'!$E$9+1,1))-AVERAGE(OFFSET($H$3,0,0,'Données projet'!$E$9+1,1))</f>
        <v>172.45217697899039</v>
      </c>
      <c r="T198" s="62">
        <f t="shared" si="204"/>
        <v>223.74038909289629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0.58543722659926978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2.2685451919197375E-24</v>
      </c>
      <c r="AC198" s="24">
        <f t="shared" si="163"/>
        <v>0.58543722659926978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364.3481978218424</v>
      </c>
      <c r="AO198" s="62">
        <f t="shared" si="205"/>
        <v>231.36959598460686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>
        <f>BD198*VLOOKUP('Données projet'!$B$11,Paramètres!$A$1:$I$89,3,0)*VLOOKUP('Données projet'!$B$11,Paramètres!$A$1:$I$89,5,0)</f>
        <v>0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403.50418598112844</v>
      </c>
      <c r="BJ198" s="62">
        <f t="shared" si="206"/>
        <v>254.25036207346591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0</v>
      </c>
      <c r="BQ198" s="23">
        <f>EXP(-LN(2)/25)*BQ197+(1-EXP(-LN(2)/25))/(LN(2)/25)*Calculateur!BL198*Calculateur!BN198*VLOOKUP('Données projet'!$B$11,Paramètres!$A$1:$I$89,3,0)*0.475*44/12</f>
        <v>0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0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-3.979039320256561E-13</v>
      </c>
      <c r="BZ198" s="14">
        <f>BY198*VLOOKUP('Données projet'!$B$12,Paramètres!$A$1:$I$89,3,0)*VLOOKUP('Données projet'!$B$12,Paramètres!$A$1:$I$89,5,0)</f>
        <v>-3.41401573678013E-13</v>
      </c>
      <c r="CA198" s="14" t="e">
        <f t="shared" si="170"/>
        <v>#NUM!</v>
      </c>
      <c r="CB198" s="22" t="e">
        <f t="shared" si="171"/>
        <v>#NUM!</v>
      </c>
      <c r="CC198" s="62" t="e">
        <f t="shared" si="195"/>
        <v>#NUM!</v>
      </c>
      <c r="CD198" s="62">
        <f ca="1">AVERAGE(OFFSET($CC$3,0,0,'Données projet'!$E$12+1,1))-AVERAGE(OFFSET($H$3,0,0,'Données projet'!$E$12+1,1))</f>
        <v>347.72886258008998</v>
      </c>
      <c r="CE198" s="62">
        <f t="shared" si="207"/>
        <v>176.81257896138806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0</v>
      </c>
      <c r="CL198" s="23">
        <f>EXP(-LN(2)/25)*CL197+(1-EXP(-LN(2)/25))/(LN(2)/25)*Calculateur!CG198*Calculateur!CI198*VLOOKUP('Données projet'!$B$12,Paramètres!$A$1:$I$89,3,0)*0.475*44/12</f>
        <v>0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0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3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5.6843418860808015E-14</v>
      </c>
      <c r="O199" s="14">
        <f>N199*VLOOKUP('Données projet'!$B$9,Paramètres!$A$1:$I$89,3,0)*VLOOKUP('Données projet'!$B$9,Paramètres!$A$1:$I$89,5,0)</f>
        <v>2.6602720026858149E-14</v>
      </c>
      <c r="P199" s="14">
        <f t="shared" si="203"/>
        <v>4.6624771586320878E-13</v>
      </c>
      <c r="Q199" s="22">
        <f t="shared" si="162"/>
        <v>8.583811758418665E-13</v>
      </c>
      <c r="R199" s="62">
        <f t="shared" si="191"/>
        <v>293.33333333333417</v>
      </c>
      <c r="S199" s="62">
        <f ca="1">AVERAGE(OFFSET($R$3,0,0,'Données projet'!$E$9+1,1))-AVERAGE(OFFSET($H$3,0,0,'Données projet'!$E$9+1,1))</f>
        <v>172.45217697899039</v>
      </c>
      <c r="T199" s="62">
        <f t="shared" si="204"/>
        <v>223.74038909289629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0.57395715966710747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1.6041036886345843E-24</v>
      </c>
      <c r="AC199" s="24">
        <f t="shared" si="163"/>
        <v>0.57395715966710747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364.3481978218424</v>
      </c>
      <c r="AO199" s="62">
        <f t="shared" si="205"/>
        <v>231.36959598460686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>
        <f>BD199*VLOOKUP('Données projet'!$B$11,Paramètres!$A$1:$I$89,3,0)*VLOOKUP('Données projet'!$B$11,Paramètres!$A$1:$I$89,5,0)</f>
        <v>0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403.50418598112844</v>
      </c>
      <c r="BJ199" s="62">
        <f t="shared" si="206"/>
        <v>254.25036207346591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0</v>
      </c>
      <c r="BQ199" s="23">
        <f>EXP(-LN(2)/25)*BQ198+(1-EXP(-LN(2)/25))/(LN(2)/25)*Calculateur!BL199*Calculateur!BN199*VLOOKUP('Données projet'!$B$11,Paramètres!$A$1:$I$89,3,0)*0.475*44/12</f>
        <v>0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0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-3.979039320256561E-13</v>
      </c>
      <c r="BZ199" s="14">
        <f>BY199*VLOOKUP('Données projet'!$B$12,Paramètres!$A$1:$I$89,3,0)*VLOOKUP('Données projet'!$B$12,Paramètres!$A$1:$I$89,5,0)</f>
        <v>-3.41401573678013E-13</v>
      </c>
      <c r="CA199" s="14" t="e">
        <f t="shared" si="170"/>
        <v>#NUM!</v>
      </c>
      <c r="CB199" s="22" t="e">
        <f t="shared" si="171"/>
        <v>#NUM!</v>
      </c>
      <c r="CC199" s="62" t="e">
        <f t="shared" si="195"/>
        <v>#NUM!</v>
      </c>
      <c r="CD199" s="62">
        <f ca="1">AVERAGE(OFFSET($CC$3,0,0,'Données projet'!$E$12+1,1))-AVERAGE(OFFSET($H$3,0,0,'Données projet'!$E$12+1,1))</f>
        <v>347.72886258008998</v>
      </c>
      <c r="CE199" s="62">
        <f t="shared" si="207"/>
        <v>176.81257896138806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0</v>
      </c>
      <c r="CL199" s="23">
        <f>EXP(-LN(2)/25)*CL198+(1-EXP(-LN(2)/25))/(LN(2)/25)*Calculateur!CG199*Calculateur!CI199*VLOOKUP('Données projet'!$B$12,Paramètres!$A$1:$I$89,3,0)*0.475*44/12</f>
        <v>0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0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3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5.6843418860808015E-14</v>
      </c>
      <c r="O200" s="14">
        <f>N200*VLOOKUP('Données projet'!$B$9,Paramètres!$A$1:$I$89,3,0)*VLOOKUP('Données projet'!$B$9,Paramètres!$A$1:$I$89,5,0)</f>
        <v>2.6602720026858149E-14</v>
      </c>
      <c r="P200" s="14">
        <f t="shared" si="203"/>
        <v>4.6624771586320878E-13</v>
      </c>
      <c r="Q200" s="22">
        <f t="shared" si="162"/>
        <v>8.583811758418665E-13</v>
      </c>
      <c r="R200" s="62">
        <f t="shared" si="191"/>
        <v>293.33333333333417</v>
      </c>
      <c r="S200" s="62">
        <f ca="1">AVERAGE(OFFSET($R$3,0,0,'Données projet'!$E$9+1,1))-AVERAGE(OFFSET($H$3,0,0,'Données projet'!$E$9+1,1))</f>
        <v>172.45217697899039</v>
      </c>
      <c r="T200" s="62">
        <f t="shared" si="204"/>
        <v>223.74038909289629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0.56270220984533548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1.1342725959598687E-24</v>
      </c>
      <c r="AC200" s="24">
        <f t="shared" si="163"/>
        <v>0.56270220984533548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364.3481978218424</v>
      </c>
      <c r="AO200" s="62">
        <f t="shared" si="205"/>
        <v>231.36959598460686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>
        <f>BD200*VLOOKUP('Données projet'!$B$11,Paramètres!$A$1:$I$89,3,0)*VLOOKUP('Données projet'!$B$11,Paramètres!$A$1:$I$89,5,0)</f>
        <v>0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403.50418598112844</v>
      </c>
      <c r="BJ200" s="62">
        <f t="shared" si="206"/>
        <v>254.25036207346591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0</v>
      </c>
      <c r="BQ200" s="23">
        <f>EXP(-LN(2)/25)*BQ199+(1-EXP(-LN(2)/25))/(LN(2)/25)*Calculateur!BL200*Calculateur!BN200*VLOOKUP('Données projet'!$B$11,Paramètres!$A$1:$I$89,3,0)*0.475*44/12</f>
        <v>0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0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-3.979039320256561E-13</v>
      </c>
      <c r="BZ200" s="14">
        <f>BY200*VLOOKUP('Données projet'!$B$12,Paramètres!$A$1:$I$89,3,0)*VLOOKUP('Données projet'!$B$12,Paramètres!$A$1:$I$89,5,0)</f>
        <v>-3.41401573678013E-13</v>
      </c>
      <c r="CA200" s="14" t="e">
        <f t="shared" si="170"/>
        <v>#NUM!</v>
      </c>
      <c r="CB200" s="22" t="e">
        <f t="shared" si="171"/>
        <v>#NUM!</v>
      </c>
      <c r="CC200" s="62" t="e">
        <f t="shared" si="195"/>
        <v>#NUM!</v>
      </c>
      <c r="CD200" s="62">
        <f ca="1">AVERAGE(OFFSET($CC$3,0,0,'Données projet'!$E$12+1,1))-AVERAGE(OFFSET($H$3,0,0,'Données projet'!$E$12+1,1))</f>
        <v>347.72886258008998</v>
      </c>
      <c r="CE200" s="62">
        <f t="shared" si="207"/>
        <v>176.81257896138806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0</v>
      </c>
      <c r="CL200" s="23">
        <f>EXP(-LN(2)/25)*CL199+(1-EXP(-LN(2)/25))/(LN(2)/25)*Calculateur!CG200*Calculateur!CI200*VLOOKUP('Données projet'!$B$12,Paramètres!$A$1:$I$89,3,0)*0.475*44/12</f>
        <v>0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0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3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5.6843418860808015E-14</v>
      </c>
      <c r="O201" s="14">
        <f>N201*VLOOKUP('Données projet'!$B$9,Paramètres!$A$1:$I$89,3,0)*VLOOKUP('Données projet'!$B$9,Paramètres!$A$1:$I$89,5,0)</f>
        <v>2.6602720026858149E-14</v>
      </c>
      <c r="P201" s="14">
        <f t="shared" si="203"/>
        <v>4.6624771586320878E-13</v>
      </c>
      <c r="Q201" s="22">
        <f t="shared" si="162"/>
        <v>8.583811758418665E-13</v>
      </c>
      <c r="R201" s="62">
        <f t="shared" si="191"/>
        <v>293.33333333333417</v>
      </c>
      <c r="S201" s="62">
        <f ca="1">AVERAGE(OFFSET($R$3,0,0,'Données projet'!$E$9+1,1))-AVERAGE(OFFSET($H$3,0,0,'Données projet'!$E$9+1,1))</f>
        <v>172.45217697899039</v>
      </c>
      <c r="T201" s="62">
        <f t="shared" si="204"/>
        <v>223.74038909289629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0.55166796272472685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8.0205184431729214E-25</v>
      </c>
      <c r="AC201" s="24">
        <f t="shared" si="163"/>
        <v>0.55166796272472685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364.3481978218424</v>
      </c>
      <c r="AO201" s="62">
        <f t="shared" si="205"/>
        <v>231.36959598460686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>
        <f>BD201*VLOOKUP('Données projet'!$B$11,Paramètres!$A$1:$I$89,3,0)*VLOOKUP('Données projet'!$B$11,Paramètres!$A$1:$I$89,5,0)</f>
        <v>0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403.50418598112844</v>
      </c>
      <c r="BJ201" s="62">
        <f t="shared" si="206"/>
        <v>254.25036207346591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0</v>
      </c>
      <c r="BQ201" s="23">
        <f>EXP(-LN(2)/25)*BQ200+(1-EXP(-LN(2)/25))/(LN(2)/25)*Calculateur!BL201*Calculateur!BN201*VLOOKUP('Données projet'!$B$11,Paramètres!$A$1:$I$89,3,0)*0.475*44/12</f>
        <v>0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0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-3.979039320256561E-13</v>
      </c>
      <c r="BZ201" s="14">
        <f>BY201*VLOOKUP('Données projet'!$B$12,Paramètres!$A$1:$I$89,3,0)*VLOOKUP('Données projet'!$B$12,Paramètres!$A$1:$I$89,5,0)</f>
        <v>-3.41401573678013E-13</v>
      </c>
      <c r="CA201" s="14" t="e">
        <f t="shared" si="170"/>
        <v>#NUM!</v>
      </c>
      <c r="CB201" s="22" t="e">
        <f t="shared" si="171"/>
        <v>#NUM!</v>
      </c>
      <c r="CC201" s="62" t="e">
        <f t="shared" si="195"/>
        <v>#NUM!</v>
      </c>
      <c r="CD201" s="62">
        <f ca="1">AVERAGE(OFFSET($CC$3,0,0,'Données projet'!$E$12+1,1))-AVERAGE(OFFSET($H$3,0,0,'Données projet'!$E$12+1,1))</f>
        <v>347.72886258008998</v>
      </c>
      <c r="CE201" s="62">
        <f t="shared" si="207"/>
        <v>176.81257896138806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0</v>
      </c>
      <c r="CL201" s="23">
        <f>EXP(-LN(2)/25)*CL200+(1-EXP(-LN(2)/25))/(LN(2)/25)*Calculateur!CG201*Calculateur!CI201*VLOOKUP('Données projet'!$B$12,Paramètres!$A$1:$I$89,3,0)*0.475*44/12</f>
        <v>0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0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3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5.6843418860808015E-14</v>
      </c>
      <c r="O202" s="14">
        <f>N202*VLOOKUP('Données projet'!$B$9,Paramètres!$A$1:$I$89,3,0)*VLOOKUP('Données projet'!$B$9,Paramètres!$A$1:$I$89,5,0)</f>
        <v>2.6602720026858149E-14</v>
      </c>
      <c r="P202" s="14">
        <f t="shared" si="203"/>
        <v>4.6624771586320878E-13</v>
      </c>
      <c r="Q202" s="22">
        <f t="shared" si="162"/>
        <v>8.583811758418665E-13</v>
      </c>
      <c r="R202" s="62">
        <f t="shared" si="191"/>
        <v>293.33333333333417</v>
      </c>
      <c r="S202" s="62">
        <f ca="1">AVERAGE(OFFSET($R$3,0,0,'Données projet'!$E$9+1,1))-AVERAGE(OFFSET($H$3,0,0,'Données projet'!$E$9+1,1))</f>
        <v>172.45217697899039</v>
      </c>
      <c r="T202" s="62">
        <f t="shared" si="204"/>
        <v>223.74038909289629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0.54085009045992716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5.6713629797993437E-25</v>
      </c>
      <c r="AC202" s="24">
        <f t="shared" si="163"/>
        <v>0.54085009045992716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364.3481978218424</v>
      </c>
      <c r="AO202" s="62">
        <f t="shared" si="205"/>
        <v>231.36959598460686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>
        <f>BD202*VLOOKUP('Données projet'!$B$11,Paramètres!$A$1:$I$89,3,0)*VLOOKUP('Données projet'!$B$11,Paramètres!$A$1:$I$89,5,0)</f>
        <v>0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403.50418598112844</v>
      </c>
      <c r="BJ202" s="62">
        <f t="shared" si="206"/>
        <v>254.25036207346591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0</v>
      </c>
      <c r="BQ202" s="23">
        <f>EXP(-LN(2)/25)*BQ201+(1-EXP(-LN(2)/25))/(LN(2)/25)*Calculateur!BL202*Calculateur!BN202*VLOOKUP('Données projet'!$B$11,Paramètres!$A$1:$I$89,3,0)*0.475*44/12</f>
        <v>0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0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-3.979039320256561E-13</v>
      </c>
      <c r="BZ202" s="14">
        <f>BY202*VLOOKUP('Données projet'!$B$12,Paramètres!$A$1:$I$89,3,0)*VLOOKUP('Données projet'!$B$12,Paramètres!$A$1:$I$89,5,0)</f>
        <v>-3.41401573678013E-13</v>
      </c>
      <c r="CA202" s="14" t="e">
        <f t="shared" si="170"/>
        <v>#NUM!</v>
      </c>
      <c r="CB202" s="22" t="e">
        <f t="shared" si="171"/>
        <v>#NUM!</v>
      </c>
      <c r="CC202" s="62" t="e">
        <f t="shared" si="195"/>
        <v>#NUM!</v>
      </c>
      <c r="CD202" s="62">
        <f ca="1">AVERAGE(OFFSET($CC$3,0,0,'Données projet'!$E$12+1,1))-AVERAGE(OFFSET($H$3,0,0,'Données projet'!$E$12+1,1))</f>
        <v>347.72886258008998</v>
      </c>
      <c r="CE202" s="62">
        <f t="shared" si="207"/>
        <v>176.81257896138806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0</v>
      </c>
      <c r="CL202" s="23">
        <f>EXP(-LN(2)/25)*CL201+(1-EXP(-LN(2)/25))/(LN(2)/25)*Calculateur!CG202*Calculateur!CI202*VLOOKUP('Données projet'!$B$12,Paramètres!$A$1:$I$89,3,0)*0.475*44/12</f>
        <v>0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0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" thickBot="1" x14ac:dyDescent="0.4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5.6843418860808015E-14</v>
      </c>
      <c r="O203" s="14">
        <f>N203*VLOOKUP('Données projet'!$B$9,Paramètres!$A$1:$I$89,3,0)*VLOOKUP('Données projet'!$B$9,Paramètres!$A$1:$I$89,5,0)</f>
        <v>2.6602720026858149E-14</v>
      </c>
      <c r="P203" s="14">
        <f t="shared" si="203"/>
        <v>4.6624771586320878E-13</v>
      </c>
      <c r="Q203" s="22">
        <f t="shared" si="162"/>
        <v>8.583811758418665E-13</v>
      </c>
      <c r="R203" s="62">
        <f t="shared" si="191"/>
        <v>293.33333333333417</v>
      </c>
      <c r="S203" s="62">
        <f ca="1">AVERAGE(OFFSET($R$3,0,0,'Données projet'!$E$9+1,1))-AVERAGE(OFFSET($H$3,0,0,'Données projet'!$E$9+1,1))</f>
        <v>172.45217697899039</v>
      </c>
      <c r="T203" s="62">
        <f t="shared" si="204"/>
        <v>223.74038909289629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0.53024435007198967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4.0102592215864607E-25</v>
      </c>
      <c r="AC203" s="24">
        <f t="shared" si="163"/>
        <v>0.53024435007198967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364.3481978218424</v>
      </c>
      <c r="AO203" s="62">
        <f t="shared" si="205"/>
        <v>231.36959598460686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>
        <f>BD203*VLOOKUP('Données projet'!$B$11,Paramètres!$A$1:$I$89,3,0)*VLOOKUP('Données projet'!$B$11,Paramètres!$A$1:$I$89,5,0)</f>
        <v>0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403.50418598112844</v>
      </c>
      <c r="BJ203" s="62">
        <f t="shared" si="206"/>
        <v>254.25036207346591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0</v>
      </c>
      <c r="BQ203" s="23">
        <f>EXP(-LN(2)/25)*BQ202+(1-EXP(-LN(2)/25))/(LN(2)/25)*Calculateur!BL203*Calculateur!BN203*VLOOKUP('Données projet'!$B$11,Paramètres!$A$1:$I$89,3,0)*0.475*44/12</f>
        <v>0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0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-3.979039320256561E-13</v>
      </c>
      <c r="BZ203" s="14">
        <f>BY203*VLOOKUP('Données projet'!$B$12,Paramètres!$A$1:$I$89,3,0)*VLOOKUP('Données projet'!$B$12,Paramètres!$A$1:$I$89,5,0)</f>
        <v>-3.41401573678013E-13</v>
      </c>
      <c r="CA203" s="14" t="e">
        <f t="shared" si="170"/>
        <v>#NUM!</v>
      </c>
      <c r="CB203" s="22" t="e">
        <f t="shared" si="171"/>
        <v>#NUM!</v>
      </c>
      <c r="CC203" s="62" t="e">
        <f t="shared" si="195"/>
        <v>#NUM!</v>
      </c>
      <c r="CD203" s="62">
        <f ca="1">AVERAGE(OFFSET($CC$3,0,0,'Données projet'!$E$12+1,1))-AVERAGE(OFFSET($H$3,0,0,'Données projet'!$E$12+1,1))</f>
        <v>347.72886258008998</v>
      </c>
      <c r="CE203" s="62">
        <f t="shared" si="207"/>
        <v>176.81257896138806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0</v>
      </c>
      <c r="CL203" s="23">
        <f>EXP(-LN(2)/25)*CL202+(1-EXP(-LN(2)/25))/(LN(2)/25)*Calculateur!CG203*Calculateur!CI203*VLOOKUP('Données projet'!$B$12,Paramètres!$A$1:$I$89,3,0)*0.475*44/12</f>
        <v>0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0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" thickBot="1" x14ac:dyDescent="0.4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" thickBot="1" x14ac:dyDescent="0.4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1.2880503926580862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1.2054868146447177</v>
      </c>
      <c r="BA205" s="88">
        <f>EXP(LN('Données projet'!B88)/'Données projet'!A88)</f>
        <v>1.2054868146447177</v>
      </c>
      <c r="BV205" s="88">
        <f>EXP(LN('Données projet'!B114)/'Données projet'!A114)</f>
        <v>1.1589972344055464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5" bestFit="1" customWidth="1"/>
    <col min="2" max="2" width="27.7265625" style="5" bestFit="1" customWidth="1"/>
    <col min="3" max="3" width="11.81640625" style="5" bestFit="1" customWidth="1"/>
    <col min="4" max="4" width="40" style="5" bestFit="1" customWidth="1"/>
    <col min="5" max="5" width="11.81640625" style="5" bestFit="1" customWidth="1"/>
    <col min="6" max="6" width="13.7265625" style="5" bestFit="1" customWidth="1"/>
    <col min="7" max="7" width="11.453125" style="5" bestFit="1" customWidth="1"/>
    <col min="8" max="8" width="39" style="5" bestFit="1" customWidth="1"/>
    <col min="9" max="9" width="16.7265625" style="5" customWidth="1"/>
    <col min="10" max="14" width="11.453125" style="5"/>
    <col min="15" max="15" width="23.453125" style="5" bestFit="1" customWidth="1"/>
    <col min="16" max="16384" width="11.453125" style="5"/>
  </cols>
  <sheetData>
    <row r="1" spans="1:16" ht="44" thickBot="1" x14ac:dyDescent="0.4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3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" thickBot="1" x14ac:dyDescent="0.4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" thickBot="1" x14ac:dyDescent="0.4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3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3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3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" thickBot="1" x14ac:dyDescent="0.4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" thickBot="1" x14ac:dyDescent="0.4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3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" thickBot="1" x14ac:dyDescent="0.4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3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3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3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3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3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3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3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3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3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3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3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3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3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3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3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3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3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3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3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3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3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3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3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3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3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3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3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3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3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3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3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3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3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3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3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3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3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3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3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3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3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3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3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3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3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3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3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3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3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3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3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3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3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3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3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3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3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3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3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3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3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3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3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3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3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3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3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3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3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3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3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3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3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3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3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3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3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" thickBot="1" x14ac:dyDescent="0.4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35">
      <c r="A93" s="131" t="s">
        <v>208</v>
      </c>
    </row>
    <row r="94" spans="1:14" x14ac:dyDescent="0.35">
      <c r="A94" s="131" t="s">
        <v>209</v>
      </c>
    </row>
    <row r="95" spans="1:14" x14ac:dyDescent="0.3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5"/>
  <dimension ref="A1:BJ357"/>
  <sheetViews>
    <sheetView workbookViewId="0">
      <selection activeCell="K30" sqref="K30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5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6.5" thickBot="1" x14ac:dyDescent="0.6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3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" thickBot="1" x14ac:dyDescent="0.4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8.5" thickBot="1" x14ac:dyDescent="0.4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35">
      <c r="A6" s="154" t="str">
        <f>IF('Données projet'!$B$9="","",'Données projet'!$B$9)</f>
        <v>Cèdre de l'Atlas</v>
      </c>
      <c r="B6" s="155">
        <f>'Données projet'!D9</f>
        <v>3.7525000000000004</v>
      </c>
      <c r="C6" s="156">
        <f ca="1">IF(OR('Données projet'!B9="",'Données projet'!C9="",'Données projet'!C9=0%),0,Calculateur!S3)</f>
        <v>172.45217697899039</v>
      </c>
      <c r="D6" s="156">
        <f>IF(OR('Données projet'!B9="",'Données projet'!C9="",'Données projet'!C9=0%),0,Calculateur!T3)</f>
        <v>223.74038909289629</v>
      </c>
      <c r="E6" s="156">
        <f ca="1">MIN(C6,D6)</f>
        <v>172.45217697899039</v>
      </c>
      <c r="F6" s="156">
        <f ca="1">E6*B6</f>
        <v>647.1267941136615</v>
      </c>
      <c r="G6" s="156">
        <f ca="1">F6*(100%-'Données projet'!$C$24)*(100%-'Données projet'!$C$25)*(100%-'Données projet'!$C$26)*(100%-'Données projet'!$C$27)</f>
        <v>553.29340896718054</v>
      </c>
      <c r="H6" s="157">
        <f>IF(OR('Données projet'!B9="",'Données projet'!C9="",'Données projet'!C9=0%),0,AVERAGE(Calculateur!$AC$3:$AC$33)*B6)</f>
        <v>18.929507783398371</v>
      </c>
      <c r="I6" s="158">
        <f>H6*(100%-'Données projet'!$C$24)*(100%-'Données projet'!$C$25)*(100%-'Données projet'!$C$26)*(100%-'Données projet'!$C$27)</f>
        <v>16.184729154805606</v>
      </c>
      <c r="J6" s="159">
        <f>IF(OR('Données projet'!B9="",'Données projet'!C9="",'Données projet'!C9=0%),0,SUM(Calculateur!$V$3:$V$33)*VLOOKUP('Données projet'!$B$9,Paramètres!$A$1:$I$89,9,0)*B6)</f>
        <v>193.62900000000002</v>
      </c>
      <c r="K6" s="160">
        <f>J6*(100%-'Données projet'!$C$24)*(100%-'Données projet'!$C$25)*(100%-'Données projet'!$C$26)*(100%-'Données projet'!$C$27)</f>
        <v>165.552795</v>
      </c>
      <c r="L6" s="161">
        <f ca="1">G6+I6+K6</f>
        <v>735.03093312198621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35">
      <c r="A7" s="162" t="str">
        <f>IF('Données projet'!$B$10="","",'Données projet'!$B$10)</f>
        <v>Chêne sessile</v>
      </c>
      <c r="B7" s="163">
        <f>'Données projet'!D10</f>
        <v>4.0659999999999998</v>
      </c>
      <c r="C7" s="156">
        <f ca="1">IF(OR('Données projet'!B10="",'Données projet'!C10="",'Données projet'!C10=0%),0,Calculateur!AN3)</f>
        <v>364.3481978218424</v>
      </c>
      <c r="D7" s="156">
        <f>IF(OR('Données projet'!B10="",'Données projet'!C10="",'Données projet'!C10=0%),0,Calculateur!AO3)</f>
        <v>231.36959598460686</v>
      </c>
      <c r="E7" s="156">
        <f t="shared" ref="E7:E15" ca="1" si="0">MIN(C7,D7)</f>
        <v>231.36959598460686</v>
      </c>
      <c r="F7" s="156">
        <f t="shared" ref="F7:F15" ca="1" si="1">E7*B7</f>
        <v>940.74877727341141</v>
      </c>
      <c r="G7" s="156">
        <f ca="1">F7*(100%-'Données projet'!$C$24)*(100%-'Données projet'!$C$25)*(100%-'Données projet'!$C$26)*(100%-'Données projet'!$C$27)</f>
        <v>804.34020456876669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29.4785</v>
      </c>
      <c r="K7" s="160">
        <f>J7*(100%-'Données projet'!$C$24)*(100%-'Données projet'!$C$25)*(100%-'Données projet'!$C$26)*(100%-'Données projet'!$C$27)</f>
        <v>25.204117499999999</v>
      </c>
      <c r="L7" s="161">
        <f t="shared" ref="L7:L15" ca="1" si="2">G7+I7+K7</f>
        <v>829.54432206876675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35">
      <c r="A8" s="162" t="str">
        <f>IF('Données projet'!$B$11="","",'Données projet'!$B$11)</f>
        <v>Chêne pubescent</v>
      </c>
      <c r="B8" s="163">
        <f>'Données projet'!D11</f>
        <v>0.42749999999999999</v>
      </c>
      <c r="C8" s="156">
        <f ca="1">IF(OR('Données projet'!B11="",'Données projet'!C11="",'Données projet'!C11=0%),0,Calculateur!BI3)</f>
        <v>403.50418598112844</v>
      </c>
      <c r="D8" s="156">
        <f>IF(OR('Données projet'!B11="",'Données projet'!C11="",'Données projet'!C11=0%),0,Calculateur!BJ3)</f>
        <v>254.25036207346591</v>
      </c>
      <c r="E8" s="156">
        <f t="shared" ca="1" si="0"/>
        <v>254.25036207346591</v>
      </c>
      <c r="F8" s="156">
        <f t="shared" ca="1" si="1"/>
        <v>108.69202978640668</v>
      </c>
      <c r="G8" s="156">
        <f ca="1">F8*(100%-'Données projet'!$C$24)*(100%-'Données projet'!$C$25)*(100%-'Données projet'!$C$26)*(100%-'Données projet'!$C$27)</f>
        <v>92.931685467377704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3.0993749999999998</v>
      </c>
      <c r="K8" s="160">
        <f>J8*(100%-'Données projet'!$C$24)*(100%-'Données projet'!$C$25)*(100%-'Données projet'!$C$26)*(100%-'Données projet'!$C$27)</f>
        <v>2.6499656250000001</v>
      </c>
      <c r="L8" s="161">
        <f t="shared" ca="1" si="2"/>
        <v>95.581651092377712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35">
      <c r="A9" s="162" t="str">
        <f>IF('Données projet'!$B$12="","",'Données projet'!$B$12)</f>
        <v>Hêtre</v>
      </c>
      <c r="B9" s="163">
        <f>'Données projet'!D12</f>
        <v>1.0165</v>
      </c>
      <c r="C9" s="156">
        <f ca="1">IF(OR('Données projet'!B12="",'Données projet'!C12="",'Données projet'!C12=0%),0,Calculateur!CD3)</f>
        <v>347.72886258008998</v>
      </c>
      <c r="D9" s="156">
        <f>IF(OR('Données projet'!B12="",'Données projet'!C12="",'Données projet'!C12=0%),0,Calculateur!CE3)</f>
        <v>176.81257896138806</v>
      </c>
      <c r="E9" s="156">
        <f t="shared" ca="1" si="0"/>
        <v>176.81257896138806</v>
      </c>
      <c r="F9" s="156">
        <f t="shared" ca="1" si="1"/>
        <v>179.72998651425095</v>
      </c>
      <c r="G9" s="156">
        <f ca="1">F9*(100%-'Données projet'!$C$24)*(100%-'Données projet'!$C$25)*(100%-'Données projet'!$C$26)*(100%-'Données projet'!$C$27)</f>
        <v>153.66913846968455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3.0495000000000001</v>
      </c>
      <c r="K9" s="160">
        <f>J9*(100%-'Données projet'!$C$24)*(100%-'Données projet'!$C$25)*(100%-'Données projet'!$C$26)*(100%-'Données projet'!$C$27)</f>
        <v>2.6073225</v>
      </c>
      <c r="L9" s="161">
        <f t="shared" ca="1" si="2"/>
        <v>156.27646096968456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3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3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3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3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3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" thickBot="1" x14ac:dyDescent="0.4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" thickBot="1" x14ac:dyDescent="0.4">
      <c r="A16" s="226"/>
      <c r="B16" s="233"/>
      <c r="C16" s="234"/>
      <c r="D16" s="25"/>
      <c r="E16" s="25"/>
      <c r="F16" s="174">
        <f t="shared" ref="F16:L16" ca="1" si="3">SUM(F6:F15)</f>
        <v>1876.2975876877304</v>
      </c>
      <c r="G16" s="175">
        <f t="shared" ca="1" si="3"/>
        <v>1604.2344374730096</v>
      </c>
      <c r="H16" s="176">
        <f t="shared" si="3"/>
        <v>18.929507783398371</v>
      </c>
      <c r="I16" s="176">
        <f t="shared" si="3"/>
        <v>16.184729154805606</v>
      </c>
      <c r="J16" s="177">
        <f t="shared" si="3"/>
        <v>229.25637500000002</v>
      </c>
      <c r="K16" s="177">
        <f t="shared" si="3"/>
        <v>196.014200625</v>
      </c>
      <c r="L16" s="178">
        <f t="shared" ca="1" si="3"/>
        <v>1816.4333672528155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3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3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3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" thickBot="1" x14ac:dyDescent="0.4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" thickBot="1" x14ac:dyDescent="0.4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3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3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3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3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3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3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3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3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3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3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3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3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3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3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3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3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" thickBot="1" x14ac:dyDescent="0.4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" thickBot="1" x14ac:dyDescent="0.4">
      <c r="A39" s="179" t="str">
        <f>A7</f>
        <v>Chêne sessile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3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3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3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3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3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3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3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3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3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3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3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3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3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3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3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3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" thickBot="1" x14ac:dyDescent="0.4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" thickBot="1" x14ac:dyDescent="0.4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3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3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3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3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3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3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3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3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3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3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3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3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3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3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3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3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3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" thickBot="1" x14ac:dyDescent="0.4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" thickBot="1" x14ac:dyDescent="0.4">
      <c r="A76" s="179" t="str">
        <f>A9</f>
        <v>Hêtre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3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3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3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3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3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3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3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3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3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3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3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3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3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3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3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3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" thickBot="1" x14ac:dyDescent="0.4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" thickBot="1" x14ac:dyDescent="0.4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3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3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3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3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3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3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3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3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3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3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3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3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3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3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3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3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" thickBot="1" x14ac:dyDescent="0.4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" thickBot="1" x14ac:dyDescent="0.4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3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3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3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3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3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3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3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3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3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3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3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3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3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3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3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3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" thickBot="1" x14ac:dyDescent="0.4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" thickBot="1" x14ac:dyDescent="0.4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3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3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3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3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3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3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3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3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3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3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3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3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3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3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3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3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" thickBot="1" x14ac:dyDescent="0.4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" thickBot="1" x14ac:dyDescent="0.4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3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3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3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3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3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3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3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3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3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3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3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3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3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3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3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3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" thickBot="1" x14ac:dyDescent="0.4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" thickBot="1" x14ac:dyDescent="0.4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3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3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3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3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3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3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3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3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3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3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3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3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3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3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3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3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" thickBot="1" x14ac:dyDescent="0.4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" thickBot="1" x14ac:dyDescent="0.4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3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3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3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3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3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3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3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3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3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3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3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3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3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3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3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3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3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3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3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3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3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3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3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3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3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3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3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3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3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3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3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3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3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3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3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3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3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3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3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3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3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3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3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3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3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3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3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3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3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3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3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3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3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3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3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3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3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3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3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3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3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3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3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3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3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3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3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3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3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3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3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3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3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3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3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3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3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3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3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3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3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3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3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3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3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3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3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3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3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3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3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3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3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3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3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3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3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3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3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3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3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3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3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3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3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3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3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3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3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3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3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3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3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3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3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3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3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3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3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3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3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3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3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3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3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3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3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3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3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3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3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3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3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3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3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3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3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3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3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3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3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3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3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3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3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3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3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3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3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3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3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3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3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3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3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3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3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3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3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3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3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3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3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3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3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3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3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3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3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3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3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3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3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BL552"/>
  <sheetViews>
    <sheetView topLeftCell="L8" zoomScale="94" zoomScaleNormal="94" workbookViewId="0">
      <selection activeCell="R30" sqref="R3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3" customWidth="1"/>
    <col min="7" max="7" width="17.54296875" style="3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6.5" thickBot="1" x14ac:dyDescent="0.6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3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35">
      <c r="A4" s="99"/>
      <c r="B4" s="99"/>
      <c r="C4" s="99"/>
      <c r="D4" s="99"/>
      <c r="E4" s="99"/>
      <c r="G4" s="180"/>
      <c r="H4" s="326" t="s">
        <v>315</v>
      </c>
      <c r="I4" s="326"/>
      <c r="K4" s="323" t="s">
        <v>253</v>
      </c>
      <c r="L4" s="324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3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" thickBot="1" x14ac:dyDescent="0.4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6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4" t="s">
        <v>310</v>
      </c>
      <c r="S7" s="335"/>
      <c r="T7" s="335"/>
      <c r="U7" s="335"/>
      <c r="V7" s="336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3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3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3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-583.26947212401228</v>
      </c>
      <c r="U10" s="190">
        <f>'Données projet'!D9</f>
        <v>3.7525000000000004</v>
      </c>
      <c r="V10" s="189">
        <f>U10*T10</f>
        <v>-2188.7186941453565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3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Chêne sessile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-1407.9857701721605</v>
      </c>
      <c r="U11" s="190">
        <f>'Données projet'!D10</f>
        <v>4.0659999999999998</v>
      </c>
      <c r="V11" s="189">
        <f t="shared" ref="V11" si="0">U11*T11</f>
        <v>-5724.8701415200048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3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-1418.6213934983889</v>
      </c>
      <c r="U12" s="190">
        <f>'Données projet'!D11</f>
        <v>0.42749999999999999</v>
      </c>
      <c r="V12" s="189">
        <f t="shared" ref="V12:V19" si="1">U12*T12</f>
        <v>-606.46064572056127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3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Hêtre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-1611.9030063951739</v>
      </c>
      <c r="U13" s="190">
        <f>'Données projet'!D12</f>
        <v>1.0165</v>
      </c>
      <c r="V13" s="189">
        <f t="shared" si="1"/>
        <v>-1638.4994060006941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3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35">
      <c r="A15" s="5"/>
      <c r="B15" s="5"/>
      <c r="C15" s="5"/>
      <c r="D15" s="5"/>
      <c r="E15" s="5"/>
      <c r="F15" s="261"/>
      <c r="G15" s="327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3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27"/>
      <c r="H16" s="203"/>
      <c r="I16" s="204"/>
      <c r="J16" s="216"/>
      <c r="K16" s="225"/>
      <c r="L16" s="323" t="s">
        <v>254</v>
      </c>
      <c r="M16" s="324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35">
      <c r="A17" s="210">
        <v>0</v>
      </c>
      <c r="B17" s="213" t="s">
        <v>132</v>
      </c>
      <c r="C17" s="212" t="s">
        <v>132</v>
      </c>
      <c r="D17" s="211" t="s">
        <v>132</v>
      </c>
      <c r="E17" s="206">
        <f>(4080+(4800*0.45))/(9.5*0.395)</f>
        <v>1662.8914057295135</v>
      </c>
      <c r="F17" s="261"/>
      <c r="G17" s="327"/>
      <c r="J17" s="216"/>
      <c r="K17" s="225"/>
      <c r="L17" s="294" t="s">
        <v>289</v>
      </c>
      <c r="M17" s="296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3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27"/>
      <c r="J18" s="216"/>
      <c r="K18" s="225"/>
      <c r="L18" s="294" t="s">
        <v>255</v>
      </c>
      <c r="M18" s="296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3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27"/>
      <c r="H19" s="232" t="s">
        <v>178</v>
      </c>
      <c r="I19" s="232" t="s">
        <v>287</v>
      </c>
      <c r="J19" s="260"/>
      <c r="K19" s="183"/>
      <c r="L19" s="323" t="s">
        <v>288</v>
      </c>
      <c r="M19" s="324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3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27"/>
      <c r="H20" s="203">
        <v>0</v>
      </c>
      <c r="I20" s="204">
        <f>(1596+4275+180+180+100)/9.5</f>
        <v>666.42105263157896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3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f>(2375+3800+1900)/9.5</f>
        <v>850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3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f>3800/9.5</f>
        <v>400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35">
      <c r="A23" s="192">
        <f>'Données projet'!A36</f>
        <v>20</v>
      </c>
      <c r="B23" s="193">
        <f>'Données projet'!D36</f>
        <v>35</v>
      </c>
      <c r="C23" s="206">
        <v>7</v>
      </c>
      <c r="D23" s="194">
        <f>B23*C23</f>
        <v>245</v>
      </c>
      <c r="E23" s="206"/>
      <c r="F23" s="261"/>
      <c r="H23" s="203">
        <v>3</v>
      </c>
      <c r="I23" s="204">
        <f>2375/9.5</f>
        <v>250</v>
      </c>
      <c r="K23" s="225"/>
      <c r="L23" s="325" t="s">
        <v>260</v>
      </c>
      <c r="M23" s="325"/>
      <c r="N23" s="325"/>
      <c r="O23" s="25"/>
      <c r="P23" s="25"/>
      <c r="Q23" s="265"/>
      <c r="R23" s="25"/>
      <c r="S23" s="185" t="s">
        <v>264</v>
      </c>
      <c r="T23" s="339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-31683.621099430922</v>
      </c>
      <c r="U23" s="339"/>
      <c r="V23" s="339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35">
      <c r="A24" s="192">
        <f>'Données projet'!A37</f>
        <v>25</v>
      </c>
      <c r="B24" s="193">
        <f>'Données projet'!D37</f>
        <v>35</v>
      </c>
      <c r="C24" s="206">
        <v>9</v>
      </c>
      <c r="D24" s="194">
        <f t="shared" ref="D24:D42" si="2">B24*C24</f>
        <v>315</v>
      </c>
      <c r="E24" s="206"/>
      <c r="F24" s="264"/>
      <c r="H24" s="203">
        <v>5</v>
      </c>
      <c r="I24" s="204">
        <f>2375/9.5</f>
        <v>250</v>
      </c>
      <c r="K24" s="225"/>
      <c r="O24" s="25"/>
      <c r="P24" s="25"/>
      <c r="Q24" s="265"/>
      <c r="R24" s="25"/>
      <c r="S24" s="185" t="s">
        <v>261</v>
      </c>
      <c r="T24" s="340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40"/>
      <c r="V24" s="340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35">
      <c r="A25" s="192">
        <f>'Données projet'!A38</f>
        <v>30</v>
      </c>
      <c r="B25" s="193">
        <f>'Données projet'!D38</f>
        <v>50</v>
      </c>
      <c r="C25" s="206">
        <v>11</v>
      </c>
      <c r="D25" s="194">
        <f t="shared" si="2"/>
        <v>550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 t="s">
        <v>324</v>
      </c>
      <c r="R25" s="25"/>
      <c r="S25" s="198" t="s">
        <v>266</v>
      </c>
      <c r="T25" s="341">
        <f ca="1">T23-T24</f>
        <v>-31683.621099430922</v>
      </c>
      <c r="U25" s="341"/>
      <c r="V25" s="341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35">
      <c r="A26" s="192">
        <f>'Données projet'!A39</f>
        <v>37</v>
      </c>
      <c r="B26" s="193">
        <f>'Données projet'!D39</f>
        <v>50</v>
      </c>
      <c r="C26" s="206">
        <v>12</v>
      </c>
      <c r="D26" s="194">
        <f t="shared" si="2"/>
        <v>600</v>
      </c>
      <c r="E26" s="206"/>
      <c r="F26" s="264"/>
      <c r="G26" s="259"/>
      <c r="H26" s="203"/>
      <c r="I26" s="204"/>
      <c r="K26" s="225"/>
      <c r="L26" s="328" t="s">
        <v>258</v>
      </c>
      <c r="M26" s="329"/>
      <c r="N26" s="329"/>
      <c r="O26" s="329"/>
      <c r="P26" s="330"/>
      <c r="Q26" s="265"/>
      <c r="R26" s="25"/>
      <c r="S26" s="198" t="s">
        <v>265</v>
      </c>
      <c r="T26" s="338" t="str">
        <f ca="1">IF(T25&lt;0,"Votre projet est additionnel","Votre projet n'est pas additionnel")</f>
        <v>Votre projet est additionnel</v>
      </c>
      <c r="U26" s="338"/>
      <c r="V26" s="338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35">
      <c r="A27" s="192">
        <f>'Données projet'!A40</f>
        <v>44</v>
      </c>
      <c r="B27" s="193">
        <f>'Données projet'!D40</f>
        <v>60</v>
      </c>
      <c r="C27" s="206">
        <v>13</v>
      </c>
      <c r="D27" s="194">
        <f t="shared" si="2"/>
        <v>780</v>
      </c>
      <c r="E27" s="206"/>
      <c r="F27" s="264"/>
      <c r="G27" s="259"/>
      <c r="H27" s="203"/>
      <c r="I27" s="204"/>
      <c r="K27" s="225"/>
      <c r="L27" s="331"/>
      <c r="M27" s="332"/>
      <c r="N27" s="332"/>
      <c r="O27" s="332"/>
      <c r="P27" s="333"/>
      <c r="Q27" s="265"/>
      <c r="R27" s="25"/>
      <c r="S27" s="337" t="s">
        <v>267</v>
      </c>
      <c r="T27" s="337"/>
      <c r="U27" s="337"/>
      <c r="V27" s="337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35">
      <c r="A28" s="192">
        <f>'Données projet'!A41</f>
        <v>51</v>
      </c>
      <c r="B28" s="193">
        <f>'Données projet'!D41</f>
        <v>70</v>
      </c>
      <c r="C28" s="206">
        <v>15</v>
      </c>
      <c r="D28" s="194">
        <f t="shared" si="2"/>
        <v>1050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35">
      <c r="A29" s="192">
        <f>'Données projet'!A42</f>
        <v>60</v>
      </c>
      <c r="B29" s="193">
        <f>'Données projet'!D42</f>
        <v>300</v>
      </c>
      <c r="C29" s="206">
        <v>18</v>
      </c>
      <c r="D29" s="194">
        <f t="shared" si="2"/>
        <v>5400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3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3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3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3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3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3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3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3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3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3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3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3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3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3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3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35">
      <c r="A45" s="49" t="s">
        <v>166</v>
      </c>
      <c r="B45" s="186" t="str">
        <f>IF('Données projet'!$B$10="","",'Données projet'!$B$10)</f>
        <v>Chêne sessile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3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3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35">
      <c r="A48" s="210">
        <v>0</v>
      </c>
      <c r="B48" s="213" t="s">
        <v>132</v>
      </c>
      <c r="C48" s="212" t="s">
        <v>132</v>
      </c>
      <c r="D48" s="211" t="s">
        <v>132</v>
      </c>
      <c r="E48" s="206">
        <f>(4888+(5200*0.45))/(9.5*0.428)</f>
        <v>1777.6684702410232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3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3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3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3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3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35">
      <c r="A54" s="192">
        <f>'Données projet'!A62</f>
        <v>20</v>
      </c>
      <c r="B54" s="193">
        <f>'Données projet'!D62</f>
        <v>0</v>
      </c>
      <c r="C54" s="204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35">
      <c r="A55" s="192">
        <f>'Données projet'!A63</f>
        <v>25</v>
      </c>
      <c r="B55" s="193">
        <f>'Données projet'!D63</f>
        <v>8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35">
      <c r="A56" s="192">
        <f>'Données projet'!A64</f>
        <v>30</v>
      </c>
      <c r="B56" s="193">
        <f>'Données projet'!D64</f>
        <v>21</v>
      </c>
      <c r="C56" s="204">
        <v>4</v>
      </c>
      <c r="D56" s="191">
        <f t="shared" si="4"/>
        <v>84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35">
      <c r="A57" s="192">
        <f>'Données projet'!A65</f>
        <v>35</v>
      </c>
      <c r="B57" s="193">
        <f>'Données projet'!D65</f>
        <v>21</v>
      </c>
      <c r="C57" s="204">
        <v>5</v>
      </c>
      <c r="D57" s="191">
        <f t="shared" si="4"/>
        <v>105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35">
      <c r="A58" s="192">
        <f>'Données projet'!A66</f>
        <v>40</v>
      </c>
      <c r="B58" s="193">
        <f>'Données projet'!D66</f>
        <v>21</v>
      </c>
      <c r="C58" s="204">
        <v>7</v>
      </c>
      <c r="D58" s="191">
        <f t="shared" si="4"/>
        <v>147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35">
      <c r="A59" s="192">
        <f>'Données projet'!A67</f>
        <v>45</v>
      </c>
      <c r="B59" s="193">
        <f>'Données projet'!D67</f>
        <v>21</v>
      </c>
      <c r="C59" s="204">
        <v>9</v>
      </c>
      <c r="D59" s="191">
        <f t="shared" si="4"/>
        <v>189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35">
      <c r="A60" s="192">
        <f>'Données projet'!A68</f>
        <v>50</v>
      </c>
      <c r="B60" s="193">
        <f>'Données projet'!D68</f>
        <v>21</v>
      </c>
      <c r="C60" s="204">
        <v>10</v>
      </c>
      <c r="D60" s="191">
        <f t="shared" si="4"/>
        <v>210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35">
      <c r="A61" s="192">
        <f>'Données projet'!A69</f>
        <v>55</v>
      </c>
      <c r="B61" s="193">
        <f>'Données projet'!D69</f>
        <v>21</v>
      </c>
      <c r="C61" s="204">
        <v>11</v>
      </c>
      <c r="D61" s="191">
        <f t="shared" si="4"/>
        <v>231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35">
      <c r="A62" s="192">
        <f>'Données projet'!A70</f>
        <v>60</v>
      </c>
      <c r="B62" s="193">
        <f>'Données projet'!D70</f>
        <v>21</v>
      </c>
      <c r="C62" s="204">
        <v>11</v>
      </c>
      <c r="D62" s="191">
        <f t="shared" si="4"/>
        <v>231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35">
      <c r="A63" s="192">
        <f>'Données projet'!A71</f>
        <v>65</v>
      </c>
      <c r="B63" s="193">
        <f>'Données projet'!D71</f>
        <v>21</v>
      </c>
      <c r="C63" s="204">
        <v>11</v>
      </c>
      <c r="D63" s="191">
        <f t="shared" si="4"/>
        <v>231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35">
      <c r="A64" s="192">
        <f>'Données projet'!A72</f>
        <v>70</v>
      </c>
      <c r="B64" s="193">
        <f>'Données projet'!D72</f>
        <v>21</v>
      </c>
      <c r="C64" s="204">
        <v>11</v>
      </c>
      <c r="D64" s="191">
        <f t="shared" si="4"/>
        <v>231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35">
      <c r="A65" s="192">
        <f>'Données projet'!A73</f>
        <v>75</v>
      </c>
      <c r="B65" s="193">
        <f>'Données projet'!D73</f>
        <v>21</v>
      </c>
      <c r="C65" s="204">
        <v>13</v>
      </c>
      <c r="D65" s="191">
        <f t="shared" si="4"/>
        <v>273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35">
      <c r="A66" s="192">
        <f>'Données projet'!A74</f>
        <v>80</v>
      </c>
      <c r="B66" s="193">
        <f>'Données projet'!D74</f>
        <v>21</v>
      </c>
      <c r="C66" s="204">
        <v>13</v>
      </c>
      <c r="D66" s="191">
        <f t="shared" si="4"/>
        <v>273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35">
      <c r="A67" s="192">
        <f>'Données projet'!A75</f>
        <v>85</v>
      </c>
      <c r="B67" s="193">
        <f>'Données projet'!D75</f>
        <v>21</v>
      </c>
      <c r="C67" s="204">
        <v>15</v>
      </c>
      <c r="D67" s="191">
        <f t="shared" si="4"/>
        <v>315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35">
      <c r="A68" s="192">
        <f>'Données projet'!A76</f>
        <v>90</v>
      </c>
      <c r="B68" s="193">
        <f>'Données projet'!D76</f>
        <v>21</v>
      </c>
      <c r="C68" s="204">
        <v>15</v>
      </c>
      <c r="D68" s="191">
        <f t="shared" si="4"/>
        <v>315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35">
      <c r="A69" s="192">
        <f>'Données projet'!A77</f>
        <v>95</v>
      </c>
      <c r="B69" s="193">
        <f>'Données projet'!D77</f>
        <v>21</v>
      </c>
      <c r="C69" s="204">
        <v>25</v>
      </c>
      <c r="D69" s="191">
        <f t="shared" si="4"/>
        <v>525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35">
      <c r="A70" s="192">
        <f>'Données projet'!A78</f>
        <v>100</v>
      </c>
      <c r="B70" s="193">
        <f>'Données projet'!D78</f>
        <v>21</v>
      </c>
      <c r="C70" s="204">
        <v>35</v>
      </c>
      <c r="D70" s="191">
        <f t="shared" si="4"/>
        <v>735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35">
      <c r="A71" s="192">
        <f>'Données projet'!A79</f>
        <v>105</v>
      </c>
      <c r="B71" s="193">
        <f>'Données projet'!D79</f>
        <v>20</v>
      </c>
      <c r="C71" s="204">
        <v>35</v>
      </c>
      <c r="D71" s="191">
        <f t="shared" si="4"/>
        <v>700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35">
      <c r="A72" s="192">
        <f>'Données projet'!A80</f>
        <v>110</v>
      </c>
      <c r="B72" s="193">
        <f>'Données projet'!D80</f>
        <v>19</v>
      </c>
      <c r="C72" s="204">
        <v>50</v>
      </c>
      <c r="D72" s="191">
        <f t="shared" si="4"/>
        <v>950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35">
      <c r="A73" s="192">
        <f>'Données projet'!A81</f>
        <v>115</v>
      </c>
      <c r="B73" s="193">
        <f>'Données projet'!D81</f>
        <v>285</v>
      </c>
      <c r="C73" s="204">
        <v>70</v>
      </c>
      <c r="D73" s="191">
        <f t="shared" si="4"/>
        <v>19950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3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3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3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3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3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35">
      <c r="A79" s="210">
        <v>0</v>
      </c>
      <c r="B79" s="213" t="s">
        <v>132</v>
      </c>
      <c r="C79" s="212" t="s">
        <v>132</v>
      </c>
      <c r="D79" s="211" t="s">
        <v>132</v>
      </c>
      <c r="E79" s="206">
        <f>(517+(550*0.45))/(9.5*0.045)</f>
        <v>1788.3040935672516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3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3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3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3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3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35">
      <c r="A85" s="192">
        <f>'Données projet'!A88</f>
        <v>20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35">
      <c r="A86" s="192">
        <f>'Données projet'!A89</f>
        <v>25</v>
      </c>
      <c r="B86" s="193">
        <f>'Données projet'!D89</f>
        <v>8</v>
      </c>
      <c r="C86" s="204">
        <v>0</v>
      </c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35">
      <c r="A87" s="192">
        <f>'Données projet'!A90</f>
        <v>30</v>
      </c>
      <c r="B87" s="193">
        <f>'Données projet'!D90</f>
        <v>21</v>
      </c>
      <c r="C87" s="204">
        <v>4</v>
      </c>
      <c r="D87" s="191">
        <f t="shared" si="6"/>
        <v>84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35">
      <c r="A88" s="192">
        <f>'Données projet'!A91</f>
        <v>35</v>
      </c>
      <c r="B88" s="193">
        <f>'Données projet'!D91</f>
        <v>21</v>
      </c>
      <c r="C88" s="204">
        <v>5</v>
      </c>
      <c r="D88" s="191">
        <f t="shared" si="6"/>
        <v>105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35">
      <c r="A89" s="192">
        <f>'Données projet'!A92</f>
        <v>40</v>
      </c>
      <c r="B89" s="193">
        <f>'Données projet'!D92</f>
        <v>21</v>
      </c>
      <c r="C89" s="204">
        <v>7</v>
      </c>
      <c r="D89" s="191">
        <f t="shared" si="6"/>
        <v>147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35">
      <c r="A90" s="192">
        <f>'Données projet'!A93</f>
        <v>45</v>
      </c>
      <c r="B90" s="193">
        <f>'Données projet'!D93</f>
        <v>21</v>
      </c>
      <c r="C90" s="204">
        <v>9</v>
      </c>
      <c r="D90" s="191">
        <f t="shared" si="6"/>
        <v>189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35">
      <c r="A91" s="192">
        <f>'Données projet'!A94</f>
        <v>50</v>
      </c>
      <c r="B91" s="193">
        <f>'Données projet'!D94</f>
        <v>21</v>
      </c>
      <c r="C91" s="204">
        <v>10</v>
      </c>
      <c r="D91" s="191">
        <f t="shared" si="6"/>
        <v>210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35">
      <c r="A92" s="192">
        <f>'Données projet'!A95</f>
        <v>55</v>
      </c>
      <c r="B92" s="193">
        <f>'Données projet'!D95</f>
        <v>21</v>
      </c>
      <c r="C92" s="204">
        <v>11</v>
      </c>
      <c r="D92" s="191">
        <f t="shared" si="6"/>
        <v>231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35">
      <c r="A93" s="192">
        <f>'Données projet'!A96</f>
        <v>60</v>
      </c>
      <c r="B93" s="193">
        <f>'Données projet'!D96</f>
        <v>21</v>
      </c>
      <c r="C93" s="204">
        <v>11</v>
      </c>
      <c r="D93" s="191">
        <f t="shared" si="6"/>
        <v>231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35">
      <c r="A94" s="192">
        <f>'Données projet'!A97</f>
        <v>65</v>
      </c>
      <c r="B94" s="193">
        <f>'Données projet'!D97</f>
        <v>21</v>
      </c>
      <c r="C94" s="204">
        <v>11</v>
      </c>
      <c r="D94" s="191">
        <f t="shared" si="6"/>
        <v>231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35">
      <c r="A95" s="192">
        <f>'Données projet'!A98</f>
        <v>70</v>
      </c>
      <c r="B95" s="193">
        <f>'Données projet'!D98</f>
        <v>21</v>
      </c>
      <c r="C95" s="204">
        <v>11</v>
      </c>
      <c r="D95" s="191">
        <f t="shared" si="6"/>
        <v>231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35">
      <c r="A96" s="192">
        <f>'Données projet'!A99</f>
        <v>75</v>
      </c>
      <c r="B96" s="193">
        <f>'Données projet'!D99</f>
        <v>21</v>
      </c>
      <c r="C96" s="204">
        <v>13</v>
      </c>
      <c r="D96" s="191">
        <f t="shared" si="6"/>
        <v>273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35">
      <c r="A97" s="192">
        <f>'Données projet'!A100</f>
        <v>80</v>
      </c>
      <c r="B97" s="193">
        <f>'Données projet'!D100</f>
        <v>21</v>
      </c>
      <c r="C97" s="204">
        <v>13</v>
      </c>
      <c r="D97" s="191">
        <f t="shared" si="6"/>
        <v>273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35">
      <c r="A98" s="192">
        <f>'Données projet'!A101</f>
        <v>85</v>
      </c>
      <c r="B98" s="193">
        <f>'Données projet'!D101</f>
        <v>21</v>
      </c>
      <c r="C98" s="204">
        <v>15</v>
      </c>
      <c r="D98" s="191">
        <f t="shared" si="6"/>
        <v>315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35">
      <c r="A99" s="192">
        <f>'Données projet'!A102</f>
        <v>90</v>
      </c>
      <c r="B99" s="193">
        <f>'Données projet'!D102</f>
        <v>21</v>
      </c>
      <c r="C99" s="204">
        <v>15</v>
      </c>
      <c r="D99" s="191">
        <f t="shared" si="6"/>
        <v>315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35">
      <c r="A100" s="192">
        <f>'Données projet'!A103</f>
        <v>95</v>
      </c>
      <c r="B100" s="193">
        <f>'Données projet'!D103</f>
        <v>21</v>
      </c>
      <c r="C100" s="204">
        <v>25</v>
      </c>
      <c r="D100" s="191">
        <f t="shared" si="6"/>
        <v>525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35">
      <c r="A101" s="192">
        <f>'Données projet'!A104</f>
        <v>100</v>
      </c>
      <c r="B101" s="193">
        <f>'Données projet'!D104</f>
        <v>21</v>
      </c>
      <c r="C101" s="204">
        <v>35</v>
      </c>
      <c r="D101" s="191">
        <f t="shared" si="6"/>
        <v>735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35">
      <c r="A102" s="192">
        <f>'Données projet'!A105</f>
        <v>105</v>
      </c>
      <c r="B102" s="193">
        <f>'Données projet'!D105</f>
        <v>20</v>
      </c>
      <c r="C102" s="204">
        <v>35</v>
      </c>
      <c r="D102" s="191">
        <f t="shared" si="6"/>
        <v>700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35">
      <c r="A103" s="192">
        <f>'Données projet'!A106</f>
        <v>110</v>
      </c>
      <c r="B103" s="193">
        <f>'Données projet'!D106</f>
        <v>19</v>
      </c>
      <c r="C103" s="204">
        <v>50</v>
      </c>
      <c r="D103" s="191">
        <f t="shared" si="6"/>
        <v>950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35">
      <c r="A104" s="192">
        <f>'Données projet'!A107</f>
        <v>115</v>
      </c>
      <c r="B104" s="193">
        <f>'Données projet'!D107</f>
        <v>285</v>
      </c>
      <c r="C104" s="204">
        <v>70</v>
      </c>
      <c r="D104" s="191">
        <f t="shared" si="6"/>
        <v>19950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3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3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35">
      <c r="A107" s="49" t="s">
        <v>168</v>
      </c>
      <c r="B107" s="186" t="str">
        <f>IF('Données projet'!B12="","",'Données projet'!B12)</f>
        <v>Hêtre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3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3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35">
      <c r="A110" s="210">
        <v>0</v>
      </c>
      <c r="B110" s="213" t="s">
        <v>132</v>
      </c>
      <c r="C110" s="212" t="s">
        <v>132</v>
      </c>
      <c r="D110" s="211" t="s">
        <v>132</v>
      </c>
      <c r="E110" s="206">
        <f>(1300+(1300*0.45))/(9.5*0.107)</f>
        <v>1854.4023610427939</v>
      </c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3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3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3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3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3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35">
      <c r="A116" s="192">
        <f>'Données projet'!A114</f>
        <v>25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35">
      <c r="A117" s="192">
        <f>'Données projet'!A115</f>
        <v>30</v>
      </c>
      <c r="B117" s="193">
        <f>'Données projet'!D115</f>
        <v>12</v>
      </c>
      <c r="C117" s="204">
        <v>0</v>
      </c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35">
      <c r="A118" s="192">
        <f>'Données projet'!A116</f>
        <v>35</v>
      </c>
      <c r="B118" s="193">
        <f>'Données projet'!D116</f>
        <v>21</v>
      </c>
      <c r="C118" s="204">
        <v>4</v>
      </c>
      <c r="D118" s="191">
        <f t="shared" si="8"/>
        <v>84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35">
      <c r="A119" s="192">
        <f>'Données projet'!A117</f>
        <v>40</v>
      </c>
      <c r="B119" s="193">
        <f>'Données projet'!D117</f>
        <v>21</v>
      </c>
      <c r="C119" s="204">
        <v>5</v>
      </c>
      <c r="D119" s="191">
        <f t="shared" si="8"/>
        <v>105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35">
      <c r="A120" s="192">
        <f>'Données projet'!A118</f>
        <v>45</v>
      </c>
      <c r="B120" s="193">
        <f>'Données projet'!D118</f>
        <v>21</v>
      </c>
      <c r="C120" s="204">
        <v>7</v>
      </c>
      <c r="D120" s="191">
        <f t="shared" si="8"/>
        <v>147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35">
      <c r="A121" s="192">
        <f>'Données projet'!A119</f>
        <v>50</v>
      </c>
      <c r="B121" s="193">
        <f>'Données projet'!D119</f>
        <v>21</v>
      </c>
      <c r="C121" s="204">
        <v>9</v>
      </c>
      <c r="D121" s="191">
        <f t="shared" si="8"/>
        <v>189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35">
      <c r="A122" s="192">
        <f>'Données projet'!A120</f>
        <v>55</v>
      </c>
      <c r="B122" s="193">
        <f>'Données projet'!D120</f>
        <v>21</v>
      </c>
      <c r="C122" s="204">
        <v>10</v>
      </c>
      <c r="D122" s="191">
        <f t="shared" si="8"/>
        <v>210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35">
      <c r="A123" s="192">
        <f>'Données projet'!A121</f>
        <v>60</v>
      </c>
      <c r="B123" s="193">
        <f>'Données projet'!D121</f>
        <v>21</v>
      </c>
      <c r="C123" s="204">
        <v>10</v>
      </c>
      <c r="D123" s="191">
        <f t="shared" si="8"/>
        <v>210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35">
      <c r="A124" s="192">
        <f>'Données projet'!A122</f>
        <v>65</v>
      </c>
      <c r="B124" s="193">
        <f>'Données projet'!D122</f>
        <v>21</v>
      </c>
      <c r="C124" s="204">
        <v>10</v>
      </c>
      <c r="D124" s="191">
        <f t="shared" si="8"/>
        <v>210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35">
      <c r="A125" s="192">
        <f>'Données projet'!A123</f>
        <v>70</v>
      </c>
      <c r="B125" s="193">
        <f>'Données projet'!D123</f>
        <v>21</v>
      </c>
      <c r="C125" s="204">
        <v>10</v>
      </c>
      <c r="D125" s="191">
        <f t="shared" si="8"/>
        <v>210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35">
      <c r="A126" s="192">
        <f>'Données projet'!A124</f>
        <v>75</v>
      </c>
      <c r="B126" s="193">
        <f>'Données projet'!D124</f>
        <v>21</v>
      </c>
      <c r="C126" s="204">
        <v>12</v>
      </c>
      <c r="D126" s="191">
        <f t="shared" si="8"/>
        <v>252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35">
      <c r="A127" s="192">
        <f>'Données projet'!A125</f>
        <v>80</v>
      </c>
      <c r="B127" s="193">
        <f>'Données projet'!D125</f>
        <v>21</v>
      </c>
      <c r="C127" s="204">
        <v>12</v>
      </c>
      <c r="D127" s="191">
        <f t="shared" si="8"/>
        <v>252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35">
      <c r="A128" s="192">
        <f>'Données projet'!A126</f>
        <v>85</v>
      </c>
      <c r="B128" s="193">
        <f>'Données projet'!D126</f>
        <v>21</v>
      </c>
      <c r="C128" s="204">
        <v>12</v>
      </c>
      <c r="D128" s="191">
        <f t="shared" si="8"/>
        <v>252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35">
      <c r="A129" s="192">
        <f>'Données projet'!A127</f>
        <v>90</v>
      </c>
      <c r="B129" s="193">
        <f>'Données projet'!D127</f>
        <v>21</v>
      </c>
      <c r="C129" s="204">
        <v>12</v>
      </c>
      <c r="D129" s="191">
        <f t="shared" si="8"/>
        <v>252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35">
      <c r="A130" s="192">
        <f>'Données projet'!A128</f>
        <v>95</v>
      </c>
      <c r="B130" s="193">
        <f>'Données projet'!D128</f>
        <v>20</v>
      </c>
      <c r="C130" s="204">
        <v>20</v>
      </c>
      <c r="D130" s="191">
        <f t="shared" si="8"/>
        <v>400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35">
      <c r="A131" s="192">
        <f>'Données projet'!A129</f>
        <v>100</v>
      </c>
      <c r="B131" s="193">
        <f>'Données projet'!D129</f>
        <v>19</v>
      </c>
      <c r="C131" s="204">
        <v>20</v>
      </c>
      <c r="D131" s="191">
        <f t="shared" si="8"/>
        <v>380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35">
      <c r="A132" s="192">
        <f>'Données projet'!A130</f>
        <v>105</v>
      </c>
      <c r="B132" s="193">
        <f>'Données projet'!D130</f>
        <v>18</v>
      </c>
      <c r="C132" s="204">
        <v>20</v>
      </c>
      <c r="D132" s="191">
        <f t="shared" si="8"/>
        <v>360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35">
      <c r="A133" s="192">
        <f>'Données projet'!A131</f>
        <v>110</v>
      </c>
      <c r="B133" s="193">
        <f>'Données projet'!D131</f>
        <v>18</v>
      </c>
      <c r="C133" s="204">
        <v>25</v>
      </c>
      <c r="D133" s="191">
        <f t="shared" si="8"/>
        <v>450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35">
      <c r="A134" s="192">
        <f>'Données projet'!A132</f>
        <v>115</v>
      </c>
      <c r="B134" s="193">
        <f>'Données projet'!D132</f>
        <v>340</v>
      </c>
      <c r="C134" s="204">
        <v>30</v>
      </c>
      <c r="D134" s="191">
        <f t="shared" si="8"/>
        <v>10200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3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3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3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3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3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3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3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3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3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3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3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3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3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3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3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3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3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3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3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3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3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3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3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3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3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3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3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3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3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3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3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3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3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3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3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3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3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3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3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3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3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3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3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3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3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3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3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3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3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3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3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3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3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3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3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3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3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3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3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3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3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3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3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3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3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3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3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3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3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3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3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3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3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3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3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3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3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3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3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3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3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3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3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3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3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3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3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3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3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3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3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3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3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3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3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3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3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3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3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3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3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3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3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3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3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3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3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3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3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3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3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3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3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3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3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3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3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3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3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3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3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3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3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3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3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3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3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3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3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3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3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3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3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3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3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3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3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3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3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3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3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3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3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3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3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3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3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3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3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3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3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3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3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3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3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3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3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3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3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3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3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3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3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3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3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3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3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3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3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3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3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3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3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3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3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3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3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3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3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3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3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3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3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3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3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3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3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3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3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3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3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3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3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3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3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3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3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3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3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3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3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3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3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3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3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3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3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3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3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3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3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3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3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3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3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3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3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3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3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3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3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3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3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3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3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3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3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3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3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3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3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3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3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3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3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3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3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3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3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3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3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3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3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3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3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3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3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3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3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3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3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3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3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3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3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3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3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3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3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3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3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3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3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3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3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3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3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3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3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3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3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3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3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3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3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3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3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3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3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3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3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3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3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3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3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3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3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3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3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3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3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3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3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3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3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3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3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3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3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3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3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3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3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3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3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3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3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3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3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3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3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3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3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3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3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3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3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3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3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3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3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3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3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3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3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3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3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3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3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3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3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3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3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3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3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3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3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3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3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3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3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3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3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3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3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3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3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3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3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3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3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3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3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3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3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3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3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3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3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3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3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3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3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3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3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3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3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3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3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3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3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3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3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3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3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3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3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3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3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3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3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3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3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3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3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3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3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3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3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3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3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3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3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3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3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3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3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3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3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3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3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3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3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3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3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3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3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3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3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3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3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3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3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3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3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3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3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3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Florence HEUSCHMIDT</cp:lastModifiedBy>
  <dcterms:created xsi:type="dcterms:W3CDTF">2021-02-01T08:22:39Z</dcterms:created>
  <dcterms:modified xsi:type="dcterms:W3CDTF">2022-02-04T09:00:29Z</dcterms:modified>
</cp:coreProperties>
</file>