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Drive partagés/STOCK CO2/5 - STOCKEURS/02-FORESTIER/2-NOTIFIE/052-R-DUCHESNE-BFC(58)-LE BOIS DE L'ETANG DES MERLES-StMartinduPuy-GFLionRouge/"/>
    </mc:Choice>
  </mc:AlternateContent>
  <xr:revisionPtr revIDLastSave="0" documentId="13_ncr:1_{1A013DDA-CEFB-9D4B-9A88-5573926D81BE}" xr6:coauthVersionLast="45" xr6:coauthVersionMax="45" xr10:uidLastSave="{00000000-0000-0000-0000-000000000000}"/>
  <bookViews>
    <workbookView xWindow="23560" yWindow="-28080" windowWidth="37420" windowHeight="188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6" l="1"/>
  <c r="C56" i="6"/>
  <c r="C57" i="6"/>
  <c r="C58" i="6"/>
  <c r="C59" i="6"/>
  <c r="C60" i="6"/>
  <c r="C61" i="6"/>
  <c r="C62" i="6"/>
  <c r="C63" i="6"/>
  <c r="C64" i="6"/>
  <c r="C54" i="6"/>
  <c r="C24" i="6"/>
  <c r="C25" i="6"/>
  <c r="C26" i="6"/>
  <c r="C27" i="6"/>
  <c r="C28" i="6"/>
  <c r="C29" i="6"/>
  <c r="C30" i="6"/>
  <c r="C31" i="6"/>
  <c r="C32" i="6"/>
  <c r="C33" i="6"/>
  <c r="C23" i="6"/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34" i="6"/>
  <c r="C35" i="6"/>
  <c r="C36" i="6"/>
  <c r="C37" i="6"/>
  <c r="C38" i="6"/>
  <c r="C39" i="6"/>
  <c r="C40" i="6"/>
  <c r="C41" i="6"/>
  <c r="C42" i="6"/>
  <c r="C65" i="6"/>
  <c r="C66" i="6"/>
  <c r="C67" i="6"/>
  <c r="C68" i="6"/>
  <c r="C69" i="6"/>
  <c r="C70" i="6"/>
  <c r="C71" i="6"/>
  <c r="C72" i="6"/>
  <c r="C73" i="6"/>
  <c r="C93" i="6"/>
  <c r="C94" i="6"/>
  <c r="C95" i="6"/>
  <c r="C96" i="6"/>
  <c r="C97" i="6"/>
  <c r="C98" i="6"/>
  <c r="C99" i="6"/>
  <c r="C100" i="6"/>
  <c r="C101" i="6"/>
  <c r="C102" i="6"/>
  <c r="C103" i="6"/>
  <c r="C104" i="6"/>
  <c r="C86" i="6"/>
  <c r="C87" i="6"/>
  <c r="C88" i="6"/>
  <c r="C89" i="6"/>
  <c r="C90" i="6"/>
  <c r="C91" i="6"/>
  <c r="C92" i="6"/>
  <c r="C85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GL4" i="2"/>
  <c r="BQ4" i="2"/>
  <c r="EA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HI5" i="2"/>
  <c r="EA5" i="2"/>
  <c r="FR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I6" i="2" l="1"/>
  <c r="FR6" i="2"/>
  <c r="EV6" i="2"/>
  <c r="HH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FS7" i="2"/>
  <c r="EA7" i="2"/>
  <c r="EW7" i="2"/>
  <c r="EV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I8" i="2" s="1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FS8" i="2" s="1"/>
  <c r="EU8" i="2"/>
  <c r="EG8" i="2"/>
  <c r="DW8" i="2"/>
  <c r="EC8" i="2" s="1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HI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HH10" i="2"/>
  <c r="EB10" i="2"/>
  <c r="HG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S11" i="2" s="1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X11" i="2" l="1"/>
  <c r="EC11" i="2"/>
  <c r="HG11" i="2"/>
  <c r="EW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HI12" i="2" s="1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FS12" i="2"/>
  <c r="HH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G14" i="2"/>
  <c r="EB14" i="2"/>
  <c r="HI14" i="2"/>
  <c r="HH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I15" i="2" s="1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FS16" i="2"/>
  <c r="HI16" i="2"/>
  <c r="EX16" i="2"/>
  <c r="EC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EC17" i="2" l="1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HI18" i="2"/>
  <c r="EV18" i="2"/>
  <c r="EW18" i="2"/>
  <c r="EX18" i="2"/>
  <c r="HG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EC19" i="2" s="1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I20" i="2"/>
  <c r="EV20" i="2"/>
  <c r="EC20" i="2"/>
  <c r="HG20" i="2"/>
  <c r="FS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C22" i="2"/>
  <c r="HG22" i="2"/>
  <c r="HI22" i="2"/>
  <c r="EW22" i="2"/>
  <c r="HH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EC23" i="2" s="1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EC24" i="2" s="1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HI24" i="2"/>
  <c r="HH24" i="2"/>
  <c r="FR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HI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C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EC27" i="2"/>
  <c r="FS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EX28" i="2" s="1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V28" i="2"/>
  <c r="FS28" i="2"/>
  <c r="EC28" i="2"/>
  <c r="HG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EV30" i="2"/>
  <c r="EB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EC31" i="2" s="1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N34" i="2" l="1"/>
  <c r="EW34" i="2"/>
  <c r="CM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Q35" i="2"/>
  <c r="FS35" i="2"/>
  <c r="HI35" i="2"/>
  <c r="HH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EB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I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FS39" i="2" l="1"/>
  <c r="EX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I40" i="2" l="1"/>
  <c r="EX40" i="2"/>
  <c r="FS40" i="2"/>
  <c r="HH40" i="2"/>
  <c r="HG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HI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C45" i="2"/>
  <c r="HI45" i="2"/>
  <c r="EB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HG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C47" i="2" l="1"/>
  <c r="HG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EX48" i="2" s="1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C48" i="2"/>
  <c r="HH48" i="2"/>
  <c r="FS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EC49" i="2" s="1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X49" i="2" l="1"/>
  <c r="HI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W50" i="2"/>
  <c r="HG50" i="2"/>
  <c r="EC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FS51" i="2" s="1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EA51" i="2"/>
  <c r="EB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X52" i="2" l="1"/>
  <c r="EV52" i="2"/>
  <c r="HI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FS56" i="2" s="1"/>
  <c r="EU56" i="2"/>
  <c r="EG56" i="2"/>
  <c r="DW56" i="2"/>
  <c r="EC56" i="2" s="1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I57" i="2"/>
  <c r="EV57" i="2"/>
  <c r="EB57" i="2"/>
  <c r="EC57" i="2"/>
  <c r="HG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HI58" i="2"/>
  <c r="FS58" i="2"/>
  <c r="EA58" i="2"/>
  <c r="EX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FS59" i="2" s="1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HI59" i="2"/>
  <c r="EC59" i="2"/>
  <c r="EX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FS60" i="2"/>
  <c r="EW60" i="2"/>
  <c r="HH60" i="2"/>
  <c r="EC60" i="2"/>
  <c r="HG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HH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FS65" i="2" l="1"/>
  <c r="EX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FS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EX68" i="2" s="1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X69" i="2" l="1"/>
  <c r="EC69" i="2"/>
  <c r="FS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X71" i="2" l="1"/>
  <c r="EW71" i="2"/>
  <c r="HH71" i="2"/>
  <c r="FS71" i="2"/>
  <c r="HI71" i="2"/>
  <c r="EA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X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EX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C74" i="2" s="1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EW74" i="2"/>
  <c r="FR74" i="2"/>
  <c r="HG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EX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I75" i="2"/>
  <c r="HH75" i="2"/>
  <c r="EB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S77" i="2" s="1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X77" i="2"/>
  <c r="EW77" i="2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X79" i="2" l="1"/>
  <c r="HI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FS80" i="2" s="1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HG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X81" i="2" l="1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HH82" i="2"/>
  <c r="EC82" i="2"/>
  <c r="EV82" i="2"/>
  <c r="HG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HI83" i="2" l="1"/>
  <c r="EX83" i="2"/>
  <c r="EW83" i="2"/>
  <c r="EV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EC84" i="2" s="1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FS85" i="2"/>
  <c r="HH85" i="2"/>
  <c r="EV85" i="2"/>
  <c r="EW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EX86" i="2" s="1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HI86" i="2" l="1"/>
  <c r="EB86" i="2"/>
  <c r="FS86" i="2"/>
  <c r="EA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FS88" i="2" s="1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EC88" i="2"/>
  <c r="HG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EX89" i="2" s="1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HG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HI91" i="2" l="1"/>
  <c r="EA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EX92" i="2"/>
  <c r="EW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EC93" i="2"/>
  <c r="HI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C94" i="2" l="1"/>
  <c r="EX94" i="2"/>
  <c r="FS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I95" i="2"/>
  <c r="FS95" i="2"/>
  <c r="EX95" i="2"/>
  <c r="FQ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EC97" i="2" s="1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HI98" i="2"/>
  <c r="EW98" i="2"/>
  <c r="EX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I99" i="2" l="1"/>
  <c r="EB99" i="2"/>
  <c r="HH99" i="2"/>
  <c r="EX99" i="2"/>
  <c r="FS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EC101" i="2" s="1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FS101" i="2" l="1"/>
  <c r="HI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EC103" i="2" s="1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X103" i="2"/>
  <c r="FS103" i="2"/>
  <c r="EA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C104" i="2" l="1"/>
  <c r="EW104" i="2"/>
  <c r="EX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HG106" i="2"/>
  <c r="EB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EX107" i="2"/>
  <c r="EC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EX108" i="2" s="1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C109" i="2" l="1"/>
  <c r="EX109" i="2"/>
  <c r="HI109" i="2"/>
  <c r="EB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B110" i="2"/>
  <c r="HH110" i="2"/>
  <c r="HG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FS112" i="2"/>
  <c r="HI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C114" i="2" s="1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W114" i="2"/>
  <c r="EV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EC115" i="2" s="1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X115" i="2"/>
  <c r="FS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HG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EX117" i="2" s="1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HI118" i="2"/>
  <c r="EX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R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R120" i="2"/>
  <c r="EC120" i="2"/>
  <c r="FQ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C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HH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EC124" i="2" s="1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HI124" i="2"/>
  <c r="EX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S125" i="2" s="1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X126" i="2" l="1"/>
  <c r="FS126" i="2"/>
  <c r="HG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EC127" i="2" s="1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X128" i="2"/>
  <c r="EB128" i="2"/>
  <c r="HG128" i="2"/>
  <c r="EV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EX129" i="2" s="1"/>
  <c r="DV129" i="2"/>
  <c r="DM129" i="2"/>
  <c r="DA129" i="2"/>
  <c r="GH129" i="2"/>
  <c r="FL129" i="2"/>
  <c r="FC129" i="2"/>
  <c r="EU129" i="2"/>
  <c r="EG129" i="2"/>
  <c r="DW129" i="2"/>
  <c r="EC129" i="2" s="1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FS129" i="2" l="1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X130" i="2"/>
  <c r="EB130" i="2"/>
  <c r="HH130" i="2"/>
  <c r="HG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EC131" i="2" s="1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EA135" i="2"/>
  <c r="EW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EX136" i="2" s="1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C136" i="2"/>
  <c r="FS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B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EW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B140" i="2"/>
  <c r="FR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EB141" i="2"/>
  <c r="EA141" i="2"/>
  <c r="HH141" i="2"/>
  <c r="HG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I142" i="2" s="1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I143" i="2" s="1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FS143" i="2"/>
  <c r="EA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B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HH146" i="2"/>
  <c r="FS146" i="2"/>
  <c r="HI146" i="2"/>
  <c r="EA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EC147" i="2" s="1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X147" i="2"/>
  <c r="EW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EX148" i="2" l="1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C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B152" i="2"/>
  <c r="EV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EA153" i="2"/>
  <c r="FS153" i="2"/>
  <c r="EB153" i="2"/>
  <c r="EX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X154" i="2" s="1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AA154" i="2" l="1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I155" i="2" s="1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C155" i="2" s="1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FS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B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X159" i="2" l="1"/>
  <c r="EC159" i="2"/>
  <c r="HI159" i="2"/>
  <c r="ED158" i="2"/>
  <c r="EA159" i="2"/>
  <c r="HH159" i="2"/>
  <c r="FS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I160" i="2"/>
  <c r="ED159" i="2"/>
  <c r="EX160" i="2"/>
  <c r="HG160" i="2"/>
  <c r="HH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EB162" i="2"/>
  <c r="HH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C163" i="2"/>
  <c r="EA163" i="2"/>
  <c r="EV163" i="2"/>
  <c r="FS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EX164" i="2"/>
  <c r="DH164" i="2"/>
  <c r="FS164" i="2"/>
  <c r="EV164" i="2"/>
  <c r="EA164" i="2"/>
  <c r="HI164" i="2"/>
  <c r="HH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FS166" i="2"/>
  <c r="HG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C167" i="2"/>
  <c r="FR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EX168" i="2" s="1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FS168" i="2"/>
  <c r="EW168" i="2"/>
  <c r="DI167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X169" i="2"/>
  <c r="EA169" i="2"/>
  <c r="EB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EX170" i="2" l="1"/>
  <c r="HI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HI171" i="2" l="1"/>
  <c r="FS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V172" i="2"/>
  <c r="EA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C173" i="2"/>
  <c r="EB173" i="2"/>
  <c r="EW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EC175" i="2" s="1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HI175" i="2"/>
  <c r="EX175" i="2"/>
  <c r="EB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HH176" i="2"/>
  <c r="FS176" i="2"/>
  <c r="EB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FQ178" i="2"/>
  <c r="HH178" i="2"/>
  <c r="EB178" i="2"/>
  <c r="HG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EX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A179" i="2" l="1"/>
  <c r="HI179" i="2"/>
  <c r="HH179" i="2"/>
  <c r="HG179" i="2"/>
  <c r="FS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EC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EA183" i="2"/>
  <c r="EB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X184" i="2" l="1"/>
  <c r="EC184" i="2"/>
  <c r="HI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HH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FR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EX187" i="2"/>
  <c r="HH187" i="2"/>
  <c r="HG187" i="2"/>
  <c r="HI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EV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G190" i="2" l="1"/>
  <c r="EB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W191" i="2"/>
  <c r="HI191" i="2"/>
  <c r="HH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A195" i="2" l="1"/>
  <c r="HI195" i="2"/>
  <c r="EB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FS196" i="2" s="1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B199" i="2"/>
  <c r="EA199" i="2"/>
  <c r="HH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EC200" i="2" s="1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A201" i="2" l="1"/>
  <c r="HI201" i="2"/>
  <c r="EB201" i="2"/>
  <c r="FS201" i="2"/>
  <c r="HH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EX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62" i="2" a="1"/>
  <c r="FY62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07" i="2" l="1" a="1"/>
  <c r="FD107" i="2" s="1"/>
  <c r="FD44" i="2" a="1"/>
  <c r="FD44" i="2" s="1"/>
  <c r="FY42" i="2" a="1"/>
  <c r="FY42" i="2" s="1"/>
  <c r="FY104" i="2" a="1"/>
  <c r="FY104" i="2" s="1"/>
  <c r="FY190" i="2" a="1"/>
  <c r="FY190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D167" i="2" a="1"/>
  <c r="FD167" i="2" s="1"/>
  <c r="FD188" i="2" a="1"/>
  <c r="FD188" i="2" s="1"/>
  <c r="FY196" i="2" a="1"/>
  <c r="FY196" i="2" s="1"/>
  <c r="FY34" i="2" a="1"/>
  <c r="FY34" i="2" s="1"/>
  <c r="FY72" i="2" a="1"/>
  <c r="FY72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64" i="2" a="1"/>
  <c r="FY164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Y149" i="2" a="1"/>
  <c r="FY149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D19" i="2" a="1"/>
  <c r="FD19" i="2" s="1"/>
  <c r="FD64" i="2" a="1"/>
  <c r="FD64" i="2" s="1"/>
  <c r="FY167" i="2" a="1"/>
  <c r="FY167" i="2" s="1"/>
  <c r="FY115" i="2" a="1"/>
  <c r="FY115" i="2" s="1"/>
  <c r="FD59" i="2" a="1"/>
  <c r="FD59" i="2" s="1"/>
  <c r="FY24" i="2" a="1"/>
  <c r="FY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EX203" i="2"/>
  <c r="FD82" i="2" a="1"/>
  <c r="FD82" i="2" s="1"/>
  <c r="FD160" i="2" a="1"/>
  <c r="FD160" i="2" s="1"/>
  <c r="FD189" i="2" a="1"/>
  <c r="FD189" i="2" s="1"/>
  <c r="FY142" i="2" a="1"/>
  <c r="FY142" i="2" s="1"/>
  <c r="FY86" i="2" a="1"/>
  <c r="FY86" i="2" s="1"/>
  <c r="FD144" i="2" a="1"/>
  <c r="FD144" i="2" s="1"/>
  <c r="FY124" i="2" a="1"/>
  <c r="FY124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D21" i="2" a="1"/>
  <c r="FD21" i="2" s="1"/>
  <c r="FY169" i="2" a="1"/>
  <c r="FY169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G203" i="2"/>
  <c r="HI203" i="2"/>
  <c r="EC203" i="2"/>
  <c r="FR203" i="2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<sst xmlns="http://schemas.openxmlformats.org/spreadsheetml/2006/main" count="1167" uniqueCount="321">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</sst>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2.33315116049349</c:v>
                </c:pt>
                <c:pt idx="2">
                  <c:v>3.370199476891262</c:v>
                </c:pt>
                <c:pt idx="3">
                  <c:v>4.8702478731280623</c:v>
                </c:pt>
                <c:pt idx="4">
                  <c:v>7.0408661777091259</c:v>
                </c:pt>
                <c:pt idx="5">
                  <c:v>10.183039471706708</c:v>
                </c:pt>
                <c:pt idx="6">
                  <c:v>14.733358008336722</c:v>
                </c:pt>
                <c:pt idx="7">
                  <c:v>21.325323461423633</c:v>
                </c:pt>
                <c:pt idx="8">
                  <c:v>30.878458623534765</c:v>
                </c:pt>
                <c:pt idx="9">
                  <c:v>44.727865882346265</c:v>
                </c:pt>
                <c:pt idx="10">
                  <c:v>64.812645831068252</c:v>
                </c:pt>
                <c:pt idx="11">
                  <c:v>93.949988653133559</c:v>
                </c:pt>
                <c:pt idx="12">
                  <c:v>136.23399433545893</c:v>
                </c:pt>
                <c:pt idx="13">
                  <c:v>143.94193233285861</c:v>
                </c:pt>
                <c:pt idx="14">
                  <c:v>176.70970991701282</c:v>
                </c:pt>
                <c:pt idx="15">
                  <c:v>209.33448475693987</c:v>
                </c:pt>
                <c:pt idx="16">
                  <c:v>241.84172491120603</c:v>
                </c:pt>
                <c:pt idx="17">
                  <c:v>274.24946079066854</c:v>
                </c:pt>
                <c:pt idx="18">
                  <c:v>306.57110217476514</c:v>
                </c:pt>
                <c:pt idx="19">
                  <c:v>218.76155996657397</c:v>
                </c:pt>
                <c:pt idx="20">
                  <c:v>244.16927305734995</c:v>
                </c:pt>
                <c:pt idx="21">
                  <c:v>269.51688027254573</c:v>
                </c:pt>
                <c:pt idx="22">
                  <c:v>294.81082714991027</c:v>
                </c:pt>
                <c:pt idx="23">
                  <c:v>320.0563622923367</c:v>
                </c:pt>
                <c:pt idx="24">
                  <c:v>345.25783856692902</c:v>
                </c:pt>
                <c:pt idx="25">
                  <c:v>266.77023487626633</c:v>
                </c:pt>
                <c:pt idx="26">
                  <c:v>289.72931420493524</c:v>
                </c:pt>
                <c:pt idx="27">
                  <c:v>312.64774022045964</c:v>
                </c:pt>
                <c:pt idx="28">
                  <c:v>335.52891035063607</c:v>
                </c:pt>
                <c:pt idx="29">
                  <c:v>358.37572087946961</c:v>
                </c:pt>
                <c:pt idx="30">
                  <c:v>381.19066877305687</c:v>
                </c:pt>
                <c:pt idx="31">
                  <c:v>315.91868734548359</c:v>
                </c:pt>
                <c:pt idx="32">
                  <c:v>335.39559464284957</c:v>
                </c:pt>
                <c:pt idx="33">
                  <c:v>354.847595698509</c:v>
                </c:pt>
                <c:pt idx="34">
                  <c:v>374.27624728301316</c:v>
                </c:pt>
                <c:pt idx="35">
                  <c:v>393.68293140308901</c:v>
                </c:pt>
                <c:pt idx="36">
                  <c:v>413.06888274647389</c:v>
                </c:pt>
                <c:pt idx="37">
                  <c:v>355.35800078325934</c:v>
                </c:pt>
                <c:pt idx="38">
                  <c:v>375.69481530100757</c:v>
                </c:pt>
                <c:pt idx="39">
                  <c:v>396.00766063903075</c:v>
                </c:pt>
                <c:pt idx="40">
                  <c:v>416.29793850480036</c:v>
                </c:pt>
                <c:pt idx="41">
                  <c:v>436.56690288727583</c:v>
                </c:pt>
                <c:pt idx="42">
                  <c:v>456.81568190014053</c:v>
                </c:pt>
                <c:pt idx="43">
                  <c:v>400.34636550517217</c:v>
                </c:pt>
                <c:pt idx="44">
                  <c:v>417.49210973960749</c:v>
                </c:pt>
                <c:pt idx="45">
                  <c:v>434.62268223025006</c:v>
                </c:pt>
                <c:pt idx="46">
                  <c:v>451.73876490372032</c:v>
                </c:pt>
                <c:pt idx="47">
                  <c:v>468.84098381677546</c:v>
                </c:pt>
                <c:pt idx="48">
                  <c:v>485.92991564672792</c:v>
                </c:pt>
                <c:pt idx="49">
                  <c:v>433.40744954046642</c:v>
                </c:pt>
                <c:pt idx="50">
                  <c:v>449.22192846370172</c:v>
                </c:pt>
                <c:pt idx="51">
                  <c:v>465.02449883304229</c:v>
                </c:pt>
                <c:pt idx="52">
                  <c:v>480.81562217078698</c:v>
                </c:pt>
                <c:pt idx="53">
                  <c:v>496.59572722290017</c:v>
                </c:pt>
                <c:pt idx="54">
                  <c:v>512.36521327582784</c:v>
                </c:pt>
                <c:pt idx="55">
                  <c:v>461.89139366884518</c:v>
                </c:pt>
                <c:pt idx="56">
                  <c:v>478.08164709355452</c:v>
                </c:pt>
                <c:pt idx="57">
                  <c:v>494.26024541903877</c:v>
                </c:pt>
                <c:pt idx="58">
                  <c:v>510.42762370582977</c:v>
                </c:pt>
                <c:pt idx="59">
                  <c:v>526.58418721906685</c:v>
                </c:pt>
                <c:pt idx="60">
                  <c:v>542.73031433948165</c:v>
                </c:pt>
                <c:pt idx="61">
                  <c:v>499.15127088853865</c:v>
                </c:pt>
                <c:pt idx="62">
                  <c:v>515.27130768850463</c:v>
                </c:pt>
                <c:pt idx="63">
                  <c:v>531.38070406079385</c:v>
                </c:pt>
                <c:pt idx="64">
                  <c:v>547.47982784801127</c:v>
                </c:pt>
                <c:pt idx="65">
                  <c:v>563.56902350653706</c:v>
                </c:pt>
                <c:pt idx="66">
                  <c:v>579.64861423230298</c:v>
                </c:pt>
                <c:pt idx="67">
                  <c:v>533.38264977204392</c:v>
                </c:pt>
                <c:pt idx="68">
                  <c:v>547.12804177887494</c:v>
                </c:pt>
                <c:pt idx="69">
                  <c:v>560.86619103991427</c:v>
                </c:pt>
                <c:pt idx="70">
                  <c:v>574.59729989359255</c:v>
                </c:pt>
                <c:pt idx="71">
                  <c:v>588.32156022300251</c:v>
                </c:pt>
                <c:pt idx="72">
                  <c:v>602.03915423253216</c:v>
                </c:pt>
                <c:pt idx="73">
                  <c:v>4.6498644977563242E-12</c:v>
                </c:pt>
                <c:pt idx="74">
                  <c:v>4.6498644977563242E-12</c:v>
                </c:pt>
                <c:pt idx="75">
                  <c:v>4.6498644977563242E-12</c:v>
                </c:pt>
                <c:pt idx="76">
                  <c:v>4.6498644977563242E-12</c:v>
                </c:pt>
                <c:pt idx="77">
                  <c:v>4.6498644977563242E-12</c:v>
                </c:pt>
                <c:pt idx="78">
                  <c:v>4.6498644977563242E-12</c:v>
                </c:pt>
                <c:pt idx="79">
                  <c:v>4.6498644977563242E-12</c:v>
                </c:pt>
                <c:pt idx="80">
                  <c:v>4.6498644977563242E-12</c:v>
                </c:pt>
                <c:pt idx="81">
                  <c:v>4.6498644977563242E-12</c:v>
                </c:pt>
                <c:pt idx="82">
                  <c:v>4.6498644977563242E-12</c:v>
                </c:pt>
                <c:pt idx="83">
                  <c:v>4.6498644977563242E-12</c:v>
                </c:pt>
                <c:pt idx="84">
                  <c:v>4.6498644977563242E-12</c:v>
                </c:pt>
                <c:pt idx="85">
                  <c:v>4.6498644977563242E-12</c:v>
                </c:pt>
                <c:pt idx="86">
                  <c:v>4.6498644977563242E-12</c:v>
                </c:pt>
                <c:pt idx="87">
                  <c:v>4.6498644977563242E-12</c:v>
                </c:pt>
                <c:pt idx="88">
                  <c:v>4.6498644977563242E-12</c:v>
                </c:pt>
                <c:pt idx="89">
                  <c:v>4.6498644977563242E-12</c:v>
                </c:pt>
                <c:pt idx="90">
                  <c:v>4.6498644977563242E-12</c:v>
                </c:pt>
                <c:pt idx="91">
                  <c:v>4.6498644977563242E-12</c:v>
                </c:pt>
                <c:pt idx="92">
                  <c:v>4.6498644977563242E-12</c:v>
                </c:pt>
                <c:pt idx="93">
                  <c:v>4.6498644977563242E-12</c:v>
                </c:pt>
                <c:pt idx="94">
                  <c:v>4.6498644977563242E-12</c:v>
                </c:pt>
                <c:pt idx="95">
                  <c:v>4.6498644977563242E-12</c:v>
                </c:pt>
                <c:pt idx="96">
                  <c:v>4.6498644977563242E-12</c:v>
                </c:pt>
                <c:pt idx="97">
                  <c:v>4.6498644977563242E-12</c:v>
                </c:pt>
                <c:pt idx="98">
                  <c:v>4.6498644977563242E-12</c:v>
                </c:pt>
                <c:pt idx="99">
                  <c:v>4.6498644977563242E-12</c:v>
                </c:pt>
                <c:pt idx="100">
                  <c:v>4.6498644977563242E-12</c:v>
                </c:pt>
                <c:pt idx="101">
                  <c:v>4.6498644977563242E-12</c:v>
                </c:pt>
                <c:pt idx="102">
                  <c:v>4.6498644977563242E-12</c:v>
                </c:pt>
                <c:pt idx="103">
                  <c:v>4.6498644977563242E-12</c:v>
                </c:pt>
                <c:pt idx="104">
                  <c:v>4.6498644977563242E-12</c:v>
                </c:pt>
                <c:pt idx="105">
                  <c:v>4.6498644977563242E-12</c:v>
                </c:pt>
                <c:pt idx="106">
                  <c:v>4.6498644977563242E-12</c:v>
                </c:pt>
                <c:pt idx="107">
                  <c:v>4.6498644977563242E-12</c:v>
                </c:pt>
                <c:pt idx="108">
                  <c:v>4.6498644977563242E-12</c:v>
                </c:pt>
                <c:pt idx="109">
                  <c:v>4.6498644977563242E-12</c:v>
                </c:pt>
                <c:pt idx="110">
                  <c:v>4.6498644977563242E-12</c:v>
                </c:pt>
                <c:pt idx="111">
                  <c:v>4.6498644977563242E-12</c:v>
                </c:pt>
                <c:pt idx="112">
                  <c:v>4.6498644977563242E-12</c:v>
                </c:pt>
                <c:pt idx="113">
                  <c:v>4.6498644977563242E-12</c:v>
                </c:pt>
                <c:pt idx="114">
                  <c:v>4.6498644977563242E-12</c:v>
                </c:pt>
                <c:pt idx="115">
                  <c:v>4.6498644977563242E-12</c:v>
                </c:pt>
                <c:pt idx="116">
                  <c:v>4.6498644977563242E-12</c:v>
                </c:pt>
                <c:pt idx="117">
                  <c:v>4.6498644977563242E-12</c:v>
                </c:pt>
                <c:pt idx="118">
                  <c:v>4.6498644977563242E-12</c:v>
                </c:pt>
                <c:pt idx="119">
                  <c:v>4.6498644977563242E-12</c:v>
                </c:pt>
                <c:pt idx="120">
                  <c:v>4.6498644977563242E-12</c:v>
                </c:pt>
                <c:pt idx="121">
                  <c:v>4.6498644977563242E-12</c:v>
                </c:pt>
                <c:pt idx="122">
                  <c:v>4.6498644977563242E-12</c:v>
                </c:pt>
                <c:pt idx="123">
                  <c:v>4.6498644977563242E-12</c:v>
                </c:pt>
                <c:pt idx="124">
                  <c:v>4.6498644977563242E-12</c:v>
                </c:pt>
                <c:pt idx="125">
                  <c:v>4.6498644977563242E-12</c:v>
                </c:pt>
                <c:pt idx="126">
                  <c:v>4.6498644977563242E-12</c:v>
                </c:pt>
                <c:pt idx="127">
                  <c:v>4.6498644977563242E-12</c:v>
                </c:pt>
                <c:pt idx="128">
                  <c:v>4.6498644977563242E-12</c:v>
                </c:pt>
                <c:pt idx="129">
                  <c:v>4.6498644977563242E-12</c:v>
                </c:pt>
                <c:pt idx="130">
                  <c:v>4.6498644977563242E-12</c:v>
                </c:pt>
                <c:pt idx="131">
                  <c:v>4.6498644977563242E-12</c:v>
                </c:pt>
                <c:pt idx="132">
                  <c:v>4.6498644977563242E-12</c:v>
                </c:pt>
                <c:pt idx="133">
                  <c:v>4.6498644977563242E-12</c:v>
                </c:pt>
                <c:pt idx="134">
                  <c:v>4.6498644977563242E-12</c:v>
                </c:pt>
                <c:pt idx="135">
                  <c:v>4.6498644977563242E-12</c:v>
                </c:pt>
                <c:pt idx="136">
                  <c:v>4.6498644977563242E-12</c:v>
                </c:pt>
                <c:pt idx="137">
                  <c:v>4.6498644977563242E-12</c:v>
                </c:pt>
                <c:pt idx="138">
                  <c:v>4.6498644977563242E-12</c:v>
                </c:pt>
                <c:pt idx="139">
                  <c:v>4.6498644977563242E-12</c:v>
                </c:pt>
                <c:pt idx="140">
                  <c:v>4.6498644977563242E-12</c:v>
                </c:pt>
                <c:pt idx="141">
                  <c:v>4.6498644977563242E-12</c:v>
                </c:pt>
                <c:pt idx="142">
                  <c:v>4.6498644977563242E-12</c:v>
                </c:pt>
                <c:pt idx="143">
                  <c:v>4.6498644977563242E-12</c:v>
                </c:pt>
                <c:pt idx="144">
                  <c:v>4.6498644977563242E-12</c:v>
                </c:pt>
                <c:pt idx="145">
                  <c:v>4.6498644977563242E-12</c:v>
                </c:pt>
                <c:pt idx="146">
                  <c:v>4.6498644977563242E-12</c:v>
                </c:pt>
                <c:pt idx="147">
                  <c:v>4.6498644977563242E-12</c:v>
                </c:pt>
                <c:pt idx="148">
                  <c:v>4.6498644977563242E-12</c:v>
                </c:pt>
                <c:pt idx="149">
                  <c:v>4.6498644977563242E-12</c:v>
                </c:pt>
                <c:pt idx="150">
                  <c:v>4.6498644977563242E-12</c:v>
                </c:pt>
                <c:pt idx="151">
                  <c:v>4.6498644977563242E-12</c:v>
                </c:pt>
                <c:pt idx="152">
                  <c:v>4.6498644977563242E-12</c:v>
                </c:pt>
                <c:pt idx="153">
                  <c:v>4.6498644977563242E-12</c:v>
                </c:pt>
                <c:pt idx="154">
                  <c:v>4.6498644977563242E-12</c:v>
                </c:pt>
                <c:pt idx="155">
                  <c:v>4.6498644977563242E-12</c:v>
                </c:pt>
                <c:pt idx="156">
                  <c:v>4.6498644977563242E-12</c:v>
                </c:pt>
                <c:pt idx="157">
                  <c:v>4.6498644977563242E-12</c:v>
                </c:pt>
                <c:pt idx="158">
                  <c:v>4.6498644977563242E-12</c:v>
                </c:pt>
                <c:pt idx="159">
                  <c:v>4.6498644977563242E-12</c:v>
                </c:pt>
                <c:pt idx="160">
                  <c:v>4.6498644977563242E-12</c:v>
                </c:pt>
                <c:pt idx="161">
                  <c:v>4.6498644977563242E-12</c:v>
                </c:pt>
                <c:pt idx="162">
                  <c:v>4.6498644977563242E-12</c:v>
                </c:pt>
                <c:pt idx="163">
                  <c:v>4.6498644977563242E-12</c:v>
                </c:pt>
                <c:pt idx="164">
                  <c:v>4.6498644977563242E-12</c:v>
                </c:pt>
                <c:pt idx="165">
                  <c:v>4.6498644977563242E-12</c:v>
                </c:pt>
                <c:pt idx="166">
                  <c:v>4.6498644977563242E-12</c:v>
                </c:pt>
                <c:pt idx="167">
                  <c:v>4.6498644977563242E-12</c:v>
                </c:pt>
                <c:pt idx="168">
                  <c:v>4.6498644977563242E-12</c:v>
                </c:pt>
                <c:pt idx="169">
                  <c:v>4.6498644977563242E-12</c:v>
                </c:pt>
                <c:pt idx="170">
                  <c:v>4.6498644977563242E-12</c:v>
                </c:pt>
                <c:pt idx="171">
                  <c:v>4.6498644977563242E-12</c:v>
                </c:pt>
                <c:pt idx="172">
                  <c:v>4.6498644977563242E-12</c:v>
                </c:pt>
                <c:pt idx="173">
                  <c:v>4.6498644977563242E-12</c:v>
                </c:pt>
                <c:pt idx="174">
                  <c:v>4.6498644977563242E-12</c:v>
                </c:pt>
                <c:pt idx="175">
                  <c:v>4.6498644977563242E-12</c:v>
                </c:pt>
                <c:pt idx="176">
                  <c:v>4.6498644977563242E-12</c:v>
                </c:pt>
                <c:pt idx="177">
                  <c:v>4.6498644977563242E-12</c:v>
                </c:pt>
                <c:pt idx="178">
                  <c:v>4.6498644977563242E-12</c:v>
                </c:pt>
                <c:pt idx="179">
                  <c:v>4.6498644977563242E-12</c:v>
                </c:pt>
                <c:pt idx="180">
                  <c:v>4.6498644977563242E-12</c:v>
                </c:pt>
                <c:pt idx="181">
                  <c:v>4.6498644977563242E-12</c:v>
                </c:pt>
                <c:pt idx="182">
                  <c:v>4.6498644977563242E-12</c:v>
                </c:pt>
                <c:pt idx="183">
                  <c:v>4.6498644977563242E-12</c:v>
                </c:pt>
                <c:pt idx="184">
                  <c:v>4.6498644977563242E-12</c:v>
                </c:pt>
                <c:pt idx="185">
                  <c:v>4.6498644977563242E-12</c:v>
                </c:pt>
                <c:pt idx="186">
                  <c:v>4.6498644977563242E-12</c:v>
                </c:pt>
                <c:pt idx="187">
                  <c:v>4.6498644977563242E-12</c:v>
                </c:pt>
                <c:pt idx="188">
                  <c:v>4.6498644977563242E-12</c:v>
                </c:pt>
                <c:pt idx="189">
                  <c:v>4.6498644977563242E-12</c:v>
                </c:pt>
                <c:pt idx="190">
                  <c:v>4.6498644977563242E-12</c:v>
                </c:pt>
                <c:pt idx="191">
                  <c:v>4.6498644977563242E-12</c:v>
                </c:pt>
                <c:pt idx="192">
                  <c:v>4.6498644977563242E-12</c:v>
                </c:pt>
                <c:pt idx="193">
                  <c:v>4.6498644977563242E-12</c:v>
                </c:pt>
                <c:pt idx="194">
                  <c:v>4.6498644977563242E-12</c:v>
                </c:pt>
                <c:pt idx="195">
                  <c:v>4.6498644977563242E-12</c:v>
                </c:pt>
                <c:pt idx="196">
                  <c:v>4.6498644977563242E-12</c:v>
                </c:pt>
                <c:pt idx="197">
                  <c:v>4.6498644977563242E-12</c:v>
                </c:pt>
                <c:pt idx="198">
                  <c:v>4.6498644977563242E-12</c:v>
                </c:pt>
                <c:pt idx="199">
                  <c:v>4.6498644977563242E-12</c:v>
                </c:pt>
                <c:pt idx="200">
                  <c:v>4.6498644977563242E-12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1.4446494747924661</c:v>
                </c:pt>
                <c:pt idx="2">
                  <c:v>1.7032179941020262</c:v>
                </c:pt>
                <c:pt idx="3">
                  <c:v>2.0082412457544763</c:v>
                </c:pt>
                <c:pt idx="4">
                  <c:v>2.3680951937653405</c:v>
                </c:pt>
                <c:pt idx="5">
                  <c:v>2.7926710865029833</c:v>
                </c:pt>
                <c:pt idx="6">
                  <c:v>3.2936504415475194</c:v>
                </c:pt>
                <c:pt idx="7">
                  <c:v>3.8848300775960793</c:v>
                </c:pt>
                <c:pt idx="8">
                  <c:v>4.5825063262069596</c:v>
                </c:pt>
                <c:pt idx="9">
                  <c:v>5.4059292268305654</c:v>
                </c:pt>
                <c:pt idx="10">
                  <c:v>6.377839485521748</c:v>
                </c:pt>
                <c:pt idx="11">
                  <c:v>7.5251033172333761</c:v>
                </c:pt>
                <c:pt idx="12">
                  <c:v>8.8794630602777733</c:v>
                </c:pt>
                <c:pt idx="13">
                  <c:v>10.478424728298359</c:v>
                </c:pt>
                <c:pt idx="14">
                  <c:v>12.366307543331528</c:v>
                </c:pt>
                <c:pt idx="15">
                  <c:v>14.595485083876353</c:v>
                </c:pt>
                <c:pt idx="16">
                  <c:v>17.227853115323715</c:v>
                </c:pt>
                <c:pt idx="17">
                  <c:v>20.336565601761166</c:v>
                </c:pt>
                <c:pt idx="18">
                  <c:v>24.008088011793529</c:v>
                </c:pt>
                <c:pt idx="19">
                  <c:v>28.34462604420094</c:v>
                </c:pt>
                <c:pt idx="20">
                  <c:v>33.466998569717767</c:v>
                </c:pt>
                <c:pt idx="21">
                  <c:v>39.518036218216324</c:v>
                </c:pt>
                <c:pt idx="22">
                  <c:v>46.666601997687287</c:v>
                </c:pt>
                <c:pt idx="23">
                  <c:v>55.112348040911343</c:v>
                </c:pt>
                <c:pt idx="24">
                  <c:v>65.091343544944792</c:v>
                </c:pt>
                <c:pt idx="25">
                  <c:v>76.882733798474405</c:v>
                </c:pt>
                <c:pt idx="26">
                  <c:v>90.816619594682138</c:v>
                </c:pt>
                <c:pt idx="27">
                  <c:v>107.28338114591146</c:v>
                </c:pt>
                <c:pt idx="28">
                  <c:v>126.74471185035777</c:v>
                </c:pt>
                <c:pt idx="29">
                  <c:v>149.74667609401612</c:v>
                </c:pt>
                <c:pt idx="30">
                  <c:v>176.93516310576453</c:v>
                </c:pt>
                <c:pt idx="31">
                  <c:v>146.43353271796309</c:v>
                </c:pt>
                <c:pt idx="32">
                  <c:v>156.61609434461207</c:v>
                </c:pt>
                <c:pt idx="33">
                  <c:v>166.78293977832863</c:v>
                </c:pt>
                <c:pt idx="34">
                  <c:v>176.93516310576453</c:v>
                </c:pt>
                <c:pt idx="35">
                  <c:v>187.07372242622981</c:v>
                </c:pt>
                <c:pt idx="36">
                  <c:v>197.19946337106239</c:v>
                </c:pt>
                <c:pt idx="37">
                  <c:v>207.31313753029789</c:v>
                </c:pt>
                <c:pt idx="38">
                  <c:v>217.41541708927389</c:v>
                </c:pt>
                <c:pt idx="39">
                  <c:v>227.50690659831915</c:v>
                </c:pt>
                <c:pt idx="40">
                  <c:v>237.58815254200749</c:v>
                </c:pt>
                <c:pt idx="41">
                  <c:v>207.81851684809405</c:v>
                </c:pt>
                <c:pt idx="42">
                  <c:v>218.42504214863564</c:v>
                </c:pt>
                <c:pt idx="43">
                  <c:v>229.01973385636325</c:v>
                </c:pt>
                <c:pt idx="44">
                  <c:v>239.60321698163875</c:v>
                </c:pt>
                <c:pt idx="45">
                  <c:v>250.1760567625594</c:v>
                </c:pt>
                <c:pt idx="46">
                  <c:v>260.73876672061448</c:v>
                </c:pt>
                <c:pt idx="47">
                  <c:v>271.29181534136131</c:v>
                </c:pt>
                <c:pt idx="48">
                  <c:v>281.83563166027687</c:v>
                </c:pt>
                <c:pt idx="49">
                  <c:v>292.37060996830348</c:v>
                </c:pt>
                <c:pt idx="50">
                  <c:v>302.89711380319795</c:v>
                </c:pt>
                <c:pt idx="51">
                  <c:v>282.33749471067313</c:v>
                </c:pt>
                <c:pt idx="52">
                  <c:v>291.86913926751032</c:v>
                </c:pt>
                <c:pt idx="53">
                  <c:v>301.39383336733812</c:v>
                </c:pt>
                <c:pt idx="54">
                  <c:v>310.91182778548091</c:v>
                </c:pt>
                <c:pt idx="55">
                  <c:v>320.42335667893758</c:v>
                </c:pt>
                <c:pt idx="56">
                  <c:v>329.92863915898073</c:v>
                </c:pt>
                <c:pt idx="57">
                  <c:v>339.42788067295515</c:v>
                </c:pt>
                <c:pt idx="58">
                  <c:v>348.92127422322784</c:v>
                </c:pt>
                <c:pt idx="59">
                  <c:v>358.40900144648282</c:v>
                </c:pt>
                <c:pt idx="60">
                  <c:v>367.89123357271274</c:v>
                </c:pt>
                <c:pt idx="61">
                  <c:v>346.92314186926529</c:v>
                </c:pt>
                <c:pt idx="62">
                  <c:v>355.91277070439509</c:v>
                </c:pt>
                <c:pt idx="63">
                  <c:v>364.89742814550772</c:v>
                </c:pt>
                <c:pt idx="64">
                  <c:v>373.87725393504803</c:v>
                </c:pt>
                <c:pt idx="65">
                  <c:v>382.85238055108954</c:v>
                </c:pt>
                <c:pt idx="66">
                  <c:v>391.82293375011449</c:v>
                </c:pt>
                <c:pt idx="67">
                  <c:v>400.78903305747463</c:v>
                </c:pt>
                <c:pt idx="68">
                  <c:v>409.75079221165839</c:v>
                </c:pt>
                <c:pt idx="69">
                  <c:v>418.70831956765045</c:v>
                </c:pt>
                <c:pt idx="70">
                  <c:v>427.66171846396475</c:v>
                </c:pt>
                <c:pt idx="71">
                  <c:v>405.7683169082614</c:v>
                </c:pt>
                <c:pt idx="72">
                  <c:v>413.73243167051174</c:v>
                </c:pt>
                <c:pt idx="73">
                  <c:v>421.69323961894673</c:v>
                </c:pt>
                <c:pt idx="74">
                  <c:v>429.65081202006462</c:v>
                </c:pt>
                <c:pt idx="75">
                  <c:v>437.60521728369707</c:v>
                </c:pt>
                <c:pt idx="76">
                  <c:v>445.55652112849572</c:v>
                </c:pt>
                <c:pt idx="77">
                  <c:v>453.50478673498748</c:v>
                </c:pt>
                <c:pt idx="78">
                  <c:v>461.45007488733671</c:v>
                </c:pt>
                <c:pt idx="79">
                  <c:v>469.39244410483212</c:v>
                </c:pt>
                <c:pt idx="80">
                  <c:v>477.33195076400972</c:v>
                </c:pt>
                <c:pt idx="81">
                  <c:v>452.51141758795933</c:v>
                </c:pt>
                <c:pt idx="82">
                  <c:v>457.47779928386609</c:v>
                </c:pt>
                <c:pt idx="83">
                  <c:v>462.44302949249573</c:v>
                </c:pt>
                <c:pt idx="84">
                  <c:v>467.40712233198587</c:v>
                </c:pt>
                <c:pt idx="85">
                  <c:v>472.37009159588257</c:v>
                </c:pt>
                <c:pt idx="86">
                  <c:v>477.33195076400972</c:v>
                </c:pt>
                <c:pt idx="87">
                  <c:v>482.29271301286667</c:v>
                </c:pt>
                <c:pt idx="88">
                  <c:v>487.25239122557053</c:v>
                </c:pt>
                <c:pt idx="89">
                  <c:v>492.21099800137671</c:v>
                </c:pt>
                <c:pt idx="90">
                  <c:v>497.16854566479356</c:v>
                </c:pt>
                <c:pt idx="91">
                  <c:v>470.38503784978212</c:v>
                </c:pt>
                <c:pt idx="92">
                  <c:v>473.36255181121783</c:v>
                </c:pt>
                <c:pt idx="93">
                  <c:v>476.3396671012876</c:v>
                </c:pt>
                <c:pt idx="94">
                  <c:v>479.31638656594299</c:v>
                </c:pt>
                <c:pt idx="95">
                  <c:v>482.29271301286667</c:v>
                </c:pt>
                <c:pt idx="96">
                  <c:v>485.26864921222455</c:v>
                </c:pt>
                <c:pt idx="97">
                  <c:v>488.24419789739932</c:v>
                </c:pt>
                <c:pt idx="98">
                  <c:v>491.21936176570608</c:v>
                </c:pt>
                <c:pt idx="99">
                  <c:v>494.19414347908742</c:v>
                </c:pt>
                <c:pt idx="100">
                  <c:v>497.16854566479356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85" t="s">
        <v>292</v>
      </c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</row>
    <row r="13" spans="2:13" ht="15" customHeight="1" x14ac:dyDescent="0.2">
      <c r="B13" s="285"/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5"/>
    </row>
    <row r="14" spans="2:13" ht="15" customHeight="1" x14ac:dyDescent="0.2">
      <c r="B14" s="285"/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</row>
    <row r="15" spans="2:13" ht="18.75" customHeight="1" x14ac:dyDescent="0.2">
      <c r="B15" s="285"/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</row>
    <row r="16" spans="2:13" ht="18.75" customHeight="1" x14ac:dyDescent="0.2">
      <c r="B16" s="285"/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</row>
    <row r="18" spans="2:13" ht="12" customHeight="1" x14ac:dyDescent="0.2">
      <c r="B18" s="285" t="s">
        <v>293</v>
      </c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</row>
    <row r="19" spans="2:13" ht="12" customHeight="1" x14ac:dyDescent="0.2">
      <c r="B19" s="285"/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</row>
    <row r="20" spans="2:13" ht="12" customHeight="1" x14ac:dyDescent="0.2">
      <c r="B20" s="285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</row>
    <row r="21" spans="2:13" ht="12" customHeight="1" x14ac:dyDescent="0.2">
      <c r="B21" s="285"/>
      <c r="C21" s="285"/>
      <c r="D21" s="285"/>
      <c r="E21" s="285"/>
      <c r="F21" s="285"/>
      <c r="G21" s="285"/>
      <c r="H21" s="285"/>
      <c r="I21" s="285"/>
      <c r="J21" s="285"/>
      <c r="K21" s="285"/>
      <c r="L21" s="285"/>
      <c r="M21" s="285"/>
    </row>
    <row r="22" spans="2:13" ht="12" customHeight="1" x14ac:dyDescent="0.2">
      <c r="B22" s="285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</row>
    <row r="23" spans="2:13" ht="12" customHeight="1" x14ac:dyDescent="0.2">
      <c r="B23" s="285"/>
      <c r="C23" s="285"/>
      <c r="D23" s="285"/>
      <c r="E23" s="285"/>
      <c r="F23" s="285"/>
      <c r="G23" s="285"/>
      <c r="H23" s="285"/>
      <c r="I23" s="285"/>
      <c r="J23" s="285"/>
      <c r="K23" s="285"/>
      <c r="L23" s="285"/>
      <c r="M23" s="285"/>
    </row>
    <row r="24" spans="2:13" ht="12" customHeight="1" x14ac:dyDescent="0.2"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</row>
    <row r="25" spans="2:13" ht="12" customHeight="1" x14ac:dyDescent="0.2">
      <c r="B25" s="285"/>
      <c r="C25" s="285"/>
      <c r="D25" s="285"/>
      <c r="E25" s="285"/>
      <c r="F25" s="285"/>
      <c r="G25" s="285"/>
      <c r="H25" s="285"/>
      <c r="I25" s="285"/>
      <c r="J25" s="285"/>
      <c r="K25" s="285"/>
      <c r="L25" s="285"/>
      <c r="M25" s="285"/>
    </row>
    <row r="26" spans="2:13" ht="12" customHeight="1" x14ac:dyDescent="0.2"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</row>
    <row r="27" spans="2:13" ht="12" customHeight="1" x14ac:dyDescent="0.2">
      <c r="B27" s="285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</row>
    <row r="28" spans="2:13" ht="12" customHeight="1" x14ac:dyDescent="0.2"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</row>
    <row r="29" spans="2:13" ht="12" customHeight="1" x14ac:dyDescent="0.2">
      <c r="B29" s="285"/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</row>
    <row r="30" spans="2:13" ht="12" customHeight="1" x14ac:dyDescent="0.2">
      <c r="B30" s="285"/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</row>
    <row r="31" spans="2:13" ht="12" customHeight="1" x14ac:dyDescent="0.2">
      <c r="B31" s="285"/>
      <c r="C31" s="285"/>
      <c r="D31" s="285"/>
      <c r="E31" s="285"/>
      <c r="F31" s="285"/>
      <c r="G31" s="285"/>
      <c r="H31" s="285"/>
      <c r="I31" s="285"/>
      <c r="J31" s="285"/>
      <c r="K31" s="285"/>
      <c r="L31" s="285"/>
      <c r="M31" s="28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65" zoomScale="70" zoomScaleNormal="70" workbookViewId="0">
      <selection activeCell="E270" sqref="E270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86" t="s">
        <v>190</v>
      </c>
      <c r="D1" s="286"/>
      <c r="E1" s="28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1" t="s">
        <v>192</v>
      </c>
      <c r="C3" s="292"/>
      <c r="D3" s="292"/>
      <c r="E3" s="292"/>
      <c r="F3" s="293"/>
      <c r="G3" s="95"/>
      <c r="I3" s="227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297" t="s">
        <v>231</v>
      </c>
      <c r="B5" s="297"/>
      <c r="C5" s="26">
        <v>30.9</v>
      </c>
      <c r="D5" s="298" t="s">
        <v>229</v>
      </c>
      <c r="E5" s="299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295" t="s">
        <v>226</v>
      </c>
      <c r="B7" s="295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18</v>
      </c>
      <c r="C9" s="35">
        <v>0.84466019417475735</v>
      </c>
      <c r="D9" s="36">
        <f t="shared" ref="D9:D18" si="0">C9*$C$5</f>
        <v>26.1</v>
      </c>
      <c r="E9" s="37">
        <v>65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307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27</v>
      </c>
      <c r="C10" s="35">
        <v>0.10355987055016182</v>
      </c>
      <c r="D10" s="36">
        <f t="shared" si="0"/>
        <v>3.2</v>
      </c>
      <c r="E10" s="37">
        <v>72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164</v>
      </c>
      <c r="C11" s="35">
        <v>5.1779935275080909E-2</v>
      </c>
      <c r="D11" s="36">
        <f t="shared" si="0"/>
        <v>1.6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30.900000000000002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294" t="s">
        <v>232</v>
      </c>
      <c r="B22" s="294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296" t="s">
        <v>227</v>
      </c>
      <c r="B30" s="296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Douglas</v>
      </c>
      <c r="D32" s="258" t="s">
        <v>308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87" t="s">
        <v>186</v>
      </c>
      <c r="D34" s="287"/>
      <c r="E34" s="288" t="s">
        <v>187</v>
      </c>
      <c r="F34" s="289"/>
      <c r="G34" s="289"/>
      <c r="H34" s="290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15</v>
      </c>
      <c r="B36" s="63">
        <v>162</v>
      </c>
      <c r="C36" s="63">
        <v>1</v>
      </c>
      <c r="D36" s="63">
        <v>0</v>
      </c>
      <c r="E36" s="54"/>
      <c r="F36" s="54">
        <v>0.56000000000000005</v>
      </c>
      <c r="G36" s="54">
        <v>0.44</v>
      </c>
      <c r="H36" s="54"/>
      <c r="I36" s="52">
        <f>IFERROR(B36/A36,"")</f>
        <v>10.8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20</v>
      </c>
      <c r="B37" s="63">
        <v>303</v>
      </c>
      <c r="C37" s="63">
        <v>2</v>
      </c>
      <c r="D37" s="63">
        <v>43</v>
      </c>
      <c r="E37" s="54"/>
      <c r="F37" s="54">
        <v>0.56000000000000005</v>
      </c>
      <c r="G37" s="54">
        <v>0.44</v>
      </c>
      <c r="H37" s="54"/>
      <c r="I37" s="56">
        <f t="shared" ref="I37:I55" si="1">IF(A37&lt;&gt;0,(B37-(B36-D36))/(A37-A36),"")</f>
        <v>28.2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25</v>
      </c>
      <c r="B38" s="63">
        <v>419</v>
      </c>
      <c r="C38" s="63">
        <v>3</v>
      </c>
      <c r="D38" s="63">
        <v>60</v>
      </c>
      <c r="E38" s="54"/>
      <c r="F38" s="54">
        <v>0.56000000000000005</v>
      </c>
      <c r="G38" s="54">
        <v>0.44</v>
      </c>
      <c r="H38" s="54"/>
      <c r="I38" s="56">
        <f t="shared" si="1"/>
        <v>31.8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30</v>
      </c>
      <c r="B39" s="63">
        <v>524</v>
      </c>
      <c r="C39" s="63">
        <v>4</v>
      </c>
      <c r="D39" s="63">
        <v>90</v>
      </c>
      <c r="E39" s="54"/>
      <c r="F39" s="54">
        <v>0.56000000000000005</v>
      </c>
      <c r="G39" s="54">
        <v>0.44</v>
      </c>
      <c r="H39" s="54"/>
      <c r="I39" s="52">
        <f t="shared" si="1"/>
        <v>33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35</v>
      </c>
      <c r="B40" s="63">
        <v>576</v>
      </c>
      <c r="C40" s="63">
        <v>5</v>
      </c>
      <c r="D40" s="63">
        <v>72</v>
      </c>
      <c r="E40" s="54">
        <v>0.2</v>
      </c>
      <c r="F40" s="54">
        <v>0.44800000000000006</v>
      </c>
      <c r="G40" s="54">
        <v>0.35200000000000004</v>
      </c>
      <c r="H40" s="54"/>
      <c r="I40" s="52">
        <f t="shared" si="1"/>
        <v>28.4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40</v>
      </c>
      <c r="B41" s="63">
        <v>639</v>
      </c>
      <c r="C41" s="63">
        <v>6</v>
      </c>
      <c r="D41" s="63">
        <v>77</v>
      </c>
      <c r="E41" s="54">
        <v>0.2</v>
      </c>
      <c r="F41" s="54">
        <v>0.44800000000000006</v>
      </c>
      <c r="G41" s="54">
        <v>0.35200000000000004</v>
      </c>
      <c r="H41" s="54"/>
      <c r="I41" s="56">
        <f t="shared" si="1"/>
        <v>27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45</v>
      </c>
      <c r="B42" s="63">
        <v>686</v>
      </c>
      <c r="C42" s="63">
        <v>7</v>
      </c>
      <c r="D42" s="63">
        <v>64</v>
      </c>
      <c r="E42" s="54">
        <v>0.4</v>
      </c>
      <c r="F42" s="54">
        <v>0.33600000000000002</v>
      </c>
      <c r="G42" s="54">
        <v>0.26400000000000001</v>
      </c>
      <c r="H42" s="54"/>
      <c r="I42" s="56">
        <f t="shared" si="1"/>
        <v>24.8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53">
        <v>50</v>
      </c>
      <c r="B43" s="63">
        <v>724</v>
      </c>
      <c r="C43" s="63">
        <v>8</v>
      </c>
      <c r="D43" s="63">
        <v>62</v>
      </c>
      <c r="E43" s="54">
        <v>0.4</v>
      </c>
      <c r="F43" s="54">
        <v>0.33600000000000002</v>
      </c>
      <c r="G43" s="54">
        <v>0.26400000000000001</v>
      </c>
      <c r="H43" s="54"/>
      <c r="I43" s="52">
        <f t="shared" si="1"/>
        <v>20.399999999999999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53">
        <v>55</v>
      </c>
      <c r="B44" s="63">
        <v>739</v>
      </c>
      <c r="C44" s="63">
        <v>9</v>
      </c>
      <c r="D44" s="63">
        <v>46</v>
      </c>
      <c r="E44" s="54">
        <v>0.6</v>
      </c>
      <c r="F44" s="54">
        <v>0.22400000000000003</v>
      </c>
      <c r="G44" s="54">
        <v>0.17600000000000002</v>
      </c>
      <c r="H44" s="54"/>
      <c r="I44" s="52">
        <f t="shared" si="1"/>
        <v>15.4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53">
        <v>60</v>
      </c>
      <c r="B45" s="63">
        <v>754</v>
      </c>
      <c r="C45" s="63">
        <v>10</v>
      </c>
      <c r="D45" s="63">
        <v>35</v>
      </c>
      <c r="E45" s="54">
        <v>0.6</v>
      </c>
      <c r="F45" s="54">
        <v>0.22400000000000003</v>
      </c>
      <c r="G45" s="54">
        <v>0.17600000000000002</v>
      </c>
      <c r="H45" s="54"/>
      <c r="I45" s="52">
        <f t="shared" si="1"/>
        <v>12.2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53">
        <v>65</v>
      </c>
      <c r="B46" s="63">
        <v>769</v>
      </c>
      <c r="C46" s="63">
        <v>11</v>
      </c>
      <c r="D46" s="63">
        <v>769</v>
      </c>
      <c r="E46" s="54">
        <v>0.8</v>
      </c>
      <c r="F46" s="54">
        <v>0.11</v>
      </c>
      <c r="G46" s="54">
        <v>0.09</v>
      </c>
      <c r="H46" s="54"/>
      <c r="I46" s="52">
        <f t="shared" si="1"/>
        <v>10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Mélèze d'Europe</v>
      </c>
      <c r="D58" s="258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87" t="s">
        <v>186</v>
      </c>
      <c r="D60" s="287"/>
      <c r="E60" s="288" t="s">
        <v>187</v>
      </c>
      <c r="F60" s="289"/>
      <c r="G60" s="289"/>
      <c r="H60" s="290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63">
        <v>12</v>
      </c>
      <c r="B62" s="63">
        <v>97.5</v>
      </c>
      <c r="C62" s="63">
        <v>1</v>
      </c>
      <c r="D62" s="63">
        <v>18.5</v>
      </c>
      <c r="E62" s="54">
        <v>0</v>
      </c>
      <c r="F62" s="54">
        <v>0.56000000000000005</v>
      </c>
      <c r="G62" s="54">
        <v>0.44</v>
      </c>
      <c r="H62" s="54"/>
      <c r="I62" s="56">
        <f>IFERROR(B62/A62,"")</f>
        <v>8.125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63">
        <v>18</v>
      </c>
      <c r="B63" s="63">
        <v>224</v>
      </c>
      <c r="C63" s="63">
        <v>2</v>
      </c>
      <c r="D63" s="63">
        <v>84.4</v>
      </c>
      <c r="E63" s="54">
        <v>0</v>
      </c>
      <c r="F63" s="54">
        <v>0.56000000000000005</v>
      </c>
      <c r="G63" s="54">
        <v>0.44</v>
      </c>
      <c r="H63" s="54"/>
      <c r="I63" s="52">
        <f>IF(A63&lt;&gt;0,(B63-(B62-D62))/(A63-A62),"")</f>
        <v>24.166666666666668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63">
        <v>24</v>
      </c>
      <c r="B64" s="63">
        <v>253</v>
      </c>
      <c r="C64" s="63">
        <v>3</v>
      </c>
      <c r="D64" s="63">
        <v>75.900000000000006</v>
      </c>
      <c r="E64" s="54">
        <v>0</v>
      </c>
      <c r="F64" s="54">
        <v>0.56000000000000005</v>
      </c>
      <c r="G64" s="54">
        <v>0.44</v>
      </c>
      <c r="H64" s="54"/>
      <c r="I64" s="52">
        <f>IF(A64&lt;&gt;0,(B64-(B63-D63))/(A64-A63),"")</f>
        <v>18.900000000000002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63">
        <v>30</v>
      </c>
      <c r="B65" s="63">
        <v>280</v>
      </c>
      <c r="C65" s="63">
        <v>4</v>
      </c>
      <c r="D65" s="63">
        <v>63.6</v>
      </c>
      <c r="E65" s="54">
        <v>0</v>
      </c>
      <c r="F65" s="54">
        <v>0.56000000000000005</v>
      </c>
      <c r="G65" s="54">
        <v>0.44</v>
      </c>
      <c r="H65" s="54"/>
      <c r="I65" s="52">
        <f>IF(A65&lt;&gt;0,(B65-(B64-D64))/(A65-A64),"")</f>
        <v>17.150000000000002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63">
        <v>36</v>
      </c>
      <c r="B66" s="63">
        <v>304</v>
      </c>
      <c r="C66" s="63">
        <v>5</v>
      </c>
      <c r="D66" s="63">
        <v>58.7</v>
      </c>
      <c r="E66" s="54">
        <v>0.2</v>
      </c>
      <c r="F66" s="54">
        <v>0.44800000000000006</v>
      </c>
      <c r="G66" s="54">
        <v>0.35200000000000004</v>
      </c>
      <c r="H66" s="54"/>
      <c r="I66" s="52">
        <f t="shared" ref="I66:I81" si="2">IF(A66&lt;&gt;0,(B66-(B65-D65))/(A66-A65),"")</f>
        <v>14.6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63">
        <v>42</v>
      </c>
      <c r="B67" s="63">
        <v>337</v>
      </c>
      <c r="C67" s="63">
        <v>6</v>
      </c>
      <c r="D67" s="63">
        <v>55.5</v>
      </c>
      <c r="E67" s="54">
        <v>0.2</v>
      </c>
      <c r="F67" s="54">
        <v>0.44800000000000006</v>
      </c>
      <c r="G67" s="54">
        <v>0.35200000000000004</v>
      </c>
      <c r="H67" s="54"/>
      <c r="I67" s="52">
        <f t="shared" si="2"/>
        <v>15.283333333333331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63">
        <v>48</v>
      </c>
      <c r="B68" s="63">
        <v>359</v>
      </c>
      <c r="C68" s="63">
        <v>7</v>
      </c>
      <c r="D68" s="63">
        <v>51.6</v>
      </c>
      <c r="E68" s="54">
        <v>0.4</v>
      </c>
      <c r="F68" s="54">
        <v>0.33600000000000002</v>
      </c>
      <c r="G68" s="54">
        <v>0.26400000000000001</v>
      </c>
      <c r="H68" s="54"/>
      <c r="I68" s="52">
        <f t="shared" si="2"/>
        <v>12.916666666666666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63">
        <v>54</v>
      </c>
      <c r="B69" s="63">
        <v>379</v>
      </c>
      <c r="C69" s="63">
        <v>8</v>
      </c>
      <c r="D69" s="63">
        <v>50.4</v>
      </c>
      <c r="E69" s="54">
        <v>0.4</v>
      </c>
      <c r="F69" s="54">
        <v>0.33600000000000002</v>
      </c>
      <c r="G69" s="54">
        <v>0.26400000000000001</v>
      </c>
      <c r="H69" s="54"/>
      <c r="I69" s="52">
        <f t="shared" si="2"/>
        <v>11.933333333333337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60</v>
      </c>
      <c r="B70" s="53">
        <v>402</v>
      </c>
      <c r="C70" s="63">
        <v>9</v>
      </c>
      <c r="D70" s="53">
        <v>45.2</v>
      </c>
      <c r="E70" s="54">
        <v>0.6</v>
      </c>
      <c r="F70" s="54">
        <v>0.22400000000000003</v>
      </c>
      <c r="G70" s="54">
        <v>0.17600000000000002</v>
      </c>
      <c r="H70" s="54"/>
      <c r="I70" s="52">
        <f t="shared" si="2"/>
        <v>12.233333333333329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66</v>
      </c>
      <c r="B71" s="53">
        <v>430</v>
      </c>
      <c r="C71" s="53">
        <v>10</v>
      </c>
      <c r="D71" s="53">
        <v>45.5</v>
      </c>
      <c r="E71" s="54">
        <v>0.6</v>
      </c>
      <c r="F71" s="54">
        <v>0.22400000000000003</v>
      </c>
      <c r="G71" s="54">
        <v>0.17600000000000002</v>
      </c>
      <c r="H71" s="54"/>
      <c r="I71" s="52">
        <f t="shared" si="2"/>
        <v>12.199999999999998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72</v>
      </c>
      <c r="B72" s="53">
        <v>447</v>
      </c>
      <c r="C72" s="53">
        <v>11</v>
      </c>
      <c r="D72" s="53">
        <v>447</v>
      </c>
      <c r="E72" s="54">
        <v>0.8</v>
      </c>
      <c r="F72" s="54">
        <v>0.11</v>
      </c>
      <c r="G72" s="54">
        <v>0.09</v>
      </c>
      <c r="H72" s="54"/>
      <c r="I72" s="52">
        <f t="shared" si="2"/>
        <v>10.416666666666666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Cèdre de l'Atlas</v>
      </c>
      <c r="D84" s="258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87" t="s">
        <v>186</v>
      </c>
      <c r="D86" s="287"/>
      <c r="E86" s="288" t="s">
        <v>187</v>
      </c>
      <c r="F86" s="289"/>
      <c r="G86" s="289"/>
      <c r="H86" s="290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30</v>
      </c>
      <c r="B88" s="63">
        <v>170</v>
      </c>
      <c r="C88" s="63">
        <v>1</v>
      </c>
      <c r="D88" s="63">
        <v>40</v>
      </c>
      <c r="E88" s="54">
        <v>0</v>
      </c>
      <c r="F88" s="54">
        <v>0.56000000000000005</v>
      </c>
      <c r="G88" s="54">
        <v>0.44</v>
      </c>
      <c r="H88" s="93"/>
      <c r="I88" s="56">
        <f>IFERROR(B88/A88,"")</f>
        <v>5.666666666666667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40</v>
      </c>
      <c r="B89" s="63">
        <v>230</v>
      </c>
      <c r="C89" s="63">
        <v>2</v>
      </c>
      <c r="D89" s="63">
        <v>40</v>
      </c>
      <c r="E89" s="54">
        <v>0.2</v>
      </c>
      <c r="F89" s="54">
        <v>0.44800000000000006</v>
      </c>
      <c r="G89" s="54">
        <v>0.35200000000000004</v>
      </c>
      <c r="H89" s="93"/>
      <c r="I89" s="56">
        <f t="shared" ref="I89:I107" si="3">IF(A89&lt;&gt;0,(B89-(B88-D88))/(A89-A88),"")</f>
        <v>10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50</v>
      </c>
      <c r="B90" s="63">
        <v>295</v>
      </c>
      <c r="C90" s="63">
        <v>3</v>
      </c>
      <c r="D90" s="63">
        <v>30</v>
      </c>
      <c r="E90" s="54">
        <v>0.2</v>
      </c>
      <c r="F90" s="54">
        <v>0.44800000000000006</v>
      </c>
      <c r="G90" s="54">
        <v>0.35200000000000004</v>
      </c>
      <c r="H90" s="93"/>
      <c r="I90" s="56">
        <f t="shared" si="3"/>
        <v>10.5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60</v>
      </c>
      <c r="B91" s="63">
        <v>360</v>
      </c>
      <c r="C91" s="63">
        <v>4</v>
      </c>
      <c r="D91" s="63">
        <v>30</v>
      </c>
      <c r="E91" s="54">
        <v>0.4</v>
      </c>
      <c r="F91" s="54">
        <v>0.33600000000000002</v>
      </c>
      <c r="G91" s="54">
        <v>0.26400000000000001</v>
      </c>
      <c r="H91" s="93"/>
      <c r="I91" s="56">
        <f t="shared" si="3"/>
        <v>9.5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70</v>
      </c>
      <c r="B92" s="63">
        <v>420</v>
      </c>
      <c r="C92" s="63">
        <v>5</v>
      </c>
      <c r="D92" s="63">
        <v>30</v>
      </c>
      <c r="E92" s="54">
        <v>0.4</v>
      </c>
      <c r="F92" s="54">
        <v>0.33600000000000002</v>
      </c>
      <c r="G92" s="54">
        <v>0.26400000000000001</v>
      </c>
      <c r="H92" s="93"/>
      <c r="I92" s="56">
        <f t="shared" si="3"/>
        <v>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80</v>
      </c>
      <c r="B93" s="63">
        <v>470</v>
      </c>
      <c r="C93" s="63">
        <v>6</v>
      </c>
      <c r="D93" s="63">
        <v>30</v>
      </c>
      <c r="E93" s="54">
        <v>0.6</v>
      </c>
      <c r="F93" s="54">
        <v>0.22400000000000003</v>
      </c>
      <c r="G93" s="54">
        <v>0.17600000000000002</v>
      </c>
      <c r="H93" s="93"/>
      <c r="I93" s="56">
        <f t="shared" si="3"/>
        <v>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90</v>
      </c>
      <c r="B94" s="63">
        <v>490</v>
      </c>
      <c r="C94" s="63">
        <v>7</v>
      </c>
      <c r="D94" s="63">
        <v>30</v>
      </c>
      <c r="E94" s="54">
        <v>0.6</v>
      </c>
      <c r="F94" s="54">
        <v>0.22400000000000003</v>
      </c>
      <c r="G94" s="54">
        <v>0.17600000000000002</v>
      </c>
      <c r="H94" s="93"/>
      <c r="I94" s="56">
        <f t="shared" si="3"/>
        <v>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53">
        <v>100</v>
      </c>
      <c r="B95" s="63">
        <v>490</v>
      </c>
      <c r="C95" s="63">
        <v>8</v>
      </c>
      <c r="D95" s="63">
        <v>640</v>
      </c>
      <c r="E95" s="54">
        <v>0.8</v>
      </c>
      <c r="F95" s="54">
        <v>0.11</v>
      </c>
      <c r="G95" s="54">
        <v>0.09</v>
      </c>
      <c r="H95" s="93"/>
      <c r="I95" s="56">
        <f t="shared" si="3"/>
        <v>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87" t="s">
        <v>186</v>
      </c>
      <c r="D112" s="287"/>
      <c r="E112" s="288" t="s">
        <v>187</v>
      </c>
      <c r="F112" s="289"/>
      <c r="G112" s="289"/>
      <c r="H112" s="290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87" t="s">
        <v>186</v>
      </c>
      <c r="D138" s="287"/>
      <c r="E138" s="288" t="s">
        <v>187</v>
      </c>
      <c r="F138" s="289"/>
      <c r="G138" s="289"/>
      <c r="H138" s="290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87" t="s">
        <v>186</v>
      </c>
      <c r="D164" s="287"/>
      <c r="E164" s="288" t="s">
        <v>187</v>
      </c>
      <c r="F164" s="289"/>
      <c r="G164" s="289"/>
      <c r="H164" s="290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87" t="s">
        <v>186</v>
      </c>
      <c r="D190" s="287"/>
      <c r="E190" s="288" t="s">
        <v>187</v>
      </c>
      <c r="F190" s="289"/>
      <c r="G190" s="289"/>
      <c r="H190" s="290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87" t="s">
        <v>186</v>
      </c>
      <c r="D216" s="287"/>
      <c r="E216" s="288" t="s">
        <v>187</v>
      </c>
      <c r="F216" s="289"/>
      <c r="G216" s="289"/>
      <c r="H216" s="290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87" t="s">
        <v>186</v>
      </c>
      <c r="D242" s="287"/>
      <c r="E242" s="288" t="s">
        <v>187</v>
      </c>
      <c r="F242" s="289"/>
      <c r="G242" s="289"/>
      <c r="H242" s="290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87" t="s">
        <v>186</v>
      </c>
      <c r="D268" s="287"/>
      <c r="E268" s="288" t="s">
        <v>187</v>
      </c>
      <c r="F268" s="289"/>
      <c r="G268" s="289"/>
      <c r="H268" s="290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4" zoomScale="115" zoomScaleNormal="115" workbookViewId="0">
      <selection activeCell="H17" sqref="H17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1" t="s">
        <v>191</v>
      </c>
      <c r="C2" s="302"/>
      <c r="D2" s="302"/>
      <c r="E2" s="302"/>
      <c r="F2" s="302"/>
      <c r="G2" s="303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0"/>
      <c r="C4" s="300"/>
      <c r="D4" s="300"/>
      <c r="E4" s="300"/>
      <c r="F4" s="300"/>
      <c r="G4" s="300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296</v>
      </c>
      <c r="C7" s="109" t="s">
        <v>214</v>
      </c>
      <c r="D7" s="234"/>
      <c r="E7" s="110"/>
      <c r="F7" s="29" t="s">
        <v>296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302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310</v>
      </c>
      <c r="D14" s="235"/>
      <c r="E14" s="108"/>
      <c r="F14" s="116"/>
      <c r="G14" s="107" t="s">
        <v>295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296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07" t="s">
        <v>176</v>
      </c>
      <c r="C1" s="308"/>
      <c r="D1" s="308"/>
      <c r="E1" s="308"/>
      <c r="F1" s="308"/>
      <c r="G1" s="308"/>
      <c r="H1" s="309"/>
      <c r="I1" s="304" t="str">
        <f>IF('Données projet'!$B$9="","",'Données projet'!$B$9)</f>
        <v>Douglas</v>
      </c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6"/>
      <c r="AD1" s="305" t="str">
        <f>IF('Données projet'!$B$10="","",'Données projet'!$B$10)</f>
        <v>Mélèze d'Europe</v>
      </c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  <c r="AU1" s="305"/>
      <c r="AV1" s="305"/>
      <c r="AW1" s="305"/>
      <c r="AX1" s="306"/>
      <c r="AY1" s="304" t="str">
        <f>IF('Données projet'!$B$11="","",'Données projet'!$B$11)</f>
        <v>Cèdre de l'Atlas</v>
      </c>
      <c r="AZ1" s="305"/>
      <c r="BA1" s="305"/>
      <c r="BB1" s="305"/>
      <c r="BC1" s="305"/>
      <c r="BD1" s="305"/>
      <c r="BE1" s="305"/>
      <c r="BF1" s="305"/>
      <c r="BG1" s="305"/>
      <c r="BH1" s="305"/>
      <c r="BI1" s="305"/>
      <c r="BJ1" s="305"/>
      <c r="BK1" s="305"/>
      <c r="BL1" s="305"/>
      <c r="BM1" s="305"/>
      <c r="BN1" s="305"/>
      <c r="BO1" s="305"/>
      <c r="BP1" s="305"/>
      <c r="BQ1" s="305"/>
      <c r="BR1" s="305"/>
      <c r="BS1" s="306"/>
      <c r="BT1" s="304" t="str">
        <f>IF('Données projet'!$B$12="","",'Données projet'!$B$12)</f>
        <v/>
      </c>
      <c r="BU1" s="305"/>
      <c r="BV1" s="305"/>
      <c r="BW1" s="305"/>
      <c r="BX1" s="305"/>
      <c r="BY1" s="305"/>
      <c r="BZ1" s="305"/>
      <c r="CA1" s="305"/>
      <c r="CB1" s="305"/>
      <c r="CC1" s="305"/>
      <c r="CD1" s="305"/>
      <c r="CE1" s="305"/>
      <c r="CF1" s="305"/>
      <c r="CG1" s="305"/>
      <c r="CH1" s="305"/>
      <c r="CI1" s="305"/>
      <c r="CJ1" s="305"/>
      <c r="CK1" s="305"/>
      <c r="CL1" s="305"/>
      <c r="CM1" s="305"/>
      <c r="CN1" s="306"/>
      <c r="CO1" s="304" t="str">
        <f>IF('Données projet'!$B$13="","",'Données projet'!$B$13)</f>
        <v/>
      </c>
      <c r="CP1" s="305"/>
      <c r="CQ1" s="305"/>
      <c r="CR1" s="305"/>
      <c r="CS1" s="305"/>
      <c r="CT1" s="305"/>
      <c r="CU1" s="305"/>
      <c r="CV1" s="305"/>
      <c r="CW1" s="305"/>
      <c r="CX1" s="305"/>
      <c r="CY1" s="305"/>
      <c r="CZ1" s="305"/>
      <c r="DA1" s="305"/>
      <c r="DB1" s="305"/>
      <c r="DC1" s="305"/>
      <c r="DD1" s="305"/>
      <c r="DE1" s="305"/>
      <c r="DF1" s="305"/>
      <c r="DG1" s="305"/>
      <c r="DH1" s="305"/>
      <c r="DI1" s="306"/>
      <c r="DJ1" s="304" t="str">
        <f>IF('Données projet'!$B$14="","",'Données projet'!$B$14)</f>
        <v/>
      </c>
      <c r="DK1" s="305"/>
      <c r="DL1" s="305"/>
      <c r="DM1" s="305"/>
      <c r="DN1" s="305"/>
      <c r="DO1" s="305"/>
      <c r="DP1" s="305"/>
      <c r="DQ1" s="305"/>
      <c r="DR1" s="305"/>
      <c r="DS1" s="305"/>
      <c r="DT1" s="305"/>
      <c r="DU1" s="305"/>
      <c r="DV1" s="305"/>
      <c r="DW1" s="305"/>
      <c r="DX1" s="305"/>
      <c r="DY1" s="305"/>
      <c r="DZ1" s="305"/>
      <c r="EA1" s="305"/>
      <c r="EB1" s="305"/>
      <c r="EC1" s="305"/>
      <c r="ED1" s="306"/>
      <c r="EE1" s="304" t="str">
        <f>IF('Données projet'!$B$15="","",'Données projet'!$B$15)</f>
        <v/>
      </c>
      <c r="EF1" s="305"/>
      <c r="EG1" s="305"/>
      <c r="EH1" s="305"/>
      <c r="EI1" s="305"/>
      <c r="EJ1" s="305"/>
      <c r="EK1" s="305"/>
      <c r="EL1" s="305"/>
      <c r="EM1" s="305"/>
      <c r="EN1" s="305"/>
      <c r="EO1" s="305"/>
      <c r="EP1" s="305"/>
      <c r="EQ1" s="305"/>
      <c r="ER1" s="305"/>
      <c r="ES1" s="305"/>
      <c r="ET1" s="305"/>
      <c r="EU1" s="305"/>
      <c r="EV1" s="305"/>
      <c r="EW1" s="305"/>
      <c r="EX1" s="305"/>
      <c r="EY1" s="306"/>
      <c r="EZ1" s="304" t="str">
        <f>IF('Données projet'!$B$16="","",'Données projet'!$B$16)</f>
        <v/>
      </c>
      <c r="FA1" s="305"/>
      <c r="FB1" s="305"/>
      <c r="FC1" s="305"/>
      <c r="FD1" s="305"/>
      <c r="FE1" s="305"/>
      <c r="FF1" s="305"/>
      <c r="FG1" s="305"/>
      <c r="FH1" s="305"/>
      <c r="FI1" s="305"/>
      <c r="FJ1" s="305"/>
      <c r="FK1" s="305"/>
      <c r="FL1" s="305"/>
      <c r="FM1" s="305"/>
      <c r="FN1" s="305"/>
      <c r="FO1" s="305"/>
      <c r="FP1" s="305"/>
      <c r="FQ1" s="305"/>
      <c r="FR1" s="305"/>
      <c r="FS1" s="305"/>
      <c r="FT1" s="306"/>
      <c r="FU1" s="304" t="str">
        <f>IF('Données projet'!$B$17="","",'Données projet'!$B$17)</f>
        <v/>
      </c>
      <c r="FV1" s="305"/>
      <c r="FW1" s="305"/>
      <c r="FX1" s="305"/>
      <c r="FY1" s="305"/>
      <c r="FZ1" s="305"/>
      <c r="GA1" s="305"/>
      <c r="GB1" s="305"/>
      <c r="GC1" s="305"/>
      <c r="GD1" s="305"/>
      <c r="GE1" s="305"/>
      <c r="GF1" s="305"/>
      <c r="GG1" s="305"/>
      <c r="GH1" s="305"/>
      <c r="GI1" s="305"/>
      <c r="GJ1" s="305"/>
      <c r="GK1" s="305"/>
      <c r="GL1" s="305"/>
      <c r="GM1" s="305"/>
      <c r="GN1" s="305"/>
      <c r="GO1" s="306"/>
      <c r="GP1" s="304" t="str">
        <f>IF('Données projet'!$B$18="","",'Données projet'!$B$18)</f>
        <v/>
      </c>
      <c r="GQ1" s="305"/>
      <c r="GR1" s="305"/>
      <c r="GS1" s="305"/>
      <c r="GT1" s="305"/>
      <c r="GU1" s="305"/>
      <c r="GV1" s="305"/>
      <c r="GW1" s="305"/>
      <c r="GX1" s="305"/>
      <c r="GY1" s="305"/>
      <c r="GZ1" s="305"/>
      <c r="HA1" s="305"/>
      <c r="HB1" s="305"/>
      <c r="HC1" s="305"/>
      <c r="HD1" s="305"/>
      <c r="HE1" s="305"/>
      <c r="HF1" s="305"/>
      <c r="HG1" s="305"/>
      <c r="HH1" s="305"/>
      <c r="HI1" s="305"/>
      <c r="HJ1" s="306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461.42631729930201</v>
      </c>
      <c r="T3" s="62">
        <f>IF('Données projet'!E9&gt;30,$R$33-$H$33,LOOKUP('Données projet'!$E$9,$A$3:$A$203,R3:R203)-LOOKUP('Données projet'!$E$9,$A$3:$A$203,$H$3:$H$203))</f>
        <v>570.46734160592086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272.66985936980086</v>
      </c>
      <c r="AO3" s="62">
        <f>IF('Données projet'!E10&gt;30,$AM$33-$H$33,LOOKUP('Données projet'!$E$10,$A$3:$A$203,AM3:AM203)-LOOKUP('Données projet'!$E$10,$A$3:$A$203,$H$3:$H$203))</f>
        <v>320.12040114313697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164.93326103756453</v>
      </c>
      <c r="BJ3" s="62">
        <f>IF('Données projet'!E11&gt;30,$BH$33-$H$33,LOOKUP('Données projet'!$E$11,$A$3:$A$203,BH3:BH203)-LOOKUP('Données projet'!$E$11,$A$3:$A$203,$H$3:$H$203))</f>
        <v>115.86489547584461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295.60554746801699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10.8</v>
      </c>
      <c r="N4" s="14">
        <f>IF('Données projet'!$A$36&gt;35,N3+M4-V3,IF(A4&lt;'Données projet'!$A$36,$K$205^A4,IF(A4='Données projet'!$A$36,'Données projet'!$B$36,N3+M4-V3)))</f>
        <v>1.4037863041747067</v>
      </c>
      <c r="O4" s="14">
        <f>N4*VLOOKUP('Données projet'!$B$9,Paramètres!$A$1:$I$88,3,0)*VLOOKUP('Données projet'!$B$9,Paramètres!$A$1:$I$88,5,0)</f>
        <v>0.78471654403366109</v>
      </c>
      <c r="P4" s="14">
        <f>EXP(-1.0587+0.8836*LN(O4)+0.284)</f>
        <v>0.37198061042729702</v>
      </c>
      <c r="Q4" s="22">
        <f t="shared" ref="Q4:Q34" si="2">(O4+P4)*0.475*44/12</f>
        <v>2.0145808773528358</v>
      </c>
      <c r="R4" s="62">
        <f t="shared" si="0"/>
        <v>295.34791421068616</v>
      </c>
      <c r="S4" s="62">
        <f ca="1">AVERAGE(OFFSET($R$3,0,0,'Données projet'!$E$9+1,1))-AVERAGE(OFFSET($H$3,0,0,'Données projet'!$E$9+1,1))</f>
        <v>461.42631729930201</v>
      </c>
      <c r="T4" s="62">
        <f>$T$3</f>
        <v>570.46734160592086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8.125</v>
      </c>
      <c r="AI4" s="14">
        <f>IF('Données projet'!$A$62&gt;35,AI3+AH4-AQ3,IF(A4&lt;'Données projet'!$A$62,$AF$205^A4,IF(A4='Données projet'!$A$62,'Données projet'!$B$62,AI3+AH4-AQ3)))</f>
        <v>1.4647057438198998</v>
      </c>
      <c r="AJ4" s="14">
        <f>AI4*VLOOKUP('Données projet'!$B$10,Paramètres!$A$1:$I$88,3,0)*VLOOKUP('Données projet'!$B$10,Paramètres!$A$1:$I$88,5,0)</f>
        <v>0.91397638414361748</v>
      </c>
      <c r="AK4" s="14">
        <f>EXP(-1.0587+0.8836*LN(AJ4)+0.284)</f>
        <v>0.4256319376708268</v>
      </c>
      <c r="AL4" s="22">
        <f t="shared" ref="AL4:AL67" si="4">(AJ4+AK4)*0.475*44/12</f>
        <v>2.33315116049349</v>
      </c>
      <c r="AM4" s="62">
        <f t="shared" ref="AM4:AM67" si="5">AL4+(AD4+AE4)*44/12</f>
        <v>295.66648449382683</v>
      </c>
      <c r="AN4" s="62">
        <f ca="1">AVERAGE(OFFSET($AM$3,0,0,'Données projet'!$E$10+1,1))-AVERAGE(OFFSET($H$3,0,0,'Données projet'!$E$10+1,1))</f>
        <v>272.66985936980086</v>
      </c>
      <c r="AO4" s="62">
        <f>$AO$3</f>
        <v>320.12040114313697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5.666666666666667</v>
      </c>
      <c r="BD4" s="13">
        <f>IF('Données projet'!$A$88&gt;35,BD3+BC4-BL3,IF(A4&lt;'Données projet'!$A$88,$BA$205^A4,IF(A4='Données projet'!$A$88,'Données projet'!$B$88,BD3+BC4-BL3)))</f>
        <v>1.1867200975826817</v>
      </c>
      <c r="BE4" s="14">
        <f>BD4*VLOOKUP('Données projet'!$B$11,Paramètres!$A$1:$I$88,3,0)*VLOOKUP('Données projet'!$B$11,Paramètres!$A$1:$I$88,5,0)</f>
        <v>0.55538500566869509</v>
      </c>
      <c r="BF4" s="14">
        <f>EXP(-1.0587+0.8836*LN(BE4)+0.284)</f>
        <v>0.27407880760927583</v>
      </c>
      <c r="BG4" s="22">
        <f t="shared" ref="BG4:BG67" si="7">(BE4+BF4)*0.475*44/12</f>
        <v>1.4446494747924661</v>
      </c>
      <c r="BH4" s="62">
        <f t="shared" ref="BH4:BH67" si="8">BG4+(AY4+AZ4)*44/12</f>
        <v>294.77798280812578</v>
      </c>
      <c r="BI4" s="62">
        <f ca="1">AVERAGE(OFFSET($BH$3,0,0,'Données projet'!$E$11+1,1))-AVERAGE(OFFSET($H$3,0,0,'Données projet'!$E$11+1,1))</f>
        <v>164.93326103756453</v>
      </c>
      <c r="BJ4" s="62">
        <f>$BJ$3</f>
        <v>115.86489547584461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297.76559610099633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10.8</v>
      </c>
      <c r="N5" s="14">
        <f>IF('Données projet'!$A$36&gt;35,N4+M5-V4,IF(A5&lt;'Données projet'!$A$36,$K$205^A5,IF(A5='Données projet'!$A$36,'Données projet'!$B$36,N4+M5-V4)))</f>
        <v>1.9706159877884823</v>
      </c>
      <c r="O5" s="14">
        <f>N5*VLOOKUP('Données projet'!$B$9,Paramètres!$A$1:$I$88,3,0)*VLOOKUP('Données projet'!$B$9,Paramètres!$A$1:$I$88,5,0)</f>
        <v>1.1015743371737616</v>
      </c>
      <c r="P5" s="14">
        <f t="shared" ref="P5:P68" si="33">EXP(-1.0587+0.8836*LN(O5)+0.284)</f>
        <v>0.50196734705126034</v>
      </c>
      <c r="Q5" s="22">
        <f t="shared" si="2"/>
        <v>2.7928351000252465</v>
      </c>
      <c r="R5" s="62">
        <f t="shared" si="0"/>
        <v>296.12616843335854</v>
      </c>
      <c r="S5" s="62">
        <f ca="1">AVERAGE(OFFSET($R$3,0,0,'Données projet'!$E$9+1,1))-AVERAGE(OFFSET($H$3,0,0,'Données projet'!$E$9+1,1))</f>
        <v>461.42631729930201</v>
      </c>
      <c r="T5" s="62">
        <f t="shared" ref="T5:T68" si="34">$T$3</f>
        <v>570.46734160592086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8.125</v>
      </c>
      <c r="AI5" s="14">
        <f>IF('Données projet'!$A$62&gt;35,AI4+AH5-AQ4,IF(A5&lt;'Données projet'!$A$62,$AF$205^A5,IF(A5='Données projet'!$A$62,'Données projet'!$B$62,AI4+AH5-AQ4)))</f>
        <v>2.145362915979006</v>
      </c>
      <c r="AJ5" s="14">
        <f>AI5*VLOOKUP('Données projet'!$B$10,Paramètres!$A$1:$I$88,3,0)*VLOOKUP('Données projet'!$B$10,Paramètres!$A$1:$I$88,5,0)</f>
        <v>1.3387064595708997</v>
      </c>
      <c r="AK5" s="14">
        <f t="shared" ref="AK5:AK68" si="35">EXP(-1.0587+0.8836*LN(AJ5)+0.284)</f>
        <v>0.59633630228054257</v>
      </c>
      <c r="AL5" s="22">
        <f t="shared" si="4"/>
        <v>3.370199476891262</v>
      </c>
      <c r="AM5" s="62">
        <f t="shared" si="5"/>
        <v>296.7035328102246</v>
      </c>
      <c r="AN5" s="62">
        <f ca="1">AVERAGE(OFFSET($AM$3,0,0,'Données projet'!$E$10+1,1))-AVERAGE(OFFSET($H$3,0,0,'Données projet'!$E$10+1,1))</f>
        <v>272.66985936980086</v>
      </c>
      <c r="AO5" s="62">
        <f t="shared" ref="AO5:AO68" si="36">$AO$3</f>
        <v>320.12040114313697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5.666666666666667</v>
      </c>
      <c r="BD5" s="13">
        <f>IF('Données projet'!$A$88&gt;35,BD4+BC5-BL4,IF(A5&lt;'Données projet'!$A$88,$BA$205^A5,IF(A5='Données projet'!$A$88,'Données projet'!$B$88,BD4+BC5-BL4)))</f>
        <v>1.4083045900066495</v>
      </c>
      <c r="BE5" s="14">
        <f>BD5*VLOOKUP('Données projet'!$B$11,Paramètres!$A$1:$I$88,3,0)*VLOOKUP('Données projet'!$B$11,Paramètres!$A$1:$I$88,5,0)</f>
        <v>0.65908654812311196</v>
      </c>
      <c r="BF5" s="14">
        <f t="shared" ref="BF5:BF68" si="37">EXP(-1.0587+0.8836*LN(BE5)+0.284)</f>
        <v>0.31883765901680755</v>
      </c>
      <c r="BG5" s="22">
        <f t="shared" si="7"/>
        <v>1.7032179941020262</v>
      </c>
      <c r="BH5" s="62">
        <f t="shared" si="8"/>
        <v>295.03655132743535</v>
      </c>
      <c r="BI5" s="62">
        <f ca="1">AVERAGE(OFFSET($BH$3,0,0,'Données projet'!$E$11+1,1))-AVERAGE(OFFSET($H$3,0,0,'Données projet'!$E$11+1,1))</f>
        <v>164.93326103756453</v>
      </c>
      <c r="BJ5" s="62">
        <f t="shared" ref="BJ5:BJ68" si="38">$BJ$3</f>
        <v>115.86489547584461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299.88942090728119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10.8</v>
      </c>
      <c r="N6" s="14">
        <f>IF('Données projet'!$A$36&gt;35,N5+M6-V5,IF(A6&lt;'Données projet'!$A$36,$K$205^A6,IF(A6='Données projet'!$A$36,'Données projet'!$B$36,N5+M6-V5)))</f>
        <v>2.7663237344451828</v>
      </c>
      <c r="O6" s="14">
        <f>N6*VLOOKUP('Données projet'!$B$9,Paramètres!$A$1:$I$88,3,0)*VLOOKUP('Données projet'!$B$9,Paramètres!$A$1:$I$88,5,0)</f>
        <v>1.5463749675548573</v>
      </c>
      <c r="P6" s="14">
        <f t="shared" si="33"/>
        <v>0.6773772891448272</v>
      </c>
      <c r="Q6" s="22">
        <f t="shared" si="2"/>
        <v>3.8730351804186167</v>
      </c>
      <c r="R6" s="62">
        <f t="shared" si="0"/>
        <v>297.20636851375195</v>
      </c>
      <c r="S6" s="62">
        <f ca="1">AVERAGE(OFFSET($R$3,0,0,'Données projet'!$E$9+1,1))-AVERAGE(OFFSET($H$3,0,0,'Données projet'!$E$9+1,1))</f>
        <v>461.42631729930201</v>
      </c>
      <c r="T6" s="62">
        <f t="shared" si="34"/>
        <v>570.46734160592086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8.125</v>
      </c>
      <c r="AI6" s="14">
        <f>IF('Données projet'!$A$62&gt;35,AI5+AH6-AQ5,IF(A6&lt;'Données projet'!$A$62,$AF$205^A6,IF(A6='Données projet'!$A$62,'Données projet'!$B$62,AI5+AH6-AQ5)))</f>
        <v>3.1423253856126592</v>
      </c>
      <c r="AJ6" s="14">
        <f>AI6*VLOOKUP('Données projet'!$B$10,Paramètres!$A$1:$I$88,3,0)*VLOOKUP('Données projet'!$B$10,Paramètres!$A$1:$I$88,5,0)</f>
        <v>1.9608110406222992</v>
      </c>
      <c r="AK6" s="14">
        <f t="shared" si="35"/>
        <v>0.83550352768089486</v>
      </c>
      <c r="AL6" s="22">
        <f t="shared" si="4"/>
        <v>4.8702478731280623</v>
      </c>
      <c r="AM6" s="62">
        <f t="shared" si="5"/>
        <v>298.20358120646137</v>
      </c>
      <c r="AN6" s="62">
        <f ca="1">AVERAGE(OFFSET($AM$3,0,0,'Données projet'!$E$10+1,1))-AVERAGE(OFFSET($H$3,0,0,'Données projet'!$E$10+1,1))</f>
        <v>272.66985936980086</v>
      </c>
      <c r="AO6" s="62">
        <f t="shared" si="36"/>
        <v>320.12040114313697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5.666666666666667</v>
      </c>
      <c r="BD6" s="13">
        <f>IF('Données projet'!$A$88&gt;35,BD5+BC6-BL5,IF(A6&lt;'Données projet'!$A$88,$BA$205^A6,IF(A6='Données projet'!$A$88,'Données projet'!$B$88,BD5+BC6-BL5)))</f>
        <v>1.6712633604788296</v>
      </c>
      <c r="BE6" s="14">
        <f>BD6*VLOOKUP('Données projet'!$B$11,Paramètres!$A$1:$I$88,3,0)*VLOOKUP('Données projet'!$B$11,Paramètres!$A$1:$I$88,5,0)</f>
        <v>0.78215125270409225</v>
      </c>
      <c r="BF6" s="14">
        <f t="shared" si="37"/>
        <v>0.37090592189177923</v>
      </c>
      <c r="BG6" s="22">
        <f t="shared" si="7"/>
        <v>2.0082412457544763</v>
      </c>
      <c r="BH6" s="62">
        <f t="shared" si="8"/>
        <v>295.34157457908782</v>
      </c>
      <c r="BI6" s="62">
        <f ca="1">AVERAGE(OFFSET($BH$3,0,0,'Données projet'!$E$11+1,1))-AVERAGE(OFFSET($H$3,0,0,'Données projet'!$E$11+1,1))</f>
        <v>164.93326103756453</v>
      </c>
      <c r="BJ6" s="62">
        <f t="shared" si="38"/>
        <v>115.86489547584461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301.9909165039561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10.8</v>
      </c>
      <c r="N7" s="14">
        <f>IF('Données projet'!$A$36&gt;35,N6+M7-V6,IF(A7&lt;'Données projet'!$A$36,$K$205^A7,IF(A7='Données projet'!$A$36,'Données projet'!$B$36,N6+M7-V6)))</f>
        <v>3.8833273713275762</v>
      </c>
      <c r="O7" s="14">
        <f>N7*VLOOKUP('Données projet'!$B$9,Paramètres!$A$1:$I$88,3,0)*VLOOKUP('Données projet'!$B$9,Paramètres!$A$1:$I$88,5,0)</f>
        <v>2.170780000572115</v>
      </c>
      <c r="P7" s="14">
        <f t="shared" si="33"/>
        <v>0.91408334535022773</v>
      </c>
      <c r="Q7" s="22">
        <f t="shared" si="2"/>
        <v>5.3728036608147471</v>
      </c>
      <c r="R7" s="62">
        <f t="shared" si="0"/>
        <v>298.70613699414804</v>
      </c>
      <c r="S7" s="62">
        <f ca="1">AVERAGE(OFFSET($R$3,0,0,'Données projet'!$E$9+1,1))-AVERAGE(OFFSET($H$3,0,0,'Données projet'!$E$9+1,1))</f>
        <v>461.42631729930201</v>
      </c>
      <c r="T7" s="62">
        <f t="shared" si="34"/>
        <v>570.46734160592086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8.125</v>
      </c>
      <c r="AI7" s="14">
        <f>IF('Données projet'!$A$62&gt;35,AI6+AH7-AQ6,IF(A7&lt;'Données projet'!$A$62,$AF$205^A7,IF(A7='Données projet'!$A$62,'Données projet'!$B$62,AI6+AH7-AQ6)))</f>
        <v>4.6025820412579437</v>
      </c>
      <c r="AJ7" s="14">
        <f>AI7*VLOOKUP('Données projet'!$B$10,Paramètres!$A$1:$I$88,3,0)*VLOOKUP('Données projet'!$B$10,Paramètres!$A$1:$I$88,5,0)</f>
        <v>2.8720111937449571</v>
      </c>
      <c r="AK7" s="14">
        <f t="shared" si="35"/>
        <v>1.1705913963272683</v>
      </c>
      <c r="AL7" s="22">
        <f t="shared" si="4"/>
        <v>7.0408661777091259</v>
      </c>
      <c r="AM7" s="62">
        <f t="shared" si="5"/>
        <v>300.37419951104243</v>
      </c>
      <c r="AN7" s="62">
        <f ca="1">AVERAGE(OFFSET($AM$3,0,0,'Données projet'!$E$10+1,1))-AVERAGE(OFFSET($H$3,0,0,'Données projet'!$E$10+1,1))</f>
        <v>272.66985936980086</v>
      </c>
      <c r="AO7" s="62">
        <f t="shared" si="36"/>
        <v>320.12040114313697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5.666666666666667</v>
      </c>
      <c r="BD7" s="13">
        <f>IF('Données projet'!$A$88&gt;35,BD6+BC7-BL6,IF(A7&lt;'Données projet'!$A$88,$BA$205^A7,IF(A7='Données projet'!$A$88,'Données projet'!$B$88,BD6+BC7-BL6)))</f>
        <v>1.9833218182337973</v>
      </c>
      <c r="BE7" s="14">
        <f>BD7*VLOOKUP('Données projet'!$B$11,Paramètres!$A$1:$I$88,3,0)*VLOOKUP('Données projet'!$B$11,Paramètres!$A$1:$I$88,5,0)</f>
        <v>0.92819461093341715</v>
      </c>
      <c r="BF7" s="14">
        <f t="shared" si="37"/>
        <v>0.43147727065433811</v>
      </c>
      <c r="BG7" s="22">
        <f t="shared" si="7"/>
        <v>2.3680951937653405</v>
      </c>
      <c r="BH7" s="62">
        <f t="shared" si="8"/>
        <v>295.70142852709864</v>
      </c>
      <c r="BI7" s="62">
        <f ca="1">AVERAGE(OFFSET($BH$3,0,0,'Données projet'!$E$11+1,1))-AVERAGE(OFFSET($H$3,0,0,'Données projet'!$E$11+1,1))</f>
        <v>164.93326103756453</v>
      </c>
      <c r="BJ7" s="62">
        <f t="shared" si="38"/>
        <v>115.86489547584461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304.07638038697939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10.8</v>
      </c>
      <c r="N8" s="14">
        <f>IF('Données projet'!$A$36&gt;35,N7+M8-V7,IF(A8&lt;'Données projet'!$A$36,$K$205^A8,IF(A8='Données projet'!$A$36,'Données projet'!$B$36,N7+M8-V7)))</f>
        <v>5.451361778496417</v>
      </c>
      <c r="O8" s="14">
        <f>N8*VLOOKUP('Données projet'!$B$9,Paramètres!$A$1:$I$88,3,0)*VLOOKUP('Données projet'!$B$9,Paramètres!$A$1:$I$88,5,0)</f>
        <v>3.0473112341794972</v>
      </c>
      <c r="P8" s="14">
        <f t="shared" si="33"/>
        <v>1.2335051316844765</v>
      </c>
      <c r="Q8" s="22">
        <f t="shared" si="2"/>
        <v>7.4557551705464205</v>
      </c>
      <c r="R8" s="62">
        <f t="shared" si="0"/>
        <v>300.78908850387973</v>
      </c>
      <c r="S8" s="62">
        <f ca="1">AVERAGE(OFFSET($R$3,0,0,'Données projet'!$E$9+1,1))-AVERAGE(OFFSET($H$3,0,0,'Données projet'!$E$9+1,1))</f>
        <v>461.42631729930201</v>
      </c>
      <c r="T8" s="62">
        <f t="shared" si="34"/>
        <v>570.46734160592086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8.125</v>
      </c>
      <c r="AI8" s="14">
        <f>IF('Données projet'!$A$62&gt;35,AI7+AH8-AQ7,IF(A8&lt;'Données projet'!$A$62,$AF$205^A8,IF(A8='Données projet'!$A$62,'Données projet'!$B$62,AI7+AH8-AQ7)))</f>
        <v>6.7414283522328295</v>
      </c>
      <c r="AJ8" s="14">
        <f>AI8*VLOOKUP('Données projet'!$B$10,Paramètres!$A$1:$I$88,3,0)*VLOOKUP('Données projet'!$B$10,Paramètres!$A$1:$I$88,5,0)</f>
        <v>4.2066512917932855</v>
      </c>
      <c r="AK8" s="14">
        <f t="shared" si="35"/>
        <v>1.6400699359809019</v>
      </c>
      <c r="AL8" s="22">
        <f t="shared" si="4"/>
        <v>10.183039471706708</v>
      </c>
      <c r="AM8" s="62">
        <f t="shared" si="5"/>
        <v>303.51637280504002</v>
      </c>
      <c r="AN8" s="62">
        <f ca="1">AVERAGE(OFFSET($AM$3,0,0,'Données projet'!$E$10+1,1))-AVERAGE(OFFSET($H$3,0,0,'Données projet'!$E$10+1,1))</f>
        <v>272.66985936980086</v>
      </c>
      <c r="AO8" s="62">
        <f t="shared" si="36"/>
        <v>320.12040114313697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5.666666666666667</v>
      </c>
      <c r="BD8" s="13">
        <f>IF('Données projet'!$A$88&gt;35,BD7+BC8-BL7,IF(A8&lt;'Données projet'!$A$88,$BA$205^A8,IF(A8='Données projet'!$A$88,'Données projet'!$B$88,BD7+BC8-BL7)))</f>
        <v>2.3536478616722736</v>
      </c>
      <c r="BE8" s="14">
        <f>BD8*VLOOKUP('Données projet'!$B$11,Paramètres!$A$1:$I$88,3,0)*VLOOKUP('Données projet'!$B$11,Paramètres!$A$1:$I$88,5,0)</f>
        <v>1.101507199262624</v>
      </c>
      <c r="BF8" s="14">
        <f t="shared" si="37"/>
        <v>0.50194031451899346</v>
      </c>
      <c r="BG8" s="22">
        <f t="shared" si="7"/>
        <v>2.7926710865029833</v>
      </c>
      <c r="BH8" s="62">
        <f t="shared" si="8"/>
        <v>296.12600441983631</v>
      </c>
      <c r="BI8" s="62">
        <f ca="1">AVERAGE(OFFSET($BH$3,0,0,'Données projet'!$E$11+1,1))-AVERAGE(OFFSET($H$3,0,0,'Données projet'!$E$11+1,1))</f>
        <v>164.93326103756453</v>
      </c>
      <c r="BJ8" s="62">
        <f t="shared" si="38"/>
        <v>115.86489547584461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306.1494049109736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10.8</v>
      </c>
      <c r="N9" s="14">
        <f>IF('Données projet'!$A$36&gt;35,N8+M9-V8,IF(A9&lt;'Données projet'!$A$36,$K$205^A9,IF(A9='Données projet'!$A$36,'Données projet'!$B$36,N8+M9-V8)))</f>
        <v>7.6525470037547425</v>
      </c>
      <c r="O9" s="14">
        <f>N9*VLOOKUP('Données projet'!$B$9,Paramètres!$A$1:$I$88,3,0)*VLOOKUP('Données projet'!$B$9,Paramètres!$A$1:$I$88,5,0)</f>
        <v>4.2777737750989013</v>
      </c>
      <c r="P9" s="14">
        <f t="shared" si="33"/>
        <v>1.6645472402836166</v>
      </c>
      <c r="Q9" s="22">
        <f t="shared" si="2"/>
        <v>10.349542435124553</v>
      </c>
      <c r="R9" s="62">
        <f t="shared" si="0"/>
        <v>303.68287576845785</v>
      </c>
      <c r="S9" s="62">
        <f ca="1">AVERAGE(OFFSET($R$3,0,0,'Données projet'!$E$9+1,1))-AVERAGE(OFFSET($H$3,0,0,'Données projet'!$E$9+1,1))</f>
        <v>461.42631729930201</v>
      </c>
      <c r="T9" s="62">
        <f t="shared" si="34"/>
        <v>570.46734160592086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8.125</v>
      </c>
      <c r="AI9" s="14">
        <f>IF('Données projet'!$A$62&gt;35,AI8+AH9-AQ8,IF(A9&lt;'Données projet'!$A$62,$AF$205^A9,IF(A9='Données projet'!$A$62,'Données projet'!$B$62,AI8+AH9-AQ8)))</f>
        <v>9.874208829065747</v>
      </c>
      <c r="AJ9" s="14">
        <f>AI9*VLOOKUP('Données projet'!$B$10,Paramètres!$A$1:$I$88,3,0)*VLOOKUP('Données projet'!$B$10,Paramètres!$A$1:$I$88,5,0)</f>
        <v>6.1615063093370264</v>
      </c>
      <c r="AK9" s="14">
        <f t="shared" si="35"/>
        <v>2.2978380016697058</v>
      </c>
      <c r="AL9" s="22">
        <f t="shared" si="4"/>
        <v>14.733358008336722</v>
      </c>
      <c r="AM9" s="62">
        <f t="shared" si="5"/>
        <v>308.06669134167004</v>
      </c>
      <c r="AN9" s="62">
        <f ca="1">AVERAGE(OFFSET($AM$3,0,0,'Données projet'!$E$10+1,1))-AVERAGE(OFFSET($H$3,0,0,'Données projet'!$E$10+1,1))</f>
        <v>272.66985936980086</v>
      </c>
      <c r="AO9" s="62">
        <f t="shared" si="36"/>
        <v>320.12040114313697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5.666666666666667</v>
      </c>
      <c r="BD9" s="13">
        <f>IF('Données projet'!$A$88&gt;35,BD8+BC9-BL8,IF(A9&lt;'Données projet'!$A$88,$BA$205^A9,IF(A9='Données projet'!$A$88,'Données projet'!$B$88,BD8+BC9-BL8)))</f>
        <v>2.7931212200789908</v>
      </c>
      <c r="BE9" s="14">
        <f>BD9*VLOOKUP('Données projet'!$B$11,Paramètres!$A$1:$I$88,3,0)*VLOOKUP('Données projet'!$B$11,Paramètres!$A$1:$I$88,5,0)</f>
        <v>1.3071807309969676</v>
      </c>
      <c r="BF9" s="14">
        <f t="shared" si="37"/>
        <v>0.58391043161404843</v>
      </c>
      <c r="BG9" s="22">
        <f t="shared" si="7"/>
        <v>3.2936504415475194</v>
      </c>
      <c r="BH9" s="62">
        <f t="shared" si="8"/>
        <v>296.62698377488084</v>
      </c>
      <c r="BI9" s="62">
        <f ca="1">AVERAGE(OFFSET($BH$3,0,0,'Données projet'!$E$11+1,1))-AVERAGE(OFFSET($H$3,0,0,'Données projet'!$E$11+1,1))</f>
        <v>164.93326103756453</v>
      </c>
      <c r="BJ9" s="62">
        <f t="shared" si="38"/>
        <v>115.86489547584461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308.2123059280633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10.8</v>
      </c>
      <c r="N10" s="14">
        <f>IF('Données projet'!$A$36&gt;35,N9+M10-V9,IF(A10&lt;'Données projet'!$A$36,$K$205^A10,IF(A10='Données projet'!$A$36,'Données projet'!$B$36,N9+M10-V9)))</f>
        <v>10.742540675924095</v>
      </c>
      <c r="O10" s="14">
        <f>N10*VLOOKUP('Données projet'!$B$9,Paramètres!$A$1:$I$88,3,0)*VLOOKUP('Données projet'!$B$9,Paramètres!$A$1:$I$88,5,0)</f>
        <v>6.0050802378415691</v>
      </c>
      <c r="P10" s="14">
        <f t="shared" si="33"/>
        <v>2.2462148263235089</v>
      </c>
      <c r="Q10" s="22">
        <f t="shared" si="2"/>
        <v>14.37100557008751</v>
      </c>
      <c r="R10" s="62">
        <f t="shared" si="0"/>
        <v>307.70433890342082</v>
      </c>
      <c r="S10" s="62">
        <f ca="1">AVERAGE(OFFSET($R$3,0,0,'Données projet'!$E$9+1,1))-AVERAGE(OFFSET($H$3,0,0,'Données projet'!$E$9+1,1))</f>
        <v>461.42631729930201</v>
      </c>
      <c r="T10" s="62">
        <f t="shared" si="34"/>
        <v>570.46734160592086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8.125</v>
      </c>
      <c r="AI10" s="14">
        <f>IF('Données projet'!$A$62&gt;35,AI9+AH10-AQ9,IF(A10&lt;'Données projet'!$A$62,$AF$205^A10,IF(A10='Données projet'!$A$62,'Données projet'!$B$62,AI9+AH10-AQ9)))</f>
        <v>14.462810387609768</v>
      </c>
      <c r="AJ10" s="14">
        <f>AI10*VLOOKUP('Données projet'!$B$10,Paramètres!$A$1:$I$88,3,0)*VLOOKUP('Données projet'!$B$10,Paramètres!$A$1:$I$88,5,0)</f>
        <v>9.0247936818684948</v>
      </c>
      <c r="AK10" s="14">
        <f t="shared" si="35"/>
        <v>3.21941117636517</v>
      </c>
      <c r="AL10" s="22">
        <f t="shared" si="4"/>
        <v>21.325323461423633</v>
      </c>
      <c r="AM10" s="62">
        <f t="shared" si="5"/>
        <v>314.65865679475695</v>
      </c>
      <c r="AN10" s="62">
        <f ca="1">AVERAGE(OFFSET($AM$3,0,0,'Données projet'!$E$10+1,1))-AVERAGE(OFFSET($H$3,0,0,'Données projet'!$E$10+1,1))</f>
        <v>272.66985936980086</v>
      </c>
      <c r="AO10" s="62">
        <f t="shared" si="36"/>
        <v>320.12040114313697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5.666666666666667</v>
      </c>
      <c r="BD10" s="13">
        <f>IF('Données projet'!$A$88&gt;35,BD9+BC10-BL9,IF(A10&lt;'Données projet'!$A$88,$BA$205^A10,IF(A10='Données projet'!$A$88,'Données projet'!$B$88,BD9+BC10-BL9)))</f>
        <v>3.3146530868523985</v>
      </c>
      <c r="BE10" s="14">
        <f>BD10*VLOOKUP('Données projet'!$B$11,Paramètres!$A$1:$I$88,3,0)*VLOOKUP('Données projet'!$B$11,Paramètres!$A$1:$I$88,5,0)</f>
        <v>1.5512576446469224</v>
      </c>
      <c r="BF10" s="14">
        <f t="shared" si="37"/>
        <v>0.67926680181972632</v>
      </c>
      <c r="BG10" s="22">
        <f t="shared" si="7"/>
        <v>3.8848300775960793</v>
      </c>
      <c r="BH10" s="62">
        <f t="shared" si="8"/>
        <v>297.21816341092938</v>
      </c>
      <c r="BI10" s="62">
        <f ca="1">AVERAGE(OFFSET($BH$3,0,0,'Données projet'!$E$11+1,1))-AVERAGE(OFFSET($H$3,0,0,'Données projet'!$E$11+1,1))</f>
        <v>164.93326103756453</v>
      </c>
      <c r="BJ10" s="62">
        <f t="shared" si="38"/>
        <v>115.86489547584461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310.26669652068324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10.8</v>
      </c>
      <c r="N11" s="14">
        <f>IF('Données projet'!$A$36&gt;35,N10+M11-V10,IF(A11&lt;'Données projet'!$A$36,$K$205^A11,IF(A11='Données projet'!$A$36,'Données projet'!$B$36,N10+M11-V10)))</f>
        <v>15.080231472901943</v>
      </c>
      <c r="O11" s="14">
        <f>N11*VLOOKUP('Données projet'!$B$9,Paramètres!$A$1:$I$88,3,0)*VLOOKUP('Données projet'!$B$9,Paramètres!$A$1:$I$88,5,0)</f>
        <v>8.4298493933521872</v>
      </c>
      <c r="P11" s="14">
        <f t="shared" si="33"/>
        <v>3.0311431985167756</v>
      </c>
      <c r="Q11" s="22">
        <f t="shared" si="2"/>
        <v>19.961228764171775</v>
      </c>
      <c r="R11" s="62">
        <f t="shared" si="0"/>
        <v>313.29456209750509</v>
      </c>
      <c r="S11" s="62">
        <f ca="1">AVERAGE(OFFSET($R$3,0,0,'Données projet'!$E$9+1,1))-AVERAGE(OFFSET($H$3,0,0,'Données projet'!$E$9+1,1))</f>
        <v>461.42631729930201</v>
      </c>
      <c r="T11" s="62">
        <f t="shared" si="34"/>
        <v>570.46734160592086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8.125</v>
      </c>
      <c r="AI11" s="14">
        <f>IF('Données projet'!$A$62&gt;35,AI10+AH11-AQ10,IF(A11&lt;'Données projet'!$A$62,$AF$205^A11,IF(A11='Données projet'!$A$62,'Données projet'!$B$62,AI10+AH11-AQ10)))</f>
        <v>21.18376144651014</v>
      </c>
      <c r="AJ11" s="14">
        <f>AI11*VLOOKUP('Données projet'!$B$10,Paramètres!$A$1:$I$88,3,0)*VLOOKUP('Données projet'!$B$10,Paramètres!$A$1:$I$88,5,0)</f>
        <v>13.218667142622326</v>
      </c>
      <c r="AK11" s="14">
        <f t="shared" si="35"/>
        <v>4.5105913972062481</v>
      </c>
      <c r="AL11" s="22">
        <f t="shared" si="4"/>
        <v>30.878458623534765</v>
      </c>
      <c r="AM11" s="62">
        <f t="shared" si="5"/>
        <v>324.21179195686807</v>
      </c>
      <c r="AN11" s="62">
        <f ca="1">AVERAGE(OFFSET($AM$3,0,0,'Données projet'!$E$10+1,1))-AVERAGE(OFFSET($H$3,0,0,'Données projet'!$E$10+1,1))</f>
        <v>272.66985936980086</v>
      </c>
      <c r="AO11" s="62">
        <f t="shared" si="36"/>
        <v>320.12040114313697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5.666666666666667</v>
      </c>
      <c r="BD11" s="13">
        <f>IF('Données projet'!$A$88&gt;35,BD10+BC11-BL10,IF(A11&lt;'Données projet'!$A$88,$BA$205^A11,IF(A11='Données projet'!$A$88,'Données projet'!$B$88,BD10+BC11-BL10)))</f>
        <v>3.9335654346822158</v>
      </c>
      <c r="BE11" s="14">
        <f>BD11*VLOOKUP('Données projet'!$B$11,Paramètres!$A$1:$I$88,3,0)*VLOOKUP('Données projet'!$B$11,Paramètres!$A$1:$I$88,5,0)</f>
        <v>1.8409086234312768</v>
      </c>
      <c r="BF11" s="14">
        <f t="shared" si="37"/>
        <v>0.79019548730956168</v>
      </c>
      <c r="BG11" s="22">
        <f t="shared" si="7"/>
        <v>4.5825063262069596</v>
      </c>
      <c r="BH11" s="62">
        <f t="shared" si="8"/>
        <v>297.91583965954027</v>
      </c>
      <c r="BI11" s="62">
        <f ca="1">AVERAGE(OFFSET($BH$3,0,0,'Données projet'!$E$11+1,1))-AVERAGE(OFFSET($H$3,0,0,'Données projet'!$E$11+1,1))</f>
        <v>164.93326103756453</v>
      </c>
      <c r="BJ11" s="62">
        <f t="shared" si="38"/>
        <v>115.86489547584461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312.31376232494284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10.8</v>
      </c>
      <c r="N12" s="14">
        <f>IF('Données projet'!$A$36&gt;35,N11+M12-V11,IF(A12&lt;'Données projet'!$A$36,$K$205^A12,IF(A12='Données projet'!$A$36,'Données projet'!$B$36,N11+M12-V11)))</f>
        <v>21.169422405444113</v>
      </c>
      <c r="O12" s="14">
        <f>N12*VLOOKUP('Données projet'!$B$9,Paramètres!$A$1:$I$88,3,0)*VLOOKUP('Données projet'!$B$9,Paramètres!$A$1:$I$88,5,0)</f>
        <v>11.83370712464326</v>
      </c>
      <c r="P12" s="14">
        <f t="shared" si="33"/>
        <v>4.0903608070972819</v>
      </c>
      <c r="Q12" s="22">
        <f t="shared" si="2"/>
        <v>27.734418314448106</v>
      </c>
      <c r="R12" s="62">
        <f t="shared" si="0"/>
        <v>321.06775164778139</v>
      </c>
      <c r="S12" s="62">
        <f ca="1">AVERAGE(OFFSET($R$3,0,0,'Données projet'!$E$9+1,1))-AVERAGE(OFFSET($H$3,0,0,'Données projet'!$E$9+1,1))</f>
        <v>461.42631729930201</v>
      </c>
      <c r="T12" s="62">
        <f t="shared" si="34"/>
        <v>570.46734160592086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8.125</v>
      </c>
      <c r="AI12" s="14">
        <f>IF('Données projet'!$A$62&gt;35,AI11+AH12-AQ11,IF(A12&lt;'Données projet'!$A$62,$AF$205^A12,IF(A12='Données projet'!$A$62,'Données projet'!$B$62,AI11+AH12-AQ11)))</f>
        <v>31.02797706641395</v>
      </c>
      <c r="AJ12" s="14">
        <f>AI12*VLOOKUP('Données projet'!$B$10,Paramètres!$A$1:$I$88,3,0)*VLOOKUP('Données projet'!$B$10,Paramètres!$A$1:$I$88,5,0)</f>
        <v>19.361457689442304</v>
      </c>
      <c r="AK12" s="14">
        <f t="shared" si="35"/>
        <v>6.3196136305651205</v>
      </c>
      <c r="AL12" s="22">
        <f t="shared" si="4"/>
        <v>44.727865882346265</v>
      </c>
      <c r="AM12" s="62">
        <f t="shared" si="5"/>
        <v>338.06119921567961</v>
      </c>
      <c r="AN12" s="62">
        <f ca="1">AVERAGE(OFFSET($AM$3,0,0,'Données projet'!$E$10+1,1))-AVERAGE(OFFSET($H$3,0,0,'Données projet'!$E$10+1,1))</f>
        <v>272.66985936980086</v>
      </c>
      <c r="AO12" s="62">
        <f t="shared" si="36"/>
        <v>320.12040114313697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5.666666666666667</v>
      </c>
      <c r="BD12" s="13">
        <f>IF('Données projet'!$A$88&gt;35,BD11+BC12-BL11,IF(A12&lt;'Données projet'!$A$88,$BA$205^A12,IF(A12='Données projet'!$A$88,'Données projet'!$B$88,BD11+BC12-BL11)))</f>
        <v>4.6680411564939428</v>
      </c>
      <c r="BE12" s="14">
        <f>BD12*VLOOKUP('Données projet'!$B$11,Paramètres!$A$1:$I$88,3,0)*VLOOKUP('Données projet'!$B$11,Paramètres!$A$1:$I$88,5,0)</f>
        <v>2.1846432612391653</v>
      </c>
      <c r="BF12" s="14">
        <f t="shared" si="37"/>
        <v>0.91923954842431754</v>
      </c>
      <c r="BG12" s="22">
        <f t="shared" si="7"/>
        <v>5.4059292268305654</v>
      </c>
      <c r="BH12" s="62">
        <f t="shared" si="8"/>
        <v>298.73926256016387</v>
      </c>
      <c r="BI12" s="62">
        <f ca="1">AVERAGE(OFFSET($BH$3,0,0,'Données projet'!$E$11+1,1))-AVERAGE(OFFSET($H$3,0,0,'Données projet'!$E$11+1,1))</f>
        <v>164.93326103756453</v>
      </c>
      <c r="BJ12" s="62">
        <f t="shared" si="38"/>
        <v>115.86489547584461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314.35441004548358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10.8</v>
      </c>
      <c r="N13" s="14">
        <f>IF('Données projet'!$A$36&gt;35,N12+M13-V12,IF(A13&lt;'Données projet'!$A$36,$K$205^A13,IF(A13='Données projet'!$A$36,'Données projet'!$B$36,N12+M13-V12)))</f>
        <v>29.717345240051621</v>
      </c>
      <c r="O13" s="14">
        <f>N13*VLOOKUP('Données projet'!$B$9,Paramètres!$A$1:$I$88,3,0)*VLOOKUP('Données projet'!$B$9,Paramètres!$A$1:$I$88,5,0)</f>
        <v>16.611995989188856</v>
      </c>
      <c r="P13" s="14">
        <f t="shared" si="33"/>
        <v>5.5197166337850669</v>
      </c>
      <c r="Q13" s="22">
        <f t="shared" si="2"/>
        <v>38.546066151679575</v>
      </c>
      <c r="R13" s="62">
        <f t="shared" si="0"/>
        <v>331.87939948501287</v>
      </c>
      <c r="S13" s="62">
        <f ca="1">AVERAGE(OFFSET($R$3,0,0,'Données projet'!$E$9+1,1))-AVERAGE(OFFSET($H$3,0,0,'Données projet'!$E$9+1,1))</f>
        <v>461.42631729930201</v>
      </c>
      <c r="T13" s="62">
        <f t="shared" si="34"/>
        <v>570.46734160592086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8.125</v>
      </c>
      <c r="AI13" s="14">
        <f>IF('Données projet'!$A$62&gt;35,AI12+AH13-AQ12,IF(A13&lt;'Données projet'!$A$62,$AF$205^A13,IF(A13='Données projet'!$A$62,'Données projet'!$B$62,AI12+AH13-AQ12)))</f>
        <v>45.446856228288638</v>
      </c>
      <c r="AJ13" s="14">
        <f>AI13*VLOOKUP('Données projet'!$B$10,Paramètres!$A$1:$I$88,3,0)*VLOOKUP('Données projet'!$B$10,Paramètres!$A$1:$I$88,5,0)</f>
        <v>28.358838286452109</v>
      </c>
      <c r="AK13" s="14">
        <f t="shared" si="35"/>
        <v>8.8541641045918666</v>
      </c>
      <c r="AL13" s="22">
        <f t="shared" si="4"/>
        <v>64.812645831068252</v>
      </c>
      <c r="AM13" s="62">
        <f t="shared" si="5"/>
        <v>358.14597916440158</v>
      </c>
      <c r="AN13" s="62">
        <f ca="1">AVERAGE(OFFSET($AM$3,0,0,'Données projet'!$E$10+1,1))-AVERAGE(OFFSET($H$3,0,0,'Données projet'!$E$10+1,1))</f>
        <v>272.66985936980086</v>
      </c>
      <c r="AO13" s="62">
        <f t="shared" si="36"/>
        <v>320.12040114313697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5.666666666666667</v>
      </c>
      <c r="BD13" s="13">
        <f>IF('Données projet'!$A$88&gt;35,BD12+BC13-BL12,IF(A13&lt;'Données projet'!$A$88,$BA$205^A13,IF(A13='Données projet'!$A$88,'Données projet'!$B$88,BD12+BC13-BL12)))</f>
        <v>5.5396582567544659</v>
      </c>
      <c r="BE13" s="14">
        <f>BD13*VLOOKUP('Données projet'!$B$11,Paramètres!$A$1:$I$88,3,0)*VLOOKUP('Données projet'!$B$11,Paramètres!$A$1:$I$88,5,0)</f>
        <v>2.59256006416109</v>
      </c>
      <c r="BF13" s="14">
        <f t="shared" si="37"/>
        <v>1.069357343793981</v>
      </c>
      <c r="BG13" s="22">
        <f t="shared" si="7"/>
        <v>6.377839485521748</v>
      </c>
      <c r="BH13" s="62">
        <f t="shared" si="8"/>
        <v>299.71117281885506</v>
      </c>
      <c r="BI13" s="62">
        <f ca="1">AVERAGE(OFFSET($BH$3,0,0,'Données projet'!$E$11+1,1))-AVERAGE(OFFSET($H$3,0,0,'Données projet'!$E$11+1,1))</f>
        <v>164.93326103756453</v>
      </c>
      <c r="BJ13" s="62">
        <f t="shared" si="38"/>
        <v>115.86489547584461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316.3893545523037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10.8</v>
      </c>
      <c r="N14" s="14">
        <f>IF('Données projet'!$A$36&gt;35,N13+M14-V13,IF(A14&lt;'Données projet'!$A$36,$K$205^A14,IF(A14='Données projet'!$A$36,'Données projet'!$B$36,N13+M14-V13)))</f>
        <v>41.716802244415881</v>
      </c>
      <c r="O14" s="14">
        <f>N14*VLOOKUP('Données projet'!$B$9,Paramètres!$A$1:$I$88,3,0)*VLOOKUP('Données projet'!$B$9,Paramètres!$A$1:$I$88,5,0)</f>
        <v>23.319692454628481</v>
      </c>
      <c r="P14" s="14">
        <f t="shared" si="33"/>
        <v>7.4485536005574575</v>
      </c>
      <c r="Q14" s="22">
        <f t="shared" si="2"/>
        <v>53.58802854611551</v>
      </c>
      <c r="R14" s="62">
        <f t="shared" si="0"/>
        <v>346.9213618794488</v>
      </c>
      <c r="S14" s="62">
        <f ca="1">AVERAGE(OFFSET($R$3,0,0,'Données projet'!$E$9+1,1))-AVERAGE(OFFSET($H$3,0,0,'Données projet'!$E$9+1,1))</f>
        <v>461.42631729930201</v>
      </c>
      <c r="T14" s="62">
        <f t="shared" si="34"/>
        <v>570.46734160592086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8.125</v>
      </c>
      <c r="AI14" s="14">
        <f>IF('Données projet'!$A$62&gt;35,AI13+AH14-AQ13,IF(A14&lt;'Données projet'!$A$62,$AF$205^A14,IF(A14='Données projet'!$A$62,'Données projet'!$B$62,AI13+AH14-AQ13)))</f>
        <v>66.566271356131551</v>
      </c>
      <c r="AJ14" s="14">
        <f>AI14*VLOOKUP('Données projet'!$B$10,Paramètres!$A$1:$I$88,3,0)*VLOOKUP('Données projet'!$B$10,Paramètres!$A$1:$I$88,5,0)</f>
        <v>41.537353326226089</v>
      </c>
      <c r="AK14" s="14">
        <f t="shared" si="35"/>
        <v>12.405223890884086</v>
      </c>
      <c r="AL14" s="22">
        <f t="shared" si="4"/>
        <v>93.949988653133559</v>
      </c>
      <c r="AM14" s="62">
        <f t="shared" si="5"/>
        <v>387.28332198646689</v>
      </c>
      <c r="AN14" s="62">
        <f ca="1">AVERAGE(OFFSET($AM$3,0,0,'Données projet'!$E$10+1,1))-AVERAGE(OFFSET($H$3,0,0,'Données projet'!$E$10+1,1))</f>
        <v>272.66985936980086</v>
      </c>
      <c r="AO14" s="62">
        <f t="shared" si="36"/>
        <v>320.12040114313697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5.666666666666667</v>
      </c>
      <c r="BD14" s="13">
        <f>IF('Données projet'!$A$88&gt;35,BD13+BC14-BL13,IF(A14&lt;'Données projet'!$A$88,$BA$205^A14,IF(A14='Données projet'!$A$88,'Données projet'!$B$88,BD13+BC14-BL13)))</f>
        <v>6.5740237870303684</v>
      </c>
      <c r="BE14" s="14">
        <f>BD14*VLOOKUP('Données projet'!$B$11,Paramètres!$A$1:$I$88,3,0)*VLOOKUP('Données projet'!$B$11,Paramètres!$A$1:$I$88,5,0)</f>
        <v>3.0766431323302124</v>
      </c>
      <c r="BF14" s="14">
        <f t="shared" si="37"/>
        <v>1.24399035124876</v>
      </c>
      <c r="BG14" s="22">
        <f t="shared" si="7"/>
        <v>7.5251033172333761</v>
      </c>
      <c r="BH14" s="62">
        <f t="shared" si="8"/>
        <v>300.85843665056672</v>
      </c>
      <c r="BI14" s="62">
        <f ca="1">AVERAGE(OFFSET($BH$3,0,0,'Données projet'!$E$11+1,1))-AVERAGE(OFFSET($H$3,0,0,'Données projet'!$E$11+1,1))</f>
        <v>164.93326103756453</v>
      </c>
      <c r="BJ14" s="62">
        <f t="shared" si="38"/>
        <v>115.86489547584461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318.4191732840215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10.8</v>
      </c>
      <c r="N15" s="14">
        <f>IF('Données projet'!$A$36&gt;35,N14+M15-V14,IF(A15&lt;'Données projet'!$A$36,$K$205^A15,IF(A15='Données projet'!$A$36,'Données projet'!$B$36,N14+M15-V14)))</f>
        <v>58.561475644675681</v>
      </c>
      <c r="O15" s="14">
        <f>N15*VLOOKUP('Données projet'!$B$9,Paramètres!$A$1:$I$88,3,0)*VLOOKUP('Données projet'!$B$9,Paramètres!$A$1:$I$88,5,0)</f>
        <v>32.735864885373708</v>
      </c>
      <c r="P15" s="14">
        <f t="shared" si="33"/>
        <v>10.051412857100269</v>
      </c>
      <c r="Q15" s="22">
        <f t="shared" si="2"/>
        <v>74.521175401475503</v>
      </c>
      <c r="R15" s="62">
        <f t="shared" si="0"/>
        <v>367.8545087348088</v>
      </c>
      <c r="S15" s="62">
        <f ca="1">AVERAGE(OFFSET($R$3,0,0,'Données projet'!$E$9+1,1))-AVERAGE(OFFSET($H$3,0,0,'Données projet'!$E$9+1,1))</f>
        <v>461.42631729930201</v>
      </c>
      <c r="T15" s="62">
        <f t="shared" si="34"/>
        <v>570.46734160592086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97.5</v>
      </c>
      <c r="AG15" s="13">
        <f>VLOOKUP(A15,'Données projet'!$A$61:$I$81,9,0)</f>
        <v>8.125</v>
      </c>
      <c r="AH15" s="13">
        <f t="array" ref="AH15">INDEX(AG:AG,MIN(IF(ISNUMBER(AG15:AG211),ROW(AG15:AG211),"")))</f>
        <v>8.125</v>
      </c>
      <c r="AI15" s="14">
        <f>IF('Données projet'!$A$62&gt;35,AI14+AH15-AQ14,IF(A15&lt;'Données projet'!$A$62,$AF$205^A15,IF(A15='Données projet'!$A$62,'Données projet'!$B$62,AI14+AH15-AQ14)))</f>
        <v>97.5</v>
      </c>
      <c r="AJ15" s="14">
        <f>AI15*VLOOKUP('Données projet'!$B$10,Paramètres!$A$1:$I$88,3,0)*VLOOKUP('Données projet'!$B$10,Paramètres!$A$1:$I$88,5,0)</f>
        <v>60.839999999999996</v>
      </c>
      <c r="AK15" s="14">
        <f t="shared" si="35"/>
        <v>17.380475216531455</v>
      </c>
      <c r="AL15" s="22">
        <f t="shared" si="4"/>
        <v>136.23399433545893</v>
      </c>
      <c r="AM15" s="62">
        <f t="shared" si="5"/>
        <v>429.56732766879225</v>
      </c>
      <c r="AN15" s="62">
        <f ca="1">AVERAGE(OFFSET($AM$3,0,0,'Données projet'!$E$10+1,1))-AVERAGE(OFFSET($H$3,0,0,'Données projet'!$E$10+1,1))</f>
        <v>272.66985936980086</v>
      </c>
      <c r="AO15" s="62">
        <f t="shared" si="36"/>
        <v>320.12040114313697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18.5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0.33600000000000002</v>
      </c>
      <c r="AT15" s="17">
        <f>IF(ISNA(VLOOKUP(A15,'Données projet'!$A$61:$I$81,7,0)),0%,VLOOKUP(A15,'Données projet'!$A$61:$I$81,7,0))</f>
        <v>0.44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5.1251973600059122</v>
      </c>
      <c r="AW15" s="23">
        <f>EXP(-LN(2)/2)*AW14+(1-EXP(-LN(2)/2))/(LN(2)/2)*AQ15*AT15*VLOOKUP('Données projet'!$B$10,Paramètres!$A$1:$I$88,3,0)*0.475*44/12</f>
        <v>5.7510154427640288</v>
      </c>
      <c r="AX15" s="23">
        <f t="shared" si="6"/>
        <v>10.876212802769942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5.666666666666667</v>
      </c>
      <c r="BD15" s="13">
        <f>IF('Données projet'!$A$88&gt;35,BD14+BC15-BL14,IF(A15&lt;'Données projet'!$A$88,$BA$205^A15,IF(A15='Données projet'!$A$88,'Données projet'!$B$88,BD14+BC15-BL14)))</f>
        <v>7.8015261500555493</v>
      </c>
      <c r="BE15" s="14">
        <f>BD15*VLOOKUP('Données projet'!$B$11,Paramètres!$A$1:$I$88,3,0)*VLOOKUP('Données projet'!$B$11,Paramètres!$A$1:$I$88,5,0)</f>
        <v>3.6511142382259969</v>
      </c>
      <c r="BF15" s="14">
        <f t="shared" si="37"/>
        <v>1.4471420643258348</v>
      </c>
      <c r="BG15" s="22">
        <f t="shared" si="7"/>
        <v>8.8794630602777733</v>
      </c>
      <c r="BH15" s="62">
        <f t="shared" si="8"/>
        <v>302.21279639361109</v>
      </c>
      <c r="BI15" s="62">
        <f ca="1">AVERAGE(OFFSET($BH$3,0,0,'Données projet'!$E$11+1,1))-AVERAGE(OFFSET($H$3,0,0,'Données projet'!$E$11+1,1))</f>
        <v>164.93326103756453</v>
      </c>
      <c r="BJ15" s="62">
        <f t="shared" si="38"/>
        <v>115.86489547584461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320.4443419514879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10.8</v>
      </c>
      <c r="N16" s="14">
        <f>IF('Données projet'!$A$36&gt;35,N15+M16-V15,IF(A16&lt;'Données projet'!$A$36,$K$205^A16,IF(A16='Données projet'!$A$36,'Données projet'!$B$36,N15+M16-V15)))</f>
        <v>82.20779746225638</v>
      </c>
      <c r="O16" s="14">
        <f>N16*VLOOKUP('Données projet'!$B$9,Paramètres!$A$1:$I$88,3,0)*VLOOKUP('Données projet'!$B$9,Paramètres!$A$1:$I$88,5,0)</f>
        <v>45.954158781401318</v>
      </c>
      <c r="P16" s="14">
        <f t="shared" si="33"/>
        <v>13.563828072113143</v>
      </c>
      <c r="Q16" s="22">
        <f t="shared" si="2"/>
        <v>103.66049376987102</v>
      </c>
      <c r="R16" s="62">
        <f t="shared" si="0"/>
        <v>396.99382710320435</v>
      </c>
      <c r="S16" s="62">
        <f ca="1">AVERAGE(OFFSET($R$3,0,0,'Données projet'!$E$9+1,1))-AVERAGE(OFFSET($H$3,0,0,'Données projet'!$E$9+1,1))</f>
        <v>461.42631729930201</v>
      </c>
      <c r="T16" s="62">
        <f t="shared" si="34"/>
        <v>570.46734160592086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24.166666666666668</v>
      </c>
      <c r="AI16" s="14">
        <f>IF('Données projet'!$A$62&gt;35,AI15+AH16-AQ15,IF(A16&lt;'Données projet'!$A$62,$AF$205^A16,IF(A16='Données projet'!$A$62,'Données projet'!$B$62,AI15+AH16-AQ15)))</f>
        <v>103.16666666666667</v>
      </c>
      <c r="AJ16" s="14">
        <f>AI16*VLOOKUP('Données projet'!$B$10,Paramètres!$A$1:$I$88,3,0)*VLOOKUP('Données projet'!$B$10,Paramètres!$A$1:$I$88,5,0)</f>
        <v>64.376000000000005</v>
      </c>
      <c r="AK16" s="14">
        <f t="shared" si="35"/>
        <v>18.270085549966662</v>
      </c>
      <c r="AL16" s="22">
        <f t="shared" si="4"/>
        <v>143.94193233285861</v>
      </c>
      <c r="AM16" s="62">
        <f t="shared" si="5"/>
        <v>437.2752656661919</v>
      </c>
      <c r="AN16" s="62">
        <f ca="1">AVERAGE(OFFSET($AM$3,0,0,'Données projet'!$E$10+1,1))-AVERAGE(OFFSET($H$3,0,0,'Données projet'!$E$10+1,1))</f>
        <v>272.66985936980086</v>
      </c>
      <c r="AO16" s="62">
        <f t="shared" si="36"/>
        <v>320.12040114313697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4.9850485686741353</v>
      </c>
      <c r="AW16" s="23">
        <f>EXP(-LN(2)/2)*AW15+(1-EXP(-LN(2)/2))/(LN(2)/2)*AQ16*AT16*VLOOKUP('Données projet'!$B$10,Paramètres!$A$1:$I$88,3,0)*0.475*44/12</f>
        <v>4.0665820182869998</v>
      </c>
      <c r="AX16" s="23">
        <f t="shared" si="6"/>
        <v>9.0516305869611351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5.666666666666667</v>
      </c>
      <c r="BD16" s="13">
        <f>IF('Données projet'!$A$88&gt;35,BD15+BC16-BL15,IF(A16&lt;'Données projet'!$A$88,$BA$205^A16,IF(A16='Données projet'!$A$88,'Données projet'!$B$88,BD15+BC16-BL15)))</f>
        <v>9.2582278740877637</v>
      </c>
      <c r="BE16" s="14">
        <f>BD16*VLOOKUP('Données projet'!$B$11,Paramètres!$A$1:$I$88,3,0)*VLOOKUP('Données projet'!$B$11,Paramètres!$A$1:$I$88,5,0)</f>
        <v>4.3328506450730728</v>
      </c>
      <c r="BF16" s="14">
        <f t="shared" si="37"/>
        <v>1.683469773088665</v>
      </c>
      <c r="BG16" s="22">
        <f t="shared" si="7"/>
        <v>10.478424728298359</v>
      </c>
      <c r="BH16" s="62">
        <f t="shared" si="8"/>
        <v>303.81175806163168</v>
      </c>
      <c r="BI16" s="62">
        <f ca="1">AVERAGE(OFFSET($BH$3,0,0,'Données projet'!$E$11+1,1))-AVERAGE(OFFSET($H$3,0,0,'Données projet'!$E$11+1,1))</f>
        <v>164.93326103756453</v>
      </c>
      <c r="BJ16" s="62">
        <f t="shared" si="38"/>
        <v>115.86489547584461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322.46525892181711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10.8</v>
      </c>
      <c r="N17" s="14">
        <f>IF('Données projet'!$A$36&gt;35,N16+M17-V16,IF(A17&lt;'Données projet'!$A$36,$K$205^A17,IF(A17='Données projet'!$A$36,'Données projet'!$B$36,N16+M17-V16)))</f>
        <v>115.40218017388374</v>
      </c>
      <c r="O17" s="14">
        <f>N17*VLOOKUP('Données projet'!$B$9,Paramètres!$A$1:$I$88,3,0)*VLOOKUP('Données projet'!$B$9,Paramètres!$A$1:$I$88,5,0)</f>
        <v>64.509818717201014</v>
      </c>
      <c r="P17" s="14">
        <f t="shared" si="33"/>
        <v>18.303638959560171</v>
      </c>
      <c r="Q17" s="22">
        <f t="shared" si="2"/>
        <v>144.23343878702573</v>
      </c>
      <c r="R17" s="62">
        <f t="shared" si="0"/>
        <v>437.56677212035902</v>
      </c>
      <c r="S17" s="62">
        <f ca="1">AVERAGE(OFFSET($R$3,0,0,'Données projet'!$E$9+1,1))-AVERAGE(OFFSET($H$3,0,0,'Données projet'!$E$9+1,1))</f>
        <v>461.42631729930201</v>
      </c>
      <c r="T17" s="62">
        <f t="shared" si="34"/>
        <v>570.46734160592086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24.166666666666668</v>
      </c>
      <c r="AI17" s="14">
        <f>IF('Données projet'!$A$62&gt;35,AI16+AH17-AQ16,IF(A17&lt;'Données projet'!$A$62,$AF$205^A17,IF(A17='Données projet'!$A$62,'Données projet'!$B$62,AI16+AH17-AQ16)))</f>
        <v>127.33333333333334</v>
      </c>
      <c r="AJ17" s="14">
        <f>AI17*VLOOKUP('Données projet'!$B$10,Paramètres!$A$1:$I$88,3,0)*VLOOKUP('Données projet'!$B$10,Paramètres!$A$1:$I$88,5,0)</f>
        <v>79.456000000000003</v>
      </c>
      <c r="AK17" s="14">
        <f t="shared" si="35"/>
        <v>22.004120526514548</v>
      </c>
      <c r="AL17" s="22">
        <f t="shared" si="4"/>
        <v>176.70970991701282</v>
      </c>
      <c r="AM17" s="62">
        <f t="shared" si="5"/>
        <v>470.04304325034616</v>
      </c>
      <c r="AN17" s="62">
        <f ca="1">AVERAGE(OFFSET($AM$3,0,0,'Données projet'!$E$10+1,1))-AVERAGE(OFFSET($H$3,0,0,'Données projet'!$E$10+1,1))</f>
        <v>272.66985936980086</v>
      </c>
      <c r="AO17" s="62">
        <f t="shared" si="36"/>
        <v>320.12040114313697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4.8487321534114303</v>
      </c>
      <c r="AW17" s="23">
        <f>EXP(-LN(2)/2)*AW16+(1-EXP(-LN(2)/2))/(LN(2)/2)*AQ17*AT17*VLOOKUP('Données projet'!$B$10,Paramètres!$A$1:$I$88,3,0)*0.475*44/12</f>
        <v>2.8755077213820144</v>
      </c>
      <c r="AX17" s="23">
        <f t="shared" si="6"/>
        <v>7.7242398747934446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5.666666666666667</v>
      </c>
      <c r="BD17" s="13">
        <f>IF('Données projet'!$A$88&gt;35,BD16+BC17-BL16,IF(A17&lt;'Données projet'!$A$88,$BA$205^A17,IF(A17='Données projet'!$A$88,'Données projet'!$B$88,BD16+BC17-BL16)))</f>
        <v>10.986925086180136</v>
      </c>
      <c r="BE17" s="14">
        <f>BD17*VLOOKUP('Données projet'!$B$11,Paramètres!$A$1:$I$88,3,0)*VLOOKUP('Données projet'!$B$11,Paramètres!$A$1:$I$88,5,0)</f>
        <v>5.141880940332304</v>
      </c>
      <c r="BF17" s="14">
        <f t="shared" si="37"/>
        <v>1.95839133335087</v>
      </c>
      <c r="BG17" s="22">
        <f t="shared" si="7"/>
        <v>12.366307543331528</v>
      </c>
      <c r="BH17" s="62">
        <f t="shared" si="8"/>
        <v>305.69964087666483</v>
      </c>
      <c r="BI17" s="62">
        <f ca="1">AVERAGE(OFFSET($BH$3,0,0,'Données projet'!$E$11+1,1))-AVERAGE(OFFSET($H$3,0,0,'Données projet'!$E$11+1,1))</f>
        <v>164.93326103756453</v>
      </c>
      <c r="BJ17" s="62">
        <f t="shared" si="38"/>
        <v>115.86489547584461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324.48226242776991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162</v>
      </c>
      <c r="L18" s="13">
        <f>VLOOKUP(A18,'Données projet'!$A$35:$I$55,9,0)</f>
        <v>10.8</v>
      </c>
      <c r="M18" s="13">
        <f t="array" ref="M18">INDEX(L:L,MIN(IF(ISNUMBER(L18:L214),ROW(L18:L214),"")))</f>
        <v>10.8</v>
      </c>
      <c r="N18" s="14">
        <f>IF('Données projet'!$A$36&gt;35,N17+M18-V17,IF(A18&lt;'Données projet'!$A$36,$K$205^A18,IF(A18='Données projet'!$A$36,'Données projet'!$B$36,N17+M18-V17)))</f>
        <v>162</v>
      </c>
      <c r="O18" s="14">
        <f>N18*VLOOKUP('Données projet'!$B$9,Paramètres!$A$1:$I$88,3,0)*VLOOKUP('Données projet'!$B$9,Paramètres!$A$1:$I$88,5,0)</f>
        <v>90.557999999999993</v>
      </c>
      <c r="P18" s="14">
        <f t="shared" si="33"/>
        <v>24.699752708509138</v>
      </c>
      <c r="Q18" s="22">
        <f t="shared" si="2"/>
        <v>200.74058596732007</v>
      </c>
      <c r="R18" s="62">
        <f t="shared" si="0"/>
        <v>494.07391930065342</v>
      </c>
      <c r="S18" s="62">
        <f ca="1">AVERAGE(OFFSET($R$3,0,0,'Données projet'!$E$9+1,1))-AVERAGE(OFFSET($H$3,0,0,'Données projet'!$E$9+1,1))</f>
        <v>461.42631729930201</v>
      </c>
      <c r="T18" s="62">
        <f t="shared" si="34"/>
        <v>570.46734160592086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0.30800000000000005</v>
      </c>
      <c r="Y18" s="17">
        <f>IF(ISNA(VLOOKUP(A18,'Données projet'!$A$35:$I$55,7,0)),0%,VLOOKUP(A18,'Données projet'!$A$35:$I$55,7,0))</f>
        <v>0.44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24.166666666666668</v>
      </c>
      <c r="AI18" s="14">
        <f>IF('Données projet'!$A$62&gt;35,AI17+AH18-AQ17,IF(A18&lt;'Données projet'!$A$62,$AF$205^A18,IF(A18='Données projet'!$A$62,'Données projet'!$B$62,AI17+AH18-AQ17)))</f>
        <v>151.5</v>
      </c>
      <c r="AJ18" s="14">
        <f>AI18*VLOOKUP('Données projet'!$B$10,Paramètres!$A$1:$I$88,3,0)*VLOOKUP('Données projet'!$B$10,Paramètres!$A$1:$I$88,5,0)</f>
        <v>94.536000000000001</v>
      </c>
      <c r="AK18" s="14">
        <f t="shared" si="35"/>
        <v>25.656048664271697</v>
      </c>
      <c r="AL18" s="22">
        <f t="shared" si="4"/>
        <v>209.33448475693987</v>
      </c>
      <c r="AM18" s="62">
        <f t="shared" si="5"/>
        <v>502.66781809027316</v>
      </c>
      <c r="AN18" s="62">
        <f ca="1">AVERAGE(OFFSET($AM$3,0,0,'Données projet'!$E$10+1,1))-AVERAGE(OFFSET($H$3,0,0,'Données projet'!$E$10+1,1))</f>
        <v>272.66985936980086</v>
      </c>
      <c r="AO18" s="62">
        <f t="shared" si="36"/>
        <v>320.12040114313697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4.7161433176926524</v>
      </c>
      <c r="AW18" s="23">
        <f>EXP(-LN(2)/2)*AW17+(1-EXP(-LN(2)/2))/(LN(2)/2)*AQ18*AT18*VLOOKUP('Données projet'!$B$10,Paramètres!$A$1:$I$88,3,0)*0.475*44/12</f>
        <v>2.0332910091434999</v>
      </c>
      <c r="AX18" s="23">
        <f t="shared" si="6"/>
        <v>6.7494343268361519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5.666666666666667</v>
      </c>
      <c r="BD18" s="13">
        <f>IF('Données projet'!$A$88&gt;35,BD17+BC18-BL17,IF(A18&lt;'Données projet'!$A$88,$BA$205^A18,IF(A18='Données projet'!$A$88,'Données projet'!$B$88,BD17+BC18-BL17)))</f>
        <v>13.038404810405304</v>
      </c>
      <c r="BE18" s="14">
        <f>BD18*VLOOKUP('Données projet'!$B$11,Paramètres!$A$1:$I$88,3,0)*VLOOKUP('Données projet'!$B$11,Paramètres!$A$1:$I$88,5,0)</f>
        <v>6.101973451269683</v>
      </c>
      <c r="BF18" s="14">
        <f t="shared" si="37"/>
        <v>2.2782093720086061</v>
      </c>
      <c r="BG18" s="22">
        <f t="shared" si="7"/>
        <v>14.595485083876353</v>
      </c>
      <c r="BH18" s="62">
        <f t="shared" si="8"/>
        <v>307.92881841720964</v>
      </c>
      <c r="BI18" s="62">
        <f ca="1">AVERAGE(OFFSET($BH$3,0,0,'Données projet'!$E$11+1,1))-AVERAGE(OFFSET($H$3,0,0,'Données projet'!$E$11+1,1))</f>
        <v>164.93326103756453</v>
      </c>
      <c r="BJ18" s="62">
        <f t="shared" si="38"/>
        <v>115.86489547584461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326.49564305302061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28.2</v>
      </c>
      <c r="N19" s="14">
        <f>IF('Données projet'!$A$36&gt;35,N18+M19-V18,IF(A19&lt;'Données projet'!$A$36,$K$205^A19,IF(A19='Données projet'!$A$36,'Données projet'!$B$36,N18+M19-V18)))</f>
        <v>190.2</v>
      </c>
      <c r="O19" s="14">
        <f>N19*VLOOKUP('Données projet'!$B$9,Paramètres!$A$1:$I$88,3,0)*VLOOKUP('Données projet'!$B$9,Paramètres!$A$1:$I$88,5,0)</f>
        <v>106.32179999999998</v>
      </c>
      <c r="P19" s="14">
        <f t="shared" si="33"/>
        <v>28.462664081653866</v>
      </c>
      <c r="Q19" s="22">
        <f t="shared" si="2"/>
        <v>234.7496082755471</v>
      </c>
      <c r="R19" s="62">
        <f t="shared" si="0"/>
        <v>528.08294160888045</v>
      </c>
      <c r="S19" s="62">
        <f ca="1">AVERAGE(OFFSET($R$3,0,0,'Données projet'!$E$9+1,1))-AVERAGE(OFFSET($H$3,0,0,'Données projet'!$E$9+1,1))</f>
        <v>461.42631729930201</v>
      </c>
      <c r="T19" s="62">
        <f t="shared" si="34"/>
        <v>570.46734160592086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24.166666666666668</v>
      </c>
      <c r="AI19" s="14">
        <f>IF('Données projet'!$A$62&gt;35,AI18+AH19-AQ18,IF(A19&lt;'Données projet'!$A$62,$AF$205^A19,IF(A19='Données projet'!$A$62,'Données projet'!$B$62,AI18+AH19-AQ18)))</f>
        <v>175.66666666666666</v>
      </c>
      <c r="AJ19" s="14">
        <f>AI19*VLOOKUP('Données projet'!$B$10,Paramètres!$A$1:$I$88,3,0)*VLOOKUP('Données projet'!$B$10,Paramètres!$A$1:$I$88,5,0)</f>
        <v>109.616</v>
      </c>
      <c r="AK19" s="14">
        <f t="shared" si="35"/>
        <v>29.24049277198435</v>
      </c>
      <c r="AL19" s="22">
        <f t="shared" si="4"/>
        <v>241.84172491120603</v>
      </c>
      <c r="AM19" s="62">
        <f t="shared" si="5"/>
        <v>535.17505824453929</v>
      </c>
      <c r="AN19" s="62">
        <f ca="1">AVERAGE(OFFSET($AM$3,0,0,'Données projet'!$E$10+1,1))-AVERAGE(OFFSET($H$3,0,0,'Données projet'!$E$10+1,1))</f>
        <v>272.66985936980086</v>
      </c>
      <c r="AO19" s="62">
        <f t="shared" si="36"/>
        <v>320.12040114313697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4.5871801306591484</v>
      </c>
      <c r="AW19" s="23">
        <f>EXP(-LN(2)/2)*AW18+(1-EXP(-LN(2)/2))/(LN(2)/2)*AQ19*AT19*VLOOKUP('Données projet'!$B$10,Paramètres!$A$1:$I$88,3,0)*0.475*44/12</f>
        <v>1.4377538606910072</v>
      </c>
      <c r="AX19" s="23">
        <f t="shared" si="6"/>
        <v>6.0249339913501556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5.666666666666667</v>
      </c>
      <c r="BD19" s="13">
        <f>IF('Données projet'!$A$88&gt;35,BD18+BC19-BL18,IF(A19&lt;'Données projet'!$A$88,$BA$205^A19,IF(A19='Données projet'!$A$88,'Données projet'!$B$88,BD18+BC19-BL18)))</f>
        <v>15.472937028926689</v>
      </c>
      <c r="BE19" s="14">
        <f>BD19*VLOOKUP('Données projet'!$B$11,Paramètres!$A$1:$I$88,3,0)*VLOOKUP('Données projet'!$B$11,Paramètres!$A$1:$I$88,5,0)</f>
        <v>7.2413345295376894</v>
      </c>
      <c r="BF19" s="14">
        <f t="shared" si="37"/>
        <v>2.6502557759113361</v>
      </c>
      <c r="BG19" s="22">
        <f t="shared" si="7"/>
        <v>17.227853115323715</v>
      </c>
      <c r="BH19" s="62">
        <f t="shared" si="8"/>
        <v>310.56118644865705</v>
      </c>
      <c r="BI19" s="62">
        <f ca="1">AVERAGE(OFFSET($BH$3,0,0,'Données projet'!$E$11+1,1))-AVERAGE(OFFSET($H$3,0,0,'Données projet'!$E$11+1,1))</f>
        <v>164.93326103756453</v>
      </c>
      <c r="BJ19" s="62">
        <f t="shared" si="38"/>
        <v>115.86489547584461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328.50565300530388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28.2</v>
      </c>
      <c r="N20" s="14">
        <f>IF('Données projet'!$A$36&gt;35,N19+M20-V19,IF(A20&lt;'Données projet'!$A$36,$K$205^A20,IF(A20='Données projet'!$A$36,'Données projet'!$B$36,N19+M20-V19)))</f>
        <v>218.39999999999998</v>
      </c>
      <c r="O20" s="14">
        <f>N20*VLOOKUP('Données projet'!$B$9,Paramètres!$A$1:$I$88,3,0)*VLOOKUP('Données projet'!$B$9,Paramètres!$A$1:$I$88,5,0)</f>
        <v>122.0856</v>
      </c>
      <c r="P20" s="14">
        <f t="shared" si="33"/>
        <v>32.160942364346717</v>
      </c>
      <c r="Q20" s="22">
        <f t="shared" si="2"/>
        <v>268.64606128457052</v>
      </c>
      <c r="R20" s="62">
        <f t="shared" si="0"/>
        <v>561.97939461790384</v>
      </c>
      <c r="S20" s="62">
        <f ca="1">AVERAGE(OFFSET($R$3,0,0,'Données projet'!$E$9+1,1))-AVERAGE(OFFSET($H$3,0,0,'Données projet'!$E$9+1,1))</f>
        <v>461.42631729930201</v>
      </c>
      <c r="T20" s="62">
        <f t="shared" si="34"/>
        <v>570.46734160592086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24.166666666666668</v>
      </c>
      <c r="AI20" s="14">
        <f>IF('Données projet'!$A$62&gt;35,AI19+AH20-AQ19,IF(A20&lt;'Données projet'!$A$62,$AF$205^A20,IF(A20='Données projet'!$A$62,'Données projet'!$B$62,AI19+AH20-AQ19)))</f>
        <v>199.83333333333331</v>
      </c>
      <c r="AJ20" s="14">
        <f>AI20*VLOOKUP('Données projet'!$B$10,Paramètres!$A$1:$I$88,3,0)*VLOOKUP('Données projet'!$B$10,Paramètres!$A$1:$I$88,5,0)</f>
        <v>124.69599999999998</v>
      </c>
      <c r="AK20" s="14">
        <f t="shared" si="35"/>
        <v>32.767805238661389</v>
      </c>
      <c r="AL20" s="22">
        <f t="shared" si="4"/>
        <v>274.24946079066854</v>
      </c>
      <c r="AM20" s="62">
        <f t="shared" si="5"/>
        <v>567.58279412400179</v>
      </c>
      <c r="AN20" s="62">
        <f ca="1">AVERAGE(OFFSET($AM$3,0,0,'Données projet'!$E$10+1,1))-AVERAGE(OFFSET($H$3,0,0,'Données projet'!$E$10+1,1))</f>
        <v>272.66985936980086</v>
      </c>
      <c r="AO20" s="62">
        <f t="shared" si="36"/>
        <v>320.12040114313697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4.4617434487569554</v>
      </c>
      <c r="AW20" s="23">
        <f>EXP(-LN(2)/2)*AW19+(1-EXP(-LN(2)/2))/(LN(2)/2)*AQ20*AT20*VLOOKUP('Données projet'!$B$10,Paramètres!$A$1:$I$88,3,0)*0.475*44/12</f>
        <v>1.01664550457175</v>
      </c>
      <c r="AX20" s="23">
        <f t="shared" si="6"/>
        <v>5.4783889533287056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5.666666666666667</v>
      </c>
      <c r="BD20" s="13">
        <f>IF('Données projet'!$A$88&gt;35,BD19+BC20-BL19,IF(A20&lt;'Données projet'!$A$88,$BA$205^A20,IF(A20='Données projet'!$A$88,'Données projet'!$B$88,BD19+BC20-BL19)))</f>
        <v>18.362045340858568</v>
      </c>
      <c r="BE20" s="14">
        <f>BD20*VLOOKUP('Données projet'!$B$11,Paramètres!$A$1:$I$88,3,0)*VLOOKUP('Données projet'!$B$11,Paramètres!$A$1:$I$88,5,0)</f>
        <v>8.5934372195218103</v>
      </c>
      <c r="BF20" s="14">
        <f t="shared" si="37"/>
        <v>3.0830597767046952</v>
      </c>
      <c r="BG20" s="22">
        <f t="shared" si="7"/>
        <v>20.336565601761166</v>
      </c>
      <c r="BH20" s="62">
        <f t="shared" si="8"/>
        <v>313.66989893509447</v>
      </c>
      <c r="BI20" s="62">
        <f ca="1">AVERAGE(OFFSET($BH$3,0,0,'Données projet'!$E$11+1,1))-AVERAGE(OFFSET($H$3,0,0,'Données projet'!$E$11+1,1))</f>
        <v>164.93326103756453</v>
      </c>
      <c r="BJ20" s="62">
        <f t="shared" si="38"/>
        <v>115.86489547584461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330.51251314469152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28.2</v>
      </c>
      <c r="N21" s="14">
        <f>IF('Données projet'!$A$36&gt;35,N20+M21-V20,IF(A21&lt;'Données projet'!$A$36,$K$205^A21,IF(A21='Données projet'!$A$36,'Données projet'!$B$36,N20+M21-V20)))</f>
        <v>246.59999999999997</v>
      </c>
      <c r="O21" s="14">
        <f>N21*VLOOKUP('Données projet'!$B$9,Paramètres!$A$1:$I$88,3,0)*VLOOKUP('Données projet'!$B$9,Paramètres!$A$1:$I$88,5,0)</f>
        <v>137.84939999999997</v>
      </c>
      <c r="P21" s="14">
        <f t="shared" si="33"/>
        <v>35.803890229822542</v>
      </c>
      <c r="Q21" s="22">
        <f t="shared" si="2"/>
        <v>302.44614715027416</v>
      </c>
      <c r="R21" s="62">
        <f t="shared" si="0"/>
        <v>595.77948048360747</v>
      </c>
      <c r="S21" s="62">
        <f ca="1">AVERAGE(OFFSET($R$3,0,0,'Données projet'!$E$9+1,1))-AVERAGE(OFFSET($H$3,0,0,'Données projet'!$E$9+1,1))</f>
        <v>461.42631729930201</v>
      </c>
      <c r="T21" s="62">
        <f t="shared" si="34"/>
        <v>570.46734160592086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224</v>
      </c>
      <c r="AG21" s="13">
        <f>VLOOKUP(A21,'Données projet'!$A$61:$I$81,9,0)</f>
        <v>24.166666666666668</v>
      </c>
      <c r="AH21" s="13">
        <f t="array" ref="AH21">INDEX(AG:AG,MIN(IF(ISNUMBER(AG21:AG217),ROW(AG21:AG217),"")))</f>
        <v>24.166666666666668</v>
      </c>
      <c r="AI21" s="14">
        <f>IF('Données projet'!$A$62&gt;35,AI20+AH21-AQ20,IF(A21&lt;'Données projet'!$A$62,$AF$205^A21,IF(A21='Données projet'!$A$62,'Données projet'!$B$62,AI20+AH21-AQ20)))</f>
        <v>223.99999999999997</v>
      </c>
      <c r="AJ21" s="14">
        <f>AI21*VLOOKUP('Données projet'!$B$10,Paramètres!$A$1:$I$88,3,0)*VLOOKUP('Données projet'!$B$10,Paramètres!$A$1:$I$88,5,0)</f>
        <v>139.77599999999998</v>
      </c>
      <c r="AK21" s="14">
        <f t="shared" si="35"/>
        <v>36.245685459195286</v>
      </c>
      <c r="AL21" s="22">
        <f t="shared" si="4"/>
        <v>306.57110217476514</v>
      </c>
      <c r="AM21" s="62">
        <f t="shared" si="5"/>
        <v>599.90443550809846</v>
      </c>
      <c r="AN21" s="62">
        <f ca="1">AVERAGE(OFFSET($AM$3,0,0,'Données projet'!$E$10+1,1))-AVERAGE(OFFSET($H$3,0,0,'Données projet'!$E$10+1,1))</f>
        <v>272.66985936980086</v>
      </c>
      <c r="AO21" s="62">
        <f t="shared" si="36"/>
        <v>320.12040114313697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84.4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0.33600000000000002</v>
      </c>
      <c r="AT21" s="17">
        <f>IF(ISNA(VLOOKUP(A21,'Données projet'!$A$61:$I$81,7,0)),0%,VLOOKUP(A21,'Données projet'!$A$61:$I$81,7,0))</f>
        <v>0.44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27.72171830895018</v>
      </c>
      <c r="AW21" s="23">
        <f>EXP(-LN(2)/2)*AW20+(1-EXP(-LN(2)/2))/(LN(2)/2)*AQ21*AT21*VLOOKUP('Données projet'!$B$10,Paramètres!$A$1:$I$88,3,0)*0.475*44/12</f>
        <v>26.955941977333836</v>
      </c>
      <c r="AX21" s="23">
        <f t="shared" si="6"/>
        <v>54.677660286284016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5.666666666666667</v>
      </c>
      <c r="BD21" s="13">
        <f>IF('Données projet'!$A$88&gt;35,BD20+BC21-BL20,IF(A21&lt;'Données projet'!$A$88,$BA$205^A21,IF(A21='Données projet'!$A$88,'Données projet'!$B$88,BD20+BC21-BL20)))</f>
        <v>21.790608238721305</v>
      </c>
      <c r="BE21" s="14">
        <f>BD21*VLOOKUP('Données projet'!$B$11,Paramètres!$A$1:$I$88,3,0)*VLOOKUP('Données projet'!$B$11,Paramètres!$A$1:$I$88,5,0)</f>
        <v>10.19800465572157</v>
      </c>
      <c r="BF21" s="14">
        <f t="shared" si="37"/>
        <v>3.5865434850211249</v>
      </c>
      <c r="BG21" s="22">
        <f t="shared" si="7"/>
        <v>24.008088011793529</v>
      </c>
      <c r="BH21" s="62">
        <f t="shared" si="8"/>
        <v>317.34142134512683</v>
      </c>
      <c r="BI21" s="62">
        <f ca="1">AVERAGE(OFFSET($BH$3,0,0,'Données projet'!$E$11+1,1))-AVERAGE(OFFSET($H$3,0,0,'Données projet'!$E$11+1,1))</f>
        <v>164.93326103756453</v>
      </c>
      <c r="BJ21" s="62">
        <f t="shared" si="38"/>
        <v>115.86489547584461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332.51641840525372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28.2</v>
      </c>
      <c r="N22" s="14">
        <f>IF('Données projet'!$A$36&gt;35,N21+M22-V21,IF(A22&lt;'Données projet'!$A$36,$K$205^A22,IF(A22='Données projet'!$A$36,'Données projet'!$B$36,N21+M22-V21)))</f>
        <v>274.79999999999995</v>
      </c>
      <c r="O22" s="14">
        <f>N22*VLOOKUP('Données projet'!$B$9,Paramètres!$A$1:$I$88,3,0)*VLOOKUP('Données projet'!$B$9,Paramètres!$A$1:$I$88,5,0)</f>
        <v>153.61319999999998</v>
      </c>
      <c r="P22" s="14">
        <f t="shared" si="33"/>
        <v>39.398557339898318</v>
      </c>
      <c r="Q22" s="22">
        <f t="shared" si="2"/>
        <v>336.16214403365615</v>
      </c>
      <c r="R22" s="62">
        <f t="shared" si="0"/>
        <v>629.49547736698946</v>
      </c>
      <c r="S22" s="62">
        <f ca="1">AVERAGE(OFFSET($R$3,0,0,'Données projet'!$E$9+1,1))-AVERAGE(OFFSET($H$3,0,0,'Données projet'!$E$9+1,1))</f>
        <v>461.42631729930201</v>
      </c>
      <c r="T22" s="62">
        <f t="shared" si="34"/>
        <v>570.46734160592086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18.900000000000002</v>
      </c>
      <c r="AI22" s="14">
        <f>IF('Données projet'!$A$62&gt;35,AI21+AH22-AQ21,IF(A22&lt;'Données projet'!$A$62,$AF$205^A22,IF(A22='Données projet'!$A$62,'Données projet'!$B$62,AI21+AH22-AQ21)))</f>
        <v>158.49999999999997</v>
      </c>
      <c r="AJ22" s="14">
        <f>AI22*VLOOKUP('Données projet'!$B$10,Paramètres!$A$1:$I$88,3,0)*VLOOKUP('Données projet'!$B$10,Paramètres!$A$1:$I$88,5,0)</f>
        <v>98.903999999999982</v>
      </c>
      <c r="AK22" s="14">
        <f t="shared" si="35"/>
        <v>26.700723425784116</v>
      </c>
      <c r="AL22" s="22">
        <f t="shared" si="4"/>
        <v>218.76155996657397</v>
      </c>
      <c r="AM22" s="62">
        <f t="shared" si="5"/>
        <v>512.09489329990731</v>
      </c>
      <c r="AN22" s="62">
        <f ca="1">AVERAGE(OFFSET($AM$3,0,0,'Données projet'!$E$10+1,1))-AVERAGE(OFFSET($H$3,0,0,'Données projet'!$E$10+1,1))</f>
        <v>272.66985936980086</v>
      </c>
      <c r="AO22" s="62">
        <f t="shared" si="36"/>
        <v>320.12040114313697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26.963666463970132</v>
      </c>
      <c r="AW22" s="23">
        <f>EXP(-LN(2)/2)*AW21+(1-EXP(-LN(2)/2))/(LN(2)/2)*AQ22*AT22*VLOOKUP('Données projet'!$B$10,Paramètres!$A$1:$I$88,3,0)*0.475*44/12</f>
        <v>19.060729365443869</v>
      </c>
      <c r="AX22" s="23">
        <f t="shared" si="6"/>
        <v>46.024395829414004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5.666666666666667</v>
      </c>
      <c r="BD22" s="13">
        <f>IF('Données projet'!$A$88&gt;35,BD21+BC22-BL21,IF(A22&lt;'Données projet'!$A$88,$BA$205^A22,IF(A22='Données projet'!$A$88,'Données projet'!$B$88,BD21+BC22-BL21)))</f>
        <v>25.859352735441334</v>
      </c>
      <c r="BE22" s="14">
        <f>BD22*VLOOKUP('Données projet'!$B$11,Paramètres!$A$1:$I$88,3,0)*VLOOKUP('Données projet'!$B$11,Paramètres!$A$1:$I$88,5,0)</f>
        <v>12.102177080186545</v>
      </c>
      <c r="BF22" s="14">
        <f t="shared" si="37"/>
        <v>4.1722493566752403</v>
      </c>
      <c r="BG22" s="22">
        <f t="shared" si="7"/>
        <v>28.34462604420094</v>
      </c>
      <c r="BH22" s="62">
        <f t="shared" si="8"/>
        <v>321.67795937753425</v>
      </c>
      <c r="BI22" s="62">
        <f ca="1">AVERAGE(OFFSET($BH$3,0,0,'Données projet'!$E$11+1,1))-AVERAGE(OFFSET($H$3,0,0,'Données projet'!$E$11+1,1))</f>
        <v>164.93326103756453</v>
      </c>
      <c r="BJ22" s="62">
        <f t="shared" si="38"/>
        <v>115.86489547584461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334.51754204275585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303</v>
      </c>
      <c r="L23" s="13">
        <f>VLOOKUP(A23,'Données projet'!$A$35:$I$55,9,0)</f>
        <v>28.2</v>
      </c>
      <c r="M23" s="13">
        <f t="array" ref="M23">INDEX(L:L,MIN(IF(ISNUMBER(L23:L219),ROW(L23:L219),"")))</f>
        <v>28.2</v>
      </c>
      <c r="N23" s="14">
        <f>IF('Données projet'!$A$36&gt;35,N22+M23-V22,IF(A23&lt;'Données projet'!$A$36,$K$205^A23,IF(A23='Données projet'!$A$36,'Données projet'!$B$36,N22+M23-V22)))</f>
        <v>302.99999999999994</v>
      </c>
      <c r="O23" s="14">
        <f>N23*VLOOKUP('Données projet'!$B$9,Paramètres!$A$1:$I$88,3,0)*VLOOKUP('Données projet'!$B$9,Paramètres!$A$1:$I$88,5,0)</f>
        <v>169.37699999999995</v>
      </c>
      <c r="P23" s="14">
        <f t="shared" si="33"/>
        <v>42.950462509094685</v>
      </c>
      <c r="Q23" s="22">
        <f t="shared" si="2"/>
        <v>369.80366387000646</v>
      </c>
      <c r="R23" s="62">
        <f t="shared" si="0"/>
        <v>663.13699720333977</v>
      </c>
      <c r="S23" s="62">
        <f ca="1">AVERAGE(OFFSET($R$3,0,0,'Données projet'!$E$9+1,1))-AVERAGE(OFFSET($H$3,0,0,'Données projet'!$E$9+1,1))</f>
        <v>461.42631729930201</v>
      </c>
      <c r="T23" s="62">
        <f t="shared" si="34"/>
        <v>570.46734160592086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43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0.30800000000000005</v>
      </c>
      <c r="Y23" s="17">
        <f>IF(ISNA(VLOOKUP(A23,'Données projet'!$A$35:$I$55,7,0)),0%,VLOOKUP(A23,'Données projet'!$A$35:$I$55,7,0))</f>
        <v>0.44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9.782412641250021</v>
      </c>
      <c r="AB23" s="23">
        <f>EXP(-LN(2)/2)*AB22+(1-EXP(-LN(2)/2))/(LN(2)/2)*V23*Y23*VLOOKUP('Données projet'!$B$9,Paramètres!$A$1:$I$88,3,0)*0.475*44/12</f>
        <v>11.974805803683211</v>
      </c>
      <c r="AC23" s="24">
        <f t="shared" si="3"/>
        <v>21.75721844493323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18.900000000000002</v>
      </c>
      <c r="AI23" s="14">
        <f>IF('Données projet'!$A$62&gt;35,AI22+AH23-AQ22,IF(A23&lt;'Données projet'!$A$62,$AF$205^A23,IF(A23='Données projet'!$A$62,'Données projet'!$B$62,AI22+AH23-AQ22)))</f>
        <v>177.39999999999998</v>
      </c>
      <c r="AJ23" s="14">
        <f>AI23*VLOOKUP('Données projet'!$B$10,Paramètres!$A$1:$I$88,3,0)*VLOOKUP('Données projet'!$B$10,Paramètres!$A$1:$I$88,5,0)</f>
        <v>110.69759999999998</v>
      </c>
      <c r="AK23" s="14">
        <f t="shared" si="35"/>
        <v>29.495284052067007</v>
      </c>
      <c r="AL23" s="22">
        <f t="shared" si="4"/>
        <v>244.16927305734995</v>
      </c>
      <c r="AM23" s="62">
        <f t="shared" si="5"/>
        <v>537.50260639068324</v>
      </c>
      <c r="AN23" s="62">
        <f ca="1">AVERAGE(OFFSET($AM$3,0,0,'Données projet'!$E$10+1,1))-AVERAGE(OFFSET($H$3,0,0,'Données projet'!$E$10+1,1))</f>
        <v>272.66985936980086</v>
      </c>
      <c r="AO23" s="62">
        <f t="shared" si="36"/>
        <v>320.12040114313697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26.226343586555274</v>
      </c>
      <c r="AW23" s="23">
        <f>EXP(-LN(2)/2)*AW22+(1-EXP(-LN(2)/2))/(LN(2)/2)*AQ23*AT23*VLOOKUP('Données projet'!$B$10,Paramètres!$A$1:$I$88,3,0)*0.475*44/12</f>
        <v>13.47797098866692</v>
      </c>
      <c r="AX23" s="23">
        <f t="shared" si="6"/>
        <v>39.704314575222192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5.666666666666667</v>
      </c>
      <c r="BD23" s="13">
        <f>IF('Données projet'!$A$88&gt;35,BD22+BC23-BL22,IF(A23&lt;'Données projet'!$A$88,$BA$205^A23,IF(A23='Données projet'!$A$88,'Données projet'!$B$88,BD22+BC23-BL22)))</f>
        <v>30.68781360162793</v>
      </c>
      <c r="BE23" s="14">
        <f>BD23*VLOOKUP('Données projet'!$B$11,Paramètres!$A$1:$I$88,3,0)*VLOOKUP('Données projet'!$B$11,Paramètres!$A$1:$I$88,5,0)</f>
        <v>14.361896765561871</v>
      </c>
      <c r="BF23" s="14">
        <f t="shared" si="37"/>
        <v>4.8536048055679508</v>
      </c>
      <c r="BG23" s="22">
        <f t="shared" si="7"/>
        <v>33.466998569717767</v>
      </c>
      <c r="BH23" s="62">
        <f t="shared" si="8"/>
        <v>326.80033190305107</v>
      </c>
      <c r="BI23" s="62">
        <f ca="1">AVERAGE(OFFSET($BH$3,0,0,'Données projet'!$E$11+1,1))-AVERAGE(OFFSET($H$3,0,0,'Données projet'!$E$11+1,1))</f>
        <v>164.93326103756453</v>
      </c>
      <c r="BJ23" s="62">
        <f t="shared" si="38"/>
        <v>115.86489547584461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336.51603900867377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31.8</v>
      </c>
      <c r="N24" s="14">
        <f>IF('Données projet'!$A$36&gt;35,N23+M24-V23,IF(A24&lt;'Données projet'!$A$36,$K$205^A24,IF(A24='Données projet'!$A$36,'Données projet'!$B$36,N23+M24-V23)))</f>
        <v>291.79999999999995</v>
      </c>
      <c r="O24" s="14">
        <f>N24*VLOOKUP('Données projet'!$B$9,Paramètres!$A$1:$I$88,3,0)*VLOOKUP('Données projet'!$B$9,Paramètres!$A$1:$I$88,5,0)</f>
        <v>163.11619999999996</v>
      </c>
      <c r="P24" s="14">
        <f t="shared" si="33"/>
        <v>41.544592017733109</v>
      </c>
      <c r="Q24" s="22">
        <f t="shared" si="2"/>
        <v>356.4508794308851</v>
      </c>
      <c r="R24" s="62">
        <f t="shared" si="0"/>
        <v>649.78421276421841</v>
      </c>
      <c r="S24" s="62">
        <f ca="1">AVERAGE(OFFSET($R$3,0,0,'Données projet'!$E$9+1,1))-AVERAGE(OFFSET($H$3,0,0,'Données projet'!$E$9+1,1))</f>
        <v>461.42631729930201</v>
      </c>
      <c r="T24" s="62">
        <f t="shared" si="34"/>
        <v>570.46734160592086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9.514912053140316</v>
      </c>
      <c r="AB24" s="23">
        <f>EXP(-LN(2)/2)*AB23+(1-EXP(-LN(2)/2))/(LN(2)/2)*V24*Y24*VLOOKUP('Données projet'!$B$9,Paramètres!$A$1:$I$88,3,0)*0.475*44/12</f>
        <v>8.4674663871764242</v>
      </c>
      <c r="AC24" s="24">
        <f t="shared" si="3"/>
        <v>17.98237844031674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18.900000000000002</v>
      </c>
      <c r="AI24" s="14">
        <f>IF('Données projet'!$A$62&gt;35,AI23+AH24-AQ23,IF(A24&lt;'Données projet'!$A$62,$AF$205^A24,IF(A24='Données projet'!$A$62,'Données projet'!$B$62,AI23+AH24-AQ23)))</f>
        <v>196.29999999999998</v>
      </c>
      <c r="AJ24" s="14">
        <f>AI24*VLOOKUP('Données projet'!$B$10,Paramètres!$A$1:$I$88,3,0)*VLOOKUP('Données projet'!$B$10,Paramètres!$A$1:$I$88,5,0)</f>
        <v>122.49119999999999</v>
      </c>
      <c r="AK24" s="14">
        <f t="shared" si="35"/>
        <v>32.255334127777445</v>
      </c>
      <c r="AL24" s="22">
        <f t="shared" si="4"/>
        <v>269.51688027254573</v>
      </c>
      <c r="AM24" s="62">
        <f t="shared" si="5"/>
        <v>562.85021360587905</v>
      </c>
      <c r="AN24" s="62">
        <f ca="1">AVERAGE(OFFSET($AM$3,0,0,'Données projet'!$E$10+1,1))-AVERAGE(OFFSET($H$3,0,0,'Données projet'!$E$10+1,1))</f>
        <v>272.66985936980086</v>
      </c>
      <c r="AO24" s="62">
        <f t="shared" si="36"/>
        <v>320.12040114313697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25.50918284199745</v>
      </c>
      <c r="AW24" s="23">
        <f>EXP(-LN(2)/2)*AW23+(1-EXP(-LN(2)/2))/(LN(2)/2)*AQ24*AT24*VLOOKUP('Données projet'!$B$10,Paramètres!$A$1:$I$88,3,0)*0.475*44/12</f>
        <v>9.5303646827219364</v>
      </c>
      <c r="AX24" s="23">
        <f t="shared" si="6"/>
        <v>35.039547524719389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5.666666666666667</v>
      </c>
      <c r="BD24" s="13">
        <f>IF('Données projet'!$A$88&gt;35,BD23+BC24-BL23,IF(A24&lt;'Données projet'!$A$88,$BA$205^A24,IF(A24='Données projet'!$A$88,'Données projet'!$B$88,BD23+BC24-BL23)))</f>
        <v>36.417845151923039</v>
      </c>
      <c r="BE24" s="14">
        <f>BD24*VLOOKUP('Données projet'!$B$11,Paramètres!$A$1:$I$88,3,0)*VLOOKUP('Données projet'!$B$11,Paramètres!$A$1:$I$88,5,0)</f>
        <v>17.043551531099983</v>
      </c>
      <c r="BF24" s="14">
        <f t="shared" si="37"/>
        <v>5.6462300295983905</v>
      </c>
      <c r="BG24" s="22">
        <f t="shared" si="7"/>
        <v>39.518036218216324</v>
      </c>
      <c r="BH24" s="62">
        <f t="shared" si="8"/>
        <v>332.85136955154962</v>
      </c>
      <c r="BI24" s="62">
        <f ca="1">AVERAGE(OFFSET($BH$3,0,0,'Données projet'!$E$11+1,1))-AVERAGE(OFFSET($H$3,0,0,'Données projet'!$E$11+1,1))</f>
        <v>164.93326103756453</v>
      </c>
      <c r="BJ24" s="62">
        <f t="shared" si="38"/>
        <v>115.86489547584461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338.51204866333012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31.8</v>
      </c>
      <c r="N25" s="14">
        <f>IF('Données projet'!$A$36&gt;35,N24+M25-V24,IF(A25&lt;'Données projet'!$A$36,$K$205^A25,IF(A25='Données projet'!$A$36,'Données projet'!$B$36,N24+M25-V24)))</f>
        <v>323.59999999999997</v>
      </c>
      <c r="O25" s="14">
        <f>N25*VLOOKUP('Données projet'!$B$9,Paramètres!$A$1:$I$88,3,0)*VLOOKUP('Données projet'!$B$9,Paramètres!$A$1:$I$88,5,0)</f>
        <v>180.89240000000001</v>
      </c>
      <c r="P25" s="14">
        <f t="shared" si="33"/>
        <v>45.520671542487669</v>
      </c>
      <c r="Q25" s="22">
        <f t="shared" si="2"/>
        <v>394.33609960316602</v>
      </c>
      <c r="R25" s="62">
        <f t="shared" si="0"/>
        <v>687.66943293649933</v>
      </c>
      <c r="S25" s="62">
        <f ca="1">AVERAGE(OFFSET($R$3,0,0,'Données projet'!$E$9+1,1))-AVERAGE(OFFSET($H$3,0,0,'Données projet'!$E$9+1,1))</f>
        <v>461.42631729930201</v>
      </c>
      <c r="T25" s="62">
        <f t="shared" si="34"/>
        <v>570.46734160592086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9.2547262826797159</v>
      </c>
      <c r="AB25" s="23">
        <f>EXP(-LN(2)/2)*AB24+(1-EXP(-LN(2)/2))/(LN(2)/2)*V25*Y25*VLOOKUP('Données projet'!$B$9,Paramètres!$A$1:$I$88,3,0)*0.475*44/12</f>
        <v>5.9874029018416062</v>
      </c>
      <c r="AC25" s="24">
        <f t="shared" si="3"/>
        <v>15.242129184521321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18.900000000000002</v>
      </c>
      <c r="AI25" s="14">
        <f>IF('Données projet'!$A$62&gt;35,AI24+AH25-AQ24,IF(A25&lt;'Données projet'!$A$62,$AF$205^A25,IF(A25='Données projet'!$A$62,'Données projet'!$B$62,AI24+AH25-AQ24)))</f>
        <v>215.2</v>
      </c>
      <c r="AJ25" s="14">
        <f>AI25*VLOOKUP('Données projet'!$B$10,Paramètres!$A$1:$I$88,3,0)*VLOOKUP('Données projet'!$B$10,Paramètres!$A$1:$I$88,5,0)</f>
        <v>134.28479999999999</v>
      </c>
      <c r="AK25" s="14">
        <f t="shared" si="35"/>
        <v>34.984574440139866</v>
      </c>
      <c r="AL25" s="22">
        <f t="shared" si="4"/>
        <v>294.81082714991027</v>
      </c>
      <c r="AM25" s="62">
        <f t="shared" si="5"/>
        <v>588.14416048324358</v>
      </c>
      <c r="AN25" s="62">
        <f ca="1">AVERAGE(OFFSET($AM$3,0,0,'Données projet'!$E$10+1,1))-AVERAGE(OFFSET($H$3,0,0,'Données projet'!$E$10+1,1))</f>
        <v>272.66985936980086</v>
      </c>
      <c r="AO25" s="62">
        <f t="shared" si="36"/>
        <v>320.12040114313697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24.811632895713405</v>
      </c>
      <c r="AW25" s="23">
        <f>EXP(-LN(2)/2)*AW24+(1-EXP(-LN(2)/2))/(LN(2)/2)*AQ25*AT25*VLOOKUP('Données projet'!$B$10,Paramètres!$A$1:$I$88,3,0)*0.475*44/12</f>
        <v>6.7389854943334608</v>
      </c>
      <c r="AX25" s="23">
        <f t="shared" si="6"/>
        <v>31.550618390046864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5.666666666666667</v>
      </c>
      <c r="BD25" s="13">
        <f>IF('Données projet'!$A$88&gt;35,BD24+BC25-BL24,IF(A25&lt;'Données projet'!$A$88,$BA$205^A25,IF(A25='Données projet'!$A$88,'Données projet'!$B$88,BD24+BC25-BL24)))</f>
        <v>43.217788752441109</v>
      </c>
      <c r="BE25" s="14">
        <f>BD25*VLOOKUP('Données projet'!$B$11,Paramètres!$A$1:$I$88,3,0)*VLOOKUP('Données projet'!$B$11,Paramètres!$A$1:$I$88,5,0)</f>
        <v>20.22592513614244</v>
      </c>
      <c r="BF25" s="14">
        <f t="shared" si="37"/>
        <v>6.5682961065488277</v>
      </c>
      <c r="BG25" s="22">
        <f t="shared" si="7"/>
        <v>46.666601997687287</v>
      </c>
      <c r="BH25" s="62">
        <f t="shared" si="8"/>
        <v>339.99993533102059</v>
      </c>
      <c r="BI25" s="62">
        <f ca="1">AVERAGE(OFFSET($BH$3,0,0,'Données projet'!$E$11+1,1))-AVERAGE(OFFSET($H$3,0,0,'Données projet'!$E$11+1,1))</f>
        <v>164.93326103756453</v>
      </c>
      <c r="BJ25" s="62">
        <f t="shared" si="38"/>
        <v>115.86489547584461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340.5056969817893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31.8</v>
      </c>
      <c r="N26" s="14">
        <f>IF('Données projet'!$A$36&gt;35,N25+M26-V25,IF(A26&lt;'Données projet'!$A$36,$K$205^A26,IF(A26='Données projet'!$A$36,'Données projet'!$B$36,N25+M26-V25)))</f>
        <v>355.4</v>
      </c>
      <c r="O26" s="14">
        <f>N26*VLOOKUP('Données projet'!$B$9,Paramètres!$A$1:$I$88,3,0)*VLOOKUP('Données projet'!$B$9,Paramètres!$A$1:$I$88,5,0)</f>
        <v>198.66859999999997</v>
      </c>
      <c r="P26" s="14">
        <f t="shared" si="33"/>
        <v>49.451452656287465</v>
      </c>
      <c r="Q26" s="22">
        <f t="shared" si="2"/>
        <v>432.14242504303394</v>
      </c>
      <c r="R26" s="62">
        <f t="shared" si="0"/>
        <v>725.47575837636725</v>
      </c>
      <c r="S26" s="62">
        <f ca="1">AVERAGE(OFFSET($R$3,0,0,'Données projet'!$E$9+1,1))-AVERAGE(OFFSET($H$3,0,0,'Données projet'!$E$9+1,1))</f>
        <v>461.42631729930201</v>
      </c>
      <c r="T26" s="62">
        <f t="shared" si="34"/>
        <v>570.46734160592086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9.0016553057949356</v>
      </c>
      <c r="AB26" s="23">
        <f>EXP(-LN(2)/2)*AB25+(1-EXP(-LN(2)/2))/(LN(2)/2)*V26*Y26*VLOOKUP('Données projet'!$B$9,Paramètres!$A$1:$I$88,3,0)*0.475*44/12</f>
        <v>4.233733193588213</v>
      </c>
      <c r="AC26" s="24">
        <f t="shared" si="3"/>
        <v>13.235388499383149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18.900000000000002</v>
      </c>
      <c r="AI26" s="14">
        <f>IF('Données projet'!$A$62&gt;35,AI25+AH26-AQ25,IF(A26&lt;'Données projet'!$A$62,$AF$205^A26,IF(A26='Données projet'!$A$62,'Données projet'!$B$62,AI25+AH26-AQ25)))</f>
        <v>234.1</v>
      </c>
      <c r="AJ26" s="14">
        <f>AI26*VLOOKUP('Données projet'!$B$10,Paramètres!$A$1:$I$88,3,0)*VLOOKUP('Données projet'!$B$10,Paramètres!$A$1:$I$88,5,0)</f>
        <v>146.07839999999999</v>
      </c>
      <c r="AK26" s="14">
        <f t="shared" si="35"/>
        <v>37.68601854105458</v>
      </c>
      <c r="AL26" s="22">
        <f t="shared" si="4"/>
        <v>320.0563622923367</v>
      </c>
      <c r="AM26" s="62">
        <f t="shared" si="5"/>
        <v>613.38969562567002</v>
      </c>
      <c r="AN26" s="62">
        <f ca="1">AVERAGE(OFFSET($AM$3,0,0,'Données projet'!$E$10+1,1))-AVERAGE(OFFSET($H$3,0,0,'Données projet'!$E$10+1,1))</f>
        <v>272.66985936980086</v>
      </c>
      <c r="AO26" s="62">
        <f t="shared" si="36"/>
        <v>320.12040114313697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24.133157489393056</v>
      </c>
      <c r="AW26" s="23">
        <f>EXP(-LN(2)/2)*AW25+(1-EXP(-LN(2)/2))/(LN(2)/2)*AQ26*AT26*VLOOKUP('Données projet'!$B$10,Paramètres!$A$1:$I$88,3,0)*0.475*44/12</f>
        <v>4.7651823413609682</v>
      </c>
      <c r="AX26" s="23">
        <f t="shared" si="6"/>
        <v>28.898339830754026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5.666666666666667</v>
      </c>
      <c r="BD26" s="13">
        <f>IF('Données projet'!$A$88&gt;35,BD25+BC26-BL25,IF(A26&lt;'Données projet'!$A$88,$BA$205^A26,IF(A26='Données projet'!$A$88,'Données projet'!$B$88,BD25+BC26-BL25)))</f>
        <v>51.287418485604626</v>
      </c>
      <c r="BE26" s="14">
        <f>BD26*VLOOKUP('Données projet'!$B$11,Paramètres!$A$1:$I$88,3,0)*VLOOKUP('Données projet'!$B$11,Paramètres!$A$1:$I$88,5,0)</f>
        <v>24.002511851262966</v>
      </c>
      <c r="BF26" s="14">
        <f t="shared" si="37"/>
        <v>7.6409415693559897</v>
      </c>
      <c r="BG26" s="22">
        <f t="shared" si="7"/>
        <v>55.112348040911343</v>
      </c>
      <c r="BH26" s="62">
        <f t="shared" si="8"/>
        <v>348.44568137424466</v>
      </c>
      <c r="BI26" s="62">
        <f ca="1">AVERAGE(OFFSET($BH$3,0,0,'Données projet'!$E$11+1,1))-AVERAGE(OFFSET($H$3,0,0,'Données projet'!$E$11+1,1))</f>
        <v>164.93326103756453</v>
      </c>
      <c r="BJ26" s="62">
        <f t="shared" si="38"/>
        <v>115.86489547584461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342.49709836529308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31.8</v>
      </c>
      <c r="N27" s="14">
        <f>IF('Données projet'!$A$36&gt;35,N26+M27-V26,IF(A27&lt;'Données projet'!$A$36,$K$205^A27,IF(A27='Données projet'!$A$36,'Données projet'!$B$36,N26+M27-V26)))</f>
        <v>387.2</v>
      </c>
      <c r="O27" s="14">
        <f>N27*VLOOKUP('Données projet'!$B$9,Paramètres!$A$1:$I$88,3,0)*VLOOKUP('Données projet'!$B$9,Paramètres!$A$1:$I$88,5,0)</f>
        <v>216.44479999999999</v>
      </c>
      <c r="P27" s="14">
        <f t="shared" si="33"/>
        <v>53.341449419561528</v>
      </c>
      <c r="Q27" s="22">
        <f t="shared" si="2"/>
        <v>469.87771773906962</v>
      </c>
      <c r="R27" s="62">
        <f t="shared" si="0"/>
        <v>763.21105107240294</v>
      </c>
      <c r="S27" s="62">
        <f ca="1">AVERAGE(OFFSET($R$3,0,0,'Données projet'!$E$9+1,1))-AVERAGE(OFFSET($H$3,0,0,'Données projet'!$E$9+1,1))</f>
        <v>461.42631729930201</v>
      </c>
      <c r="T27" s="62">
        <f t="shared" si="34"/>
        <v>570.46734160592086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8.7555045680814949</v>
      </c>
      <c r="AB27" s="23">
        <f>EXP(-LN(2)/2)*AB26+(1-EXP(-LN(2)/2))/(LN(2)/2)*V27*Y27*VLOOKUP('Données projet'!$B$9,Paramètres!$A$1:$I$88,3,0)*0.475*44/12</f>
        <v>2.993701450920804</v>
      </c>
      <c r="AC27" s="24">
        <f t="shared" si="3"/>
        <v>11.749206019002299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>
        <f>VLOOKUP(A27,'Données projet'!$A$61:$I$81,2,0)</f>
        <v>253</v>
      </c>
      <c r="AG27" s="13">
        <f>VLOOKUP(A27,'Données projet'!$A$61:$I$81,9,0)</f>
        <v>18.900000000000002</v>
      </c>
      <c r="AH27" s="13">
        <f t="array" ref="AH27">INDEX(AG:AG,MIN(IF(ISNUMBER(AG27:AG223),ROW(AG27:AG223),"")))</f>
        <v>18.900000000000002</v>
      </c>
      <c r="AI27" s="14">
        <f>IF('Données projet'!$A$62&gt;35,AI26+AH27-AQ26,IF(A27&lt;'Données projet'!$A$62,$AF$205^A27,IF(A27='Données projet'!$A$62,'Données projet'!$B$62,AI26+AH27-AQ26)))</f>
        <v>253</v>
      </c>
      <c r="AJ27" s="14">
        <f>AI27*VLOOKUP('Données projet'!$B$10,Paramètres!$A$1:$I$88,3,0)*VLOOKUP('Données projet'!$B$10,Paramètres!$A$1:$I$88,5,0)</f>
        <v>157.87200000000001</v>
      </c>
      <c r="AK27" s="14">
        <f t="shared" si="35"/>
        <v>40.362165684361159</v>
      </c>
      <c r="AL27" s="22">
        <f t="shared" si="4"/>
        <v>345.25783856692902</v>
      </c>
      <c r="AM27" s="62">
        <f t="shared" si="5"/>
        <v>638.59117190026234</v>
      </c>
      <c r="AN27" s="62">
        <f ca="1">AVERAGE(OFFSET($AM$3,0,0,'Données projet'!$E$10+1,1))-AVERAGE(OFFSET($H$3,0,0,'Données projet'!$E$10+1,1))</f>
        <v>272.66985936980086</v>
      </c>
      <c r="AO27" s="62">
        <f t="shared" si="36"/>
        <v>320.12040114313697</v>
      </c>
      <c r="AP27" s="16">
        <f>IF(ISNA(VLOOKUP(A27,'Données projet'!$A$61:$I$81,3,0)),0,VLOOKUP(A27,'Données projet'!$A$61:$I$81,3,0))</f>
        <v>3</v>
      </c>
      <c r="AQ27" s="16">
        <f>IF(ISNA(VLOOKUP(A27,'Données projet'!$A$61:$I$81,4,0)),0,VLOOKUP(A27,'Données projet'!$A$61:$I$81,4,0))</f>
        <v>75.900000000000006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0.33600000000000002</v>
      </c>
      <c r="AT27" s="17">
        <f>IF(ISNA(VLOOKUP(A27,'Données projet'!$A$61:$I$81,7,0)),0%,VLOOKUP(A27,'Données projet'!$A$61:$I$81,7,0))</f>
        <v>0.44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44.500396089519015</v>
      </c>
      <c r="AW27" s="23">
        <f>EXP(-LN(2)/2)*AW26+(1-EXP(-LN(2)/2))/(LN(2)/2)*AQ27*AT27*VLOOKUP('Données projet'!$B$10,Paramètres!$A$1:$I$88,3,0)*0.475*44/12</f>
        <v>26.964199347479695</v>
      </c>
      <c r="AX27" s="23">
        <f t="shared" si="6"/>
        <v>71.464595436998707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5.666666666666667</v>
      </c>
      <c r="BD27" s="13">
        <f>IF('Données projet'!$A$88&gt;35,BD26+BC27-BL26,IF(A27&lt;'Données projet'!$A$88,$BA$205^A27,IF(A27='Données projet'!$A$88,'Données projet'!$B$88,BD26+BC27-BL26)))</f>
        <v>60.863810270000563</v>
      </c>
      <c r="BE27" s="14">
        <f>BD27*VLOOKUP('Données projet'!$B$11,Paramètres!$A$1:$I$88,3,0)*VLOOKUP('Données projet'!$B$11,Paramètres!$A$1:$I$88,5,0)</f>
        <v>28.484263206360264</v>
      </c>
      <c r="BF27" s="14">
        <f t="shared" si="37"/>
        <v>8.8887570108329133</v>
      </c>
      <c r="BG27" s="22">
        <f t="shared" si="7"/>
        <v>65.091343544944792</v>
      </c>
      <c r="BH27" s="62">
        <f t="shared" si="8"/>
        <v>358.42467687827809</v>
      </c>
      <c r="BI27" s="62">
        <f ca="1">AVERAGE(OFFSET($BH$3,0,0,'Données projet'!$E$11+1,1))-AVERAGE(OFFSET($H$3,0,0,'Données projet'!$E$11+1,1))</f>
        <v>164.93326103756453</v>
      </c>
      <c r="BJ27" s="62">
        <f t="shared" si="38"/>
        <v>115.86489547584461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344.4863571422834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419</v>
      </c>
      <c r="L28" s="13">
        <f>VLOOKUP(A28,'Données projet'!$A$35:$I$55,9,0)</f>
        <v>31.8</v>
      </c>
      <c r="M28" s="13">
        <f t="array" ref="M28">INDEX(L:L,MIN(IF(ISNUMBER(L28:L224),ROW(L28:L224),"")))</f>
        <v>31.8</v>
      </c>
      <c r="N28" s="14">
        <f>IF('Données projet'!$A$36&gt;35,N27+M28-V27,IF(A28&lt;'Données projet'!$A$36,$K$205^A28,IF(A28='Données projet'!$A$36,'Données projet'!$B$36,N27+M28-V27)))</f>
        <v>419</v>
      </c>
      <c r="O28" s="14">
        <f>N28*VLOOKUP('Données projet'!$B$9,Paramètres!$A$1:$I$88,3,0)*VLOOKUP('Données projet'!$B$9,Paramètres!$A$1:$I$88,5,0)</f>
        <v>234.221</v>
      </c>
      <c r="P28" s="14">
        <f t="shared" si="33"/>
        <v>57.194392182630075</v>
      </c>
      <c r="Q28" s="22">
        <f t="shared" si="2"/>
        <v>507.54847471808063</v>
      </c>
      <c r="R28" s="62">
        <f t="shared" si="0"/>
        <v>800.88180805141394</v>
      </c>
      <c r="S28" s="62">
        <f ca="1">AVERAGE(OFFSET($R$3,0,0,'Données projet'!$E$9+1,1))-AVERAGE(OFFSET($H$3,0,0,'Données projet'!$E$9+1,1))</f>
        <v>461.42631729930201</v>
      </c>
      <c r="T28" s="62">
        <f t="shared" si="34"/>
        <v>570.46734160592086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60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0.30800000000000005</v>
      </c>
      <c r="Y28" s="17">
        <f>IF(ISNA(VLOOKUP(A28,'Données projet'!$A$35:$I$55,7,0)),0%,VLOOKUP(A28,'Données projet'!$A$35:$I$55,7,0))</f>
        <v>0.44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22.165962939305132</v>
      </c>
      <c r="AB28" s="23">
        <f>EXP(-LN(2)/2)*AB27+(1-EXP(-LN(2)/2))/(LN(2)/2)*V28*Y28*VLOOKUP('Données projet'!$B$9,Paramètres!$A$1:$I$88,3,0)*0.475*44/12</f>
        <v>18.825897950770681</v>
      </c>
      <c r="AC28" s="24">
        <f t="shared" si="3"/>
        <v>40.991860890075813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17.150000000000002</v>
      </c>
      <c r="AI28" s="14">
        <f>IF('Données projet'!$A$62&gt;35,AI27+AH28-AQ27,IF(A28&lt;'Données projet'!$A$62,$AF$205^A28,IF(A28='Données projet'!$A$62,'Données projet'!$B$62,AI27+AH28-AQ27)))</f>
        <v>194.24999999999997</v>
      </c>
      <c r="AJ28" s="14">
        <f>AI28*VLOOKUP('Données projet'!$B$10,Paramètres!$A$1:$I$88,3,0)*VLOOKUP('Données projet'!$B$10,Paramètres!$A$1:$I$88,5,0)</f>
        <v>121.21199999999997</v>
      </c>
      <c r="AK28" s="14">
        <f t="shared" si="35"/>
        <v>31.957512847617089</v>
      </c>
      <c r="AL28" s="22">
        <f t="shared" si="4"/>
        <v>266.77023487626633</v>
      </c>
      <c r="AM28" s="62">
        <f t="shared" si="5"/>
        <v>560.10356820959964</v>
      </c>
      <c r="AN28" s="62">
        <f ca="1">AVERAGE(OFFSET($AM$3,0,0,'Données projet'!$E$10+1,1))-AVERAGE(OFFSET($H$3,0,0,'Données projet'!$E$10+1,1))</f>
        <v>272.66985936980086</v>
      </c>
      <c r="AO28" s="62">
        <f t="shared" si="36"/>
        <v>320.12040114313697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43.283530418276996</v>
      </c>
      <c r="AW28" s="23">
        <f>EXP(-LN(2)/2)*AW27+(1-EXP(-LN(2)/2))/(LN(2)/2)*AQ28*AT28*VLOOKUP('Données projet'!$B$10,Paramètres!$A$1:$I$88,3,0)*0.475*44/12</f>
        <v>19.066568207868773</v>
      </c>
      <c r="AX28" s="23">
        <f t="shared" si="6"/>
        <v>62.350098626145765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5.666666666666667</v>
      </c>
      <c r="BD28" s="13">
        <f>IF('Données projet'!$A$88&gt;35,BD27+BC28-BL27,IF(A28&lt;'Données projet'!$A$88,$BA$205^A28,IF(A28='Données projet'!$A$88,'Données projet'!$B$88,BD27+BC28-BL27)))</f>
        <v>72.228306862868891</v>
      </c>
      <c r="BE28" s="14">
        <f>BD28*VLOOKUP('Données projet'!$B$11,Paramètres!$A$1:$I$88,3,0)*VLOOKUP('Données projet'!$B$11,Paramètres!$A$1:$I$88,5,0)</f>
        <v>33.802847611822642</v>
      </c>
      <c r="BF28" s="14">
        <f t="shared" si="37"/>
        <v>10.340348827492802</v>
      </c>
      <c r="BG28" s="22">
        <f t="shared" si="7"/>
        <v>76.882733798474405</v>
      </c>
      <c r="BH28" s="62">
        <f t="shared" si="8"/>
        <v>370.21606713180773</v>
      </c>
      <c r="BI28" s="62">
        <f ca="1">AVERAGE(OFFSET($BH$3,0,0,'Données projet'!$E$11+1,1))-AVERAGE(OFFSET($H$3,0,0,'Données projet'!$E$11+1,1))</f>
        <v>164.93326103756453</v>
      </c>
      <c r="BJ28" s="62">
        <f t="shared" si="38"/>
        <v>115.86489547584461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346.47356882250091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33</v>
      </c>
      <c r="N29" s="14">
        <f>IF('Données projet'!$A$36&gt;35,N28+M29-V28,IF(A29&lt;'Données projet'!$A$36,$K$205^A29,IF(A29='Données projet'!$A$36,'Données projet'!$B$36,N28+M29-V28)))</f>
        <v>392</v>
      </c>
      <c r="O29" s="14">
        <f>N29*VLOOKUP('Données projet'!$B$9,Paramètres!$A$1:$I$88,3,0)*VLOOKUP('Données projet'!$B$9,Paramètres!$A$1:$I$88,5,0)</f>
        <v>219.12800000000001</v>
      </c>
      <c r="P29" s="14">
        <f t="shared" si="33"/>
        <v>53.925317044064428</v>
      </c>
      <c r="Q29" s="22">
        <f t="shared" si="2"/>
        <v>475.56786051841215</v>
      </c>
      <c r="R29" s="62">
        <f t="shared" si="0"/>
        <v>768.90119385174546</v>
      </c>
      <c r="S29" s="62">
        <f ca="1">AVERAGE(OFFSET($R$3,0,0,'Données projet'!$E$9+1,1))-AVERAGE(OFFSET($H$3,0,0,'Données projet'!$E$9+1,1))</f>
        <v>461.42631729930201</v>
      </c>
      <c r="T29" s="62">
        <f t="shared" si="34"/>
        <v>570.46734160592086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21.559833517072502</v>
      </c>
      <c r="AB29" s="23">
        <f>EXP(-LN(2)/2)*AB28+(1-EXP(-LN(2)/2))/(LN(2)/2)*V29*Y29*VLOOKUP('Données projet'!$B$9,Paramètres!$A$1:$I$88,3,0)*0.475*44/12</f>
        <v>13.311920102915879</v>
      </c>
      <c r="AC29" s="24">
        <f t="shared" si="3"/>
        <v>34.871753619988382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17.150000000000002</v>
      </c>
      <c r="AI29" s="14">
        <f>IF('Données projet'!$A$62&gt;35,AI28+AH29-AQ28,IF(A29&lt;'Données projet'!$A$62,$AF$205^A29,IF(A29='Données projet'!$A$62,'Données projet'!$B$62,AI28+AH29-AQ28)))</f>
        <v>211.39999999999998</v>
      </c>
      <c r="AJ29" s="14">
        <f>AI29*VLOOKUP('Données projet'!$B$10,Paramètres!$A$1:$I$88,3,0)*VLOOKUP('Données projet'!$B$10,Paramètres!$A$1:$I$88,5,0)</f>
        <v>131.91359999999997</v>
      </c>
      <c r="AK29" s="14">
        <f t="shared" si="35"/>
        <v>34.438159352115974</v>
      </c>
      <c r="AL29" s="22">
        <f t="shared" si="4"/>
        <v>289.72931420493524</v>
      </c>
      <c r="AM29" s="62">
        <f t="shared" si="5"/>
        <v>583.06264753826849</v>
      </c>
      <c r="AN29" s="62">
        <f ca="1">AVERAGE(OFFSET($AM$3,0,0,'Données projet'!$E$10+1,1))-AVERAGE(OFFSET($H$3,0,0,'Données projet'!$E$10+1,1))</f>
        <v>272.66985936980086</v>
      </c>
      <c r="AO29" s="62">
        <f t="shared" si="36"/>
        <v>320.12040114313697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42.099940002807273</v>
      </c>
      <c r="AW29" s="23">
        <f>EXP(-LN(2)/2)*AW28+(1-EXP(-LN(2)/2))/(LN(2)/2)*AQ29*AT29*VLOOKUP('Données projet'!$B$10,Paramètres!$A$1:$I$88,3,0)*0.475*44/12</f>
        <v>13.48209967373985</v>
      </c>
      <c r="AX29" s="23">
        <f t="shared" si="6"/>
        <v>55.582039676547126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5.666666666666667</v>
      </c>
      <c r="BD29" s="13">
        <f>IF('Données projet'!$A$88&gt;35,BD28+BC29-BL28,IF(A29&lt;'Données projet'!$A$88,$BA$205^A29,IF(A29='Données projet'!$A$88,'Données projet'!$B$88,BD28+BC29-BL28)))</f>
        <v>85.714783368535649</v>
      </c>
      <c r="BE29" s="14">
        <f>BD29*VLOOKUP('Données projet'!$B$11,Paramètres!$A$1:$I$88,3,0)*VLOOKUP('Données projet'!$B$11,Paramètres!$A$1:$I$88,5,0)</f>
        <v>40.114518616474683</v>
      </c>
      <c r="BF29" s="14">
        <f t="shared" si="37"/>
        <v>12.028995026405015</v>
      </c>
      <c r="BG29" s="22">
        <f t="shared" si="7"/>
        <v>90.816619594682138</v>
      </c>
      <c r="BH29" s="62">
        <f t="shared" si="8"/>
        <v>384.14995292801547</v>
      </c>
      <c r="BI29" s="62">
        <f ca="1">AVERAGE(OFFSET($BH$3,0,0,'Données projet'!$E$11+1,1))-AVERAGE(OFFSET($H$3,0,0,'Données projet'!$E$11+1,1))</f>
        <v>164.93326103756453</v>
      </c>
      <c r="BJ29" s="62">
        <f t="shared" si="38"/>
        <v>115.86489547584461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348.45882115271871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33</v>
      </c>
      <c r="N30" s="14">
        <f>IF('Données projet'!$A$36&gt;35,N29+M30-V29,IF(A30&lt;'Données projet'!$A$36,$K$205^A30,IF(A30='Données projet'!$A$36,'Données projet'!$B$36,N29+M30-V29)))</f>
        <v>425</v>
      </c>
      <c r="O30" s="14">
        <f>N30*VLOOKUP('Données projet'!$B$9,Paramètres!$A$1:$I$88,3,0)*VLOOKUP('Données projet'!$B$9,Paramètres!$A$1:$I$88,5,0)</f>
        <v>237.57500000000002</v>
      </c>
      <c r="P30" s="14">
        <f t="shared" si="33"/>
        <v>57.917471937261162</v>
      </c>
      <c r="Q30" s="22">
        <f t="shared" si="2"/>
        <v>514.64938862406325</v>
      </c>
      <c r="R30" s="62">
        <f t="shared" si="0"/>
        <v>807.98272195739651</v>
      </c>
      <c r="S30" s="62">
        <f ca="1">AVERAGE(OFFSET($R$3,0,0,'Données projet'!$E$9+1,1))-AVERAGE(OFFSET($H$3,0,0,'Données projet'!$E$9+1,1))</f>
        <v>461.42631729930201</v>
      </c>
      <c r="T30" s="62">
        <f t="shared" si="34"/>
        <v>570.46734160592086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20.970278735765785</v>
      </c>
      <c r="AB30" s="23">
        <f>EXP(-LN(2)/2)*AB29+(1-EXP(-LN(2)/2))/(LN(2)/2)*V30*Y30*VLOOKUP('Données projet'!$B$9,Paramètres!$A$1:$I$88,3,0)*0.475*44/12</f>
        <v>9.4129489753853424</v>
      </c>
      <c r="AC30" s="24">
        <f t="shared" si="3"/>
        <v>30.383227711151129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17.150000000000002</v>
      </c>
      <c r="AI30" s="14">
        <f>IF('Données projet'!$A$62&gt;35,AI29+AH30-AQ29,IF(A30&lt;'Données projet'!$A$62,$AF$205^A30,IF(A30='Données projet'!$A$62,'Données projet'!$B$62,AI29+AH30-AQ29)))</f>
        <v>228.54999999999998</v>
      </c>
      <c r="AJ30" s="14">
        <f>AI30*VLOOKUP('Données projet'!$B$10,Paramètres!$A$1:$I$88,3,0)*VLOOKUP('Données projet'!$B$10,Paramètres!$A$1:$I$88,5,0)</f>
        <v>142.61519999999999</v>
      </c>
      <c r="AK30" s="14">
        <f t="shared" si="35"/>
        <v>36.89546424141227</v>
      </c>
      <c r="AL30" s="22">
        <f t="shared" si="4"/>
        <v>312.64774022045964</v>
      </c>
      <c r="AM30" s="62">
        <f t="shared" si="5"/>
        <v>605.98107355379295</v>
      </c>
      <c r="AN30" s="62">
        <f ca="1">AVERAGE(OFFSET($AM$3,0,0,'Données projet'!$E$10+1,1))-AVERAGE(OFFSET($H$3,0,0,'Données projet'!$E$10+1,1))</f>
        <v>272.66985936980086</v>
      </c>
      <c r="AO30" s="62">
        <f t="shared" si="36"/>
        <v>320.12040114313697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40.948714929490883</v>
      </c>
      <c r="AW30" s="23">
        <f>EXP(-LN(2)/2)*AW29+(1-EXP(-LN(2)/2))/(LN(2)/2)*AQ30*AT30*VLOOKUP('Données projet'!$B$10,Paramètres!$A$1:$I$88,3,0)*0.475*44/12</f>
        <v>9.5332841039343883</v>
      </c>
      <c r="AX30" s="23">
        <f t="shared" si="6"/>
        <v>50.481999033425268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5.666666666666667</v>
      </c>
      <c r="BD30" s="13">
        <f>IF('Données projet'!$A$88&gt;35,BD29+BC30-BL29,IF(A30&lt;'Données projet'!$A$88,$BA$205^A30,IF(A30='Données projet'!$A$88,'Données projet'!$B$88,BD29+BC30-BL29)))</f>
        <v>101.71945608338704</v>
      </c>
      <c r="BE30" s="14">
        <f>BD30*VLOOKUP('Données projet'!$B$11,Paramètres!$A$1:$I$88,3,0)*VLOOKUP('Données projet'!$B$11,Paramètres!$A$1:$I$88,5,0)</f>
        <v>47.604705447025133</v>
      </c>
      <c r="BF30" s="14">
        <f t="shared" si="37"/>
        <v>13.993408129574757</v>
      </c>
      <c r="BG30" s="22">
        <f t="shared" si="7"/>
        <v>107.28338114591146</v>
      </c>
      <c r="BH30" s="62">
        <f t="shared" si="8"/>
        <v>400.61671447924476</v>
      </c>
      <c r="BI30" s="62">
        <f ca="1">AVERAGE(OFFSET($BH$3,0,0,'Données projet'!$E$11+1,1))-AVERAGE(OFFSET($H$3,0,0,'Données projet'!$E$11+1,1))</f>
        <v>164.93326103756453</v>
      </c>
      <c r="BJ30" s="62">
        <f t="shared" si="38"/>
        <v>115.86489547584461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350.44219501167436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33</v>
      </c>
      <c r="N31" s="14">
        <f>IF('Données projet'!$A$36&gt;35,N30+M31-V30,IF(A31&lt;'Données projet'!$A$36,$K$205^A31,IF(A31='Données projet'!$A$36,'Données projet'!$B$36,N30+M31-V30)))</f>
        <v>458</v>
      </c>
      <c r="O31" s="14">
        <f>N31*VLOOKUP('Données projet'!$B$9,Paramètres!$A$1:$I$88,3,0)*VLOOKUP('Données projet'!$B$9,Paramètres!$A$1:$I$88,5,0)</f>
        <v>256.02199999999999</v>
      </c>
      <c r="P31" s="14">
        <f t="shared" si="33"/>
        <v>61.873669712051253</v>
      </c>
      <c r="Q31" s="22">
        <f t="shared" si="2"/>
        <v>553.66829141515586</v>
      </c>
      <c r="R31" s="62">
        <f t="shared" si="0"/>
        <v>847.00162474848912</v>
      </c>
      <c r="S31" s="62">
        <f ca="1">AVERAGE(OFFSET($R$3,0,0,'Données projet'!$E$9+1,1))-AVERAGE(OFFSET($H$3,0,0,'Données projet'!$E$9+1,1))</f>
        <v>461.42631729930201</v>
      </c>
      <c r="T31" s="62">
        <f t="shared" si="34"/>
        <v>570.46734160592086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20.39684536095724</v>
      </c>
      <c r="AB31" s="23">
        <f>EXP(-LN(2)/2)*AB30+(1-EXP(-LN(2)/2))/(LN(2)/2)*V31*Y31*VLOOKUP('Données projet'!$B$9,Paramètres!$A$1:$I$88,3,0)*0.475*44/12</f>
        <v>6.6559600514579405</v>
      </c>
      <c r="AC31" s="24">
        <f t="shared" si="3"/>
        <v>27.052805412415182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17.150000000000002</v>
      </c>
      <c r="AI31" s="14">
        <f>IF('Données projet'!$A$62&gt;35,AI30+AH31-AQ30,IF(A31&lt;'Données projet'!$A$62,$AF$205^A31,IF(A31='Données projet'!$A$62,'Données projet'!$B$62,AI30+AH31-AQ30)))</f>
        <v>245.7</v>
      </c>
      <c r="AJ31" s="14">
        <f>AI31*VLOOKUP('Données projet'!$B$10,Paramètres!$A$1:$I$88,3,0)*VLOOKUP('Données projet'!$B$10,Paramètres!$A$1:$I$88,5,0)</f>
        <v>153.3168</v>
      </c>
      <c r="AK31" s="14">
        <f t="shared" si="35"/>
        <v>39.331378191752755</v>
      </c>
      <c r="AL31" s="22">
        <f t="shared" si="4"/>
        <v>335.52891035063607</v>
      </c>
      <c r="AM31" s="62">
        <f t="shared" si="5"/>
        <v>628.86224368396938</v>
      </c>
      <c r="AN31" s="62">
        <f ca="1">AVERAGE(OFFSET($AM$3,0,0,'Données projet'!$E$10+1,1))-AVERAGE(OFFSET($H$3,0,0,'Données projet'!$E$10+1,1))</f>
        <v>272.66985936980086</v>
      </c>
      <c r="AO31" s="62">
        <f t="shared" si="36"/>
        <v>320.12040114313697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39.828970166344625</v>
      </c>
      <c r="AW31" s="23">
        <f>EXP(-LN(2)/2)*AW30+(1-EXP(-LN(2)/2))/(LN(2)/2)*AQ31*AT31*VLOOKUP('Données projet'!$B$10,Paramètres!$A$1:$I$88,3,0)*0.475*44/12</f>
        <v>6.7410498368699256</v>
      </c>
      <c r="AX31" s="23">
        <f t="shared" si="6"/>
        <v>46.570020003214552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5.666666666666667</v>
      </c>
      <c r="BD31" s="13">
        <f>IF('Données projet'!$A$88&gt;35,BD30+BC31-BL30,IF(A31&lt;'Données projet'!$A$88,$BA$205^A31,IF(A31='Données projet'!$A$88,'Données projet'!$B$88,BD30+BC31-BL30)))</f>
        <v>120.71252284933438</v>
      </c>
      <c r="BE31" s="14">
        <f>BD31*VLOOKUP('Données projet'!$B$11,Paramètres!$A$1:$I$88,3,0)*VLOOKUP('Données projet'!$B$11,Paramètres!$A$1:$I$88,5,0)</f>
        <v>56.493460693488487</v>
      </c>
      <c r="BF31" s="14">
        <f t="shared" si="37"/>
        <v>16.278622665568623</v>
      </c>
      <c r="BG31" s="22">
        <f t="shared" si="7"/>
        <v>126.74471185035777</v>
      </c>
      <c r="BH31" s="62">
        <f t="shared" si="8"/>
        <v>420.07804518369107</v>
      </c>
      <c r="BI31" s="62">
        <f ca="1">AVERAGE(OFFSET($BH$3,0,0,'Données projet'!$E$11+1,1))-AVERAGE(OFFSET($H$3,0,0,'Données projet'!$E$11+1,1))</f>
        <v>164.93326103756453</v>
      </c>
      <c r="BJ31" s="62">
        <f t="shared" si="38"/>
        <v>115.86489547584461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352.42376517356132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33</v>
      </c>
      <c r="N32" s="14">
        <f>IF('Données projet'!$A$36&gt;35,N31+M32-V31,IF(A32&lt;'Données projet'!$A$36,$K$205^A32,IF(A32='Données projet'!$A$36,'Données projet'!$B$36,N31+M32-V31)))</f>
        <v>491</v>
      </c>
      <c r="O32" s="14">
        <f>N32*VLOOKUP('Données projet'!$B$9,Paramètres!$A$1:$I$88,3,0)*VLOOKUP('Données projet'!$B$9,Paramètres!$A$1:$I$88,5,0)</f>
        <v>274.46899999999999</v>
      </c>
      <c r="P32" s="14">
        <f t="shared" si="33"/>
        <v>65.796795812732981</v>
      </c>
      <c r="Q32" s="22">
        <f t="shared" si="2"/>
        <v>592.62959437384313</v>
      </c>
      <c r="R32" s="62">
        <f t="shared" si="0"/>
        <v>885.9629277071765</v>
      </c>
      <c r="S32" s="62">
        <f ca="1">AVERAGE(OFFSET($R$3,0,0,'Données projet'!$E$9+1,1))-AVERAGE(OFFSET($H$3,0,0,'Données projet'!$E$9+1,1))</f>
        <v>461.42631729930201</v>
      </c>
      <c r="T32" s="62">
        <f t="shared" si="34"/>
        <v>570.46734160592086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19.839092551938386</v>
      </c>
      <c r="AB32" s="23">
        <f>EXP(-LN(2)/2)*AB31+(1-EXP(-LN(2)/2))/(LN(2)/2)*V32*Y32*VLOOKUP('Données projet'!$B$9,Paramètres!$A$1:$I$88,3,0)*0.475*44/12</f>
        <v>4.7064744876926721</v>
      </c>
      <c r="AC32" s="24">
        <f t="shared" si="3"/>
        <v>24.545567039631059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17.150000000000002</v>
      </c>
      <c r="AI32" s="14">
        <f>IF('Données projet'!$A$62&gt;35,AI31+AH32-AQ31,IF(A32&lt;'Données projet'!$A$62,$AF$205^A32,IF(A32='Données projet'!$A$62,'Données projet'!$B$62,AI31+AH32-AQ31)))</f>
        <v>262.84999999999997</v>
      </c>
      <c r="AJ32" s="14">
        <f>AI32*VLOOKUP('Données projet'!$B$10,Paramètres!$A$1:$I$88,3,0)*VLOOKUP('Données projet'!$B$10,Paramètres!$A$1:$I$88,5,0)</f>
        <v>164.01839999999999</v>
      </c>
      <c r="AK32" s="14">
        <f t="shared" si="35"/>
        <v>41.747564141322293</v>
      </c>
      <c r="AL32" s="22">
        <f t="shared" si="4"/>
        <v>358.37572087946961</v>
      </c>
      <c r="AM32" s="62">
        <f t="shared" si="5"/>
        <v>651.70905421280293</v>
      </c>
      <c r="AN32" s="62">
        <f ca="1">AVERAGE(OFFSET($AM$3,0,0,'Données projet'!$E$10+1,1))-AVERAGE(OFFSET($H$3,0,0,'Données projet'!$E$10+1,1))</f>
        <v>272.66985936980086</v>
      </c>
      <c r="AO32" s="62">
        <f t="shared" si="36"/>
        <v>320.12040114313697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38.739844882631424</v>
      </c>
      <c r="AW32" s="23">
        <f>EXP(-LN(2)/2)*AW31+(1-EXP(-LN(2)/2))/(LN(2)/2)*AQ32*AT32*VLOOKUP('Données projet'!$B$10,Paramètres!$A$1:$I$88,3,0)*0.475*44/12</f>
        <v>4.766642051967195</v>
      </c>
      <c r="AX32" s="23">
        <f t="shared" si="6"/>
        <v>43.50648693459862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5.666666666666667</v>
      </c>
      <c r="BD32" s="13">
        <f>IF('Données projet'!$A$88&gt;35,BD31+BC32-BL31,IF(A32&lt;'Données projet'!$A$88,$BA$205^A32,IF(A32='Données projet'!$A$88,'Données projet'!$B$88,BD31+BC32-BL31)))</f>
        <v>143.25197689521377</v>
      </c>
      <c r="BE32" s="14">
        <f>BD32*VLOOKUP('Données projet'!$B$11,Paramètres!$A$1:$I$88,3,0)*VLOOKUP('Données projet'!$B$11,Paramètres!$A$1:$I$88,5,0)</f>
        <v>67.041925186960043</v>
      </c>
      <c r="BF32" s="14">
        <f t="shared" si="37"/>
        <v>18.93702759429323</v>
      </c>
      <c r="BG32" s="22">
        <f t="shared" si="7"/>
        <v>149.74667609401612</v>
      </c>
      <c r="BH32" s="62">
        <f t="shared" si="8"/>
        <v>443.08000942734941</v>
      </c>
      <c r="BI32" s="62">
        <f ca="1">AVERAGE(OFFSET($BH$3,0,0,'Données projet'!$E$11+1,1))-AVERAGE(OFFSET($H$3,0,0,'Données projet'!$E$11+1,1))</f>
        <v>164.93326103756453</v>
      </c>
      <c r="BJ32" s="62">
        <f t="shared" si="38"/>
        <v>115.86489547584461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354.40360096325321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524</v>
      </c>
      <c r="L33" s="13">
        <f>VLOOKUP(A33,'Données projet'!$A$35:$I$55,9,0)</f>
        <v>33</v>
      </c>
      <c r="M33" s="13">
        <f t="array" ref="M33">INDEX(L:L,MIN(IF(ISNUMBER(L33:L229),ROW(L33:L229),"")))</f>
        <v>33</v>
      </c>
      <c r="N33" s="14">
        <f>IF('Données projet'!$A$36&gt;35,N32+M33-V32,IF(A33&lt;'Données projet'!$A$36,$K$205^A33,IF(A33='Données projet'!$A$36,'Données projet'!$B$36,N32+M33-V32)))</f>
        <v>524</v>
      </c>
      <c r="O33" s="14">
        <f>N33*VLOOKUP('Données projet'!$B$9,Paramètres!$A$1:$I$88,3,0)*VLOOKUP('Données projet'!$B$9,Paramètres!$A$1:$I$88,5,0)</f>
        <v>292.916</v>
      </c>
      <c r="P33" s="14">
        <f t="shared" si="33"/>
        <v>69.68932587703776</v>
      </c>
      <c r="Q33" s="22">
        <f t="shared" si="2"/>
        <v>631.53760923584082</v>
      </c>
      <c r="R33" s="62">
        <f t="shared" si="0"/>
        <v>924.87094256917408</v>
      </c>
      <c r="S33" s="62">
        <f ca="1">AVERAGE(OFFSET($R$3,0,0,'Données projet'!$E$9+1,1))-AVERAGE(OFFSET($H$3,0,0,'Données projet'!$E$9+1,1))</f>
        <v>461.42631729930201</v>
      </c>
      <c r="T33" s="62">
        <f t="shared" si="34"/>
        <v>570.46734160592086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90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0.30800000000000005</v>
      </c>
      <c r="Y33" s="17">
        <f>IF(ISNA(VLOOKUP(A33,'Données projet'!$A$35:$I$55,7,0)),0%,VLOOKUP(A33,'Données projet'!$A$35:$I$55,7,0))</f>
        <v>0.44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39.771408678917794</v>
      </c>
      <c r="AB33" s="23">
        <f>EXP(-LN(2)/2)*AB32+(1-EXP(-LN(2)/2))/(LN(2)/2)*V33*Y33*VLOOKUP('Données projet'!$B$9,Paramètres!$A$1:$I$88,3,0)*0.475*44/12</f>
        <v>28.391527056693828</v>
      </c>
      <c r="AC33" s="24">
        <f t="shared" si="3"/>
        <v>68.162935735611626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280</v>
      </c>
      <c r="AG33" s="13">
        <f>VLOOKUP(A33,'Données projet'!$A$61:$I$81,9,0)</f>
        <v>17.150000000000002</v>
      </c>
      <c r="AH33" s="13">
        <f t="array" ref="AH33">INDEX(AG:AG,MIN(IF(ISNUMBER(AG33:AG229),ROW(AG33:AG229),"")))</f>
        <v>17.150000000000002</v>
      </c>
      <c r="AI33" s="14">
        <f>IF('Données projet'!$A$62&gt;35,AI32+AH33-AQ32,IF(A33&lt;'Données projet'!$A$62,$AF$205^A33,IF(A33='Données projet'!$A$62,'Données projet'!$B$62,AI32+AH33-AQ32)))</f>
        <v>279.99999999999994</v>
      </c>
      <c r="AJ33" s="14">
        <f>AI33*VLOOKUP('Données projet'!$B$10,Paramètres!$A$1:$I$88,3,0)*VLOOKUP('Données projet'!$B$10,Paramètres!$A$1:$I$88,5,0)</f>
        <v>174.71999999999997</v>
      </c>
      <c r="AK33" s="14">
        <f t="shared" si="35"/>
        <v>44.145455754865246</v>
      </c>
      <c r="AL33" s="22">
        <f t="shared" si="4"/>
        <v>381.19066877305687</v>
      </c>
      <c r="AM33" s="62">
        <f t="shared" si="5"/>
        <v>674.52400210639018</v>
      </c>
      <c r="AN33" s="62">
        <f ca="1">AVERAGE(OFFSET($AM$3,0,0,'Données projet'!$E$10+1,1))-AVERAGE(OFFSET($H$3,0,0,'Données projet'!$E$10+1,1))</f>
        <v>272.66985936980086</v>
      </c>
      <c r="AO33" s="62">
        <f t="shared" si="36"/>
        <v>320.12040114313697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63.6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0.33600000000000002</v>
      </c>
      <c r="AT33" s="17">
        <f>IF(ISNA(VLOOKUP(A33,'Données projet'!$A$61:$I$81,7,0)),0%,VLOOKUP(A33,'Données projet'!$A$61:$I$81,7,0))</f>
        <v>0.44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55.300099197690884</v>
      </c>
      <c r="AW33" s="23">
        <f>EXP(-LN(2)/2)*AW32+(1-EXP(-LN(2)/2))/(LN(2)/2)*AQ33*AT33*VLOOKUP('Données projet'!$B$10,Paramètres!$A$1:$I$88,3,0)*0.475*44/12</f>
        <v>23.14158341355887</v>
      </c>
      <c r="AX33" s="23">
        <f t="shared" si="6"/>
        <v>78.441682611249746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170</v>
      </c>
      <c r="BB33" s="13">
        <f>VLOOKUP(A33,'Données projet'!$A$87:$I$107,9,0)</f>
        <v>5.666666666666667</v>
      </c>
      <c r="BC33" s="13">
        <f t="array" ref="BC33">INDEX(BB:BB,MIN(IF(ISNUMBER(BB33:BB229),ROW(BB33:BB229),"")))</f>
        <v>5.666666666666667</v>
      </c>
      <c r="BD33" s="13">
        <f>IF('Données projet'!$A$88&gt;35,BD32+BC33-BL32,IF(A33&lt;'Données projet'!$A$88,$BA$205^A33,IF(A33='Données projet'!$A$88,'Données projet'!$B$88,BD32+BC33-BL32)))</f>
        <v>170</v>
      </c>
      <c r="BE33" s="14">
        <f>BD33*VLOOKUP('Données projet'!$B$11,Paramètres!$A$1:$I$88,3,0)*VLOOKUP('Données projet'!$B$11,Paramètres!$A$1:$I$88,5,0)</f>
        <v>79.56</v>
      </c>
      <c r="BF33" s="14">
        <f t="shared" si="37"/>
        <v>22.029567333453311</v>
      </c>
      <c r="BG33" s="22">
        <f t="shared" si="7"/>
        <v>176.93516310576453</v>
      </c>
      <c r="BH33" s="62">
        <f t="shared" si="8"/>
        <v>470.26849643909782</v>
      </c>
      <c r="BI33" s="62">
        <f ca="1">AVERAGE(OFFSET($BH$3,0,0,'Données projet'!$E$11+1,1))-AVERAGE(OFFSET($H$3,0,0,'Données projet'!$E$11+1,1))</f>
        <v>164.93326103756453</v>
      </c>
      <c r="BJ33" s="62">
        <f t="shared" si="38"/>
        <v>115.86489547584461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40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0.30800000000000005</v>
      </c>
      <c r="BO33" s="17">
        <f>IF(ISNA(VLOOKUP(A33,'Données projet'!$A$87:$I$107,7,0)),0%,VLOOKUP(A33,'Données projet'!$A$87:$I$107,7,0))</f>
        <v>0.44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7.6185366162250032</v>
      </c>
      <c r="BR33" s="23">
        <f>EXP(-LN(2)/2)*BR32+(1-EXP(-LN(2)/2))/(LN(2)/2)*BL33*BO33*VLOOKUP('Données projet'!$B$11,Paramètres!$A$1:$I$88,3,0)*0.475*44/12</f>
        <v>9.3259709882659934</v>
      </c>
      <c r="BS33" s="24">
        <f t="shared" si="9"/>
        <v>16.944507604490997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356.38176682171019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28.4</v>
      </c>
      <c r="N34" s="14">
        <f>IF('Données projet'!$A$36&gt;35,N33+M34-V33,IF(A34&lt;'Données projet'!$A$36,$K$205^A34,IF(A34='Données projet'!$A$36,'Données projet'!$B$36,N33+M34-V33)))</f>
        <v>462.4</v>
      </c>
      <c r="O34" s="14">
        <f>N34*VLOOKUP('Données projet'!$B$9,Paramètres!$A$1:$I$88,3,0)*VLOOKUP('Données projet'!$B$9,Paramètres!$A$1:$I$88,5,0)</f>
        <v>258.48160000000001</v>
      </c>
      <c r="P34" s="14">
        <f t="shared" si="33"/>
        <v>62.398606187610767</v>
      </c>
      <c r="Q34" s="22">
        <f t="shared" si="2"/>
        <v>558.86635911008875</v>
      </c>
      <c r="R34" s="62">
        <f t="shared" si="0"/>
        <v>852.19969244342201</v>
      </c>
      <c r="S34" s="62">
        <f ca="1">AVERAGE(OFFSET($R$3,0,0,'Données projet'!$E$9+1,1))-AVERAGE(OFFSET($H$3,0,0,'Données projet'!$E$9+1,1))</f>
        <v>461.42631729930201</v>
      </c>
      <c r="T34" s="62">
        <f t="shared" si="34"/>
        <v>570.46734160592086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38.683857417105301</v>
      </c>
      <c r="AB34" s="23">
        <f>EXP(-LN(2)/2)*AB33+(1-EXP(-LN(2)/2))/(LN(2)/2)*V34*Y34*VLOOKUP('Données projet'!$B$9,Paramètres!$A$1:$I$88,3,0)*0.475*44/12</f>
        <v>20.075841310029549</v>
      </c>
      <c r="AC34" s="24">
        <f t="shared" si="3"/>
        <v>58.759698727134847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14.6</v>
      </c>
      <c r="AI34" s="14">
        <f>IF('Données projet'!$A$62&gt;35,AI33+AH34-AQ33,IF(A34&lt;'Données projet'!$A$62,$AF$205^A34,IF(A34='Données projet'!$A$62,'Données projet'!$B$62,AI33+AH34-AQ33)))</f>
        <v>230.99999999999997</v>
      </c>
      <c r="AJ34" s="14">
        <f>AI34*VLOOKUP('Données projet'!$B$10,Paramètres!$A$1:$I$88,3,0)*VLOOKUP('Données projet'!$B$10,Paramètres!$A$1:$I$88,5,0)</f>
        <v>144.14399999999998</v>
      </c>
      <c r="AK34" s="14">
        <f t="shared" si="35"/>
        <v>37.244720006976252</v>
      </c>
      <c r="AL34" s="22">
        <f t="shared" si="4"/>
        <v>315.91868734548359</v>
      </c>
      <c r="AM34" s="62">
        <f t="shared" si="5"/>
        <v>609.25202067881696</v>
      </c>
      <c r="AN34" s="62">
        <f ca="1">AVERAGE(OFFSET($AM$3,0,0,'Données projet'!$E$10+1,1))-AVERAGE(OFFSET($H$3,0,0,'Données projet'!$E$10+1,1))</f>
        <v>272.66985936980086</v>
      </c>
      <c r="AO34" s="62">
        <f t="shared" si="36"/>
        <v>320.12040114313697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53.787915077024202</v>
      </c>
      <c r="AW34" s="23">
        <f>EXP(-LN(2)/2)*AW33+(1-EXP(-LN(2)/2))/(LN(2)/2)*AQ34*AT34*VLOOKUP('Données projet'!$B$10,Paramètres!$A$1:$I$88,3,0)*0.475*44/12</f>
        <v>16.363570559121609</v>
      </c>
      <c r="AX34" s="23">
        <f t="shared" si="6"/>
        <v>70.151485636145807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</v>
      </c>
      <c r="BD34" s="13">
        <f>IF('Données projet'!$A$88&gt;35,BD33+BC34-BL33,IF(A34&lt;'Données projet'!$A$88,$BA$205^A34,IF(A34='Données projet'!$A$88,'Données projet'!$B$88,BD33+BC34-BL33)))</f>
        <v>140</v>
      </c>
      <c r="BE34" s="14">
        <f>BD34*VLOOKUP('Données projet'!$B$11,Paramètres!$A$1:$I$88,3,0)*VLOOKUP('Données projet'!$B$11,Paramètres!$A$1:$I$88,5,0)</f>
        <v>65.52</v>
      </c>
      <c r="BF34" s="14">
        <f t="shared" si="37"/>
        <v>18.556669503136725</v>
      </c>
      <c r="BG34" s="22">
        <f t="shared" si="7"/>
        <v>146.43353271796309</v>
      </c>
      <c r="BH34" s="62">
        <f t="shared" si="8"/>
        <v>439.7668660512964</v>
      </c>
      <c r="BI34" s="62">
        <f ca="1">AVERAGE(OFFSET($BH$3,0,0,'Données projet'!$E$11+1,1))-AVERAGE(OFFSET($H$3,0,0,'Données projet'!$E$11+1,1))</f>
        <v>164.93326103756453</v>
      </c>
      <c r="BJ34" s="62">
        <f t="shared" si="38"/>
        <v>115.86489547584461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7.4102073318129023</v>
      </c>
      <c r="BR34" s="23">
        <f>EXP(-LN(2)/2)*BR33+(1-EXP(-LN(2)/2))/(LN(2)/2)*BL34*BO34*VLOOKUP('Données projet'!$B$11,Paramètres!$A$1:$I$88,3,0)*0.475*44/12</f>
        <v>6.5944573269518925</v>
      </c>
      <c r="BS34" s="24">
        <f t="shared" si="9"/>
        <v>14.004664658764796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358.35832279638072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28.4</v>
      </c>
      <c r="N35" s="14">
        <f>IF('Données projet'!$A$36&gt;35,N34+M35-V34,IF(A35&lt;'Données projet'!$A$36,$K$205^A35,IF(A35='Données projet'!$A$36,'Données projet'!$B$36,N34+M35-V34)))</f>
        <v>490.79999999999995</v>
      </c>
      <c r="O35" s="14">
        <f>N35*VLOOKUP('Données projet'!$B$9,Paramètres!$A$1:$I$88,3,0)*VLOOKUP('Données projet'!$B$9,Paramètres!$A$1:$I$88,5,0)</f>
        <v>274.35719999999998</v>
      </c>
      <c r="P35" s="14">
        <f t="shared" si="33"/>
        <v>65.773113764972635</v>
      </c>
      <c r="Q35" s="22">
        <f t="shared" ref="Q35:Q66" si="53">(O35+P35)*0.475*44/12</f>
        <v>592.39362980732722</v>
      </c>
      <c r="R35" s="62">
        <f t="shared" si="0"/>
        <v>885.72696314066047</v>
      </c>
      <c r="S35" s="62">
        <f ca="1">AVERAGE(OFFSET($R$3,0,0,'Données projet'!$E$9+1,1))-AVERAGE(OFFSET($H$3,0,0,'Données projet'!$E$9+1,1))</f>
        <v>461.42631729930201</v>
      </c>
      <c r="T35" s="62">
        <f t="shared" si="34"/>
        <v>570.46734160592086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37.626045301738905</v>
      </c>
      <c r="AB35" s="23">
        <f>EXP(-LN(2)/2)*AB34+(1-EXP(-LN(2)/2))/(LN(2)/2)*V35*Y35*VLOOKUP('Données projet'!$B$9,Paramètres!$A$1:$I$88,3,0)*0.475*44/12</f>
        <v>14.195763528346918</v>
      </c>
      <c r="AC35" s="24">
        <f t="shared" si="3"/>
        <v>51.821808830085821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14.6</v>
      </c>
      <c r="AI35" s="14">
        <f>IF('Données projet'!$A$62&gt;35,AI34+AH35-AQ34,IF(A35&lt;'Données projet'!$A$62,$AF$205^A35,IF(A35='Données projet'!$A$62,'Données projet'!$B$62,AI34+AH35-AQ34)))</f>
        <v>245.59999999999997</v>
      </c>
      <c r="AJ35" s="14">
        <f>AI35*VLOOKUP('Données projet'!$B$10,Paramètres!$A$1:$I$88,3,0)*VLOOKUP('Données projet'!$B$10,Paramètres!$A$1:$I$88,5,0)</f>
        <v>153.25439999999998</v>
      </c>
      <c r="AK35" s="14">
        <f t="shared" si="35"/>
        <v>39.317233287760558</v>
      </c>
      <c r="AL35" s="22">
        <f t="shared" si="4"/>
        <v>335.39559464284957</v>
      </c>
      <c r="AM35" s="62">
        <f t="shared" si="5"/>
        <v>628.72892797618283</v>
      </c>
      <c r="AN35" s="62">
        <f ca="1">AVERAGE(OFFSET($AM$3,0,0,'Données projet'!$E$10+1,1))-AVERAGE(OFFSET($H$3,0,0,'Données projet'!$E$10+1,1))</f>
        <v>272.66985936980086</v>
      </c>
      <c r="AO35" s="62">
        <f t="shared" si="36"/>
        <v>320.12040114313697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52.317081710659458</v>
      </c>
      <c r="AW35" s="23">
        <f>EXP(-LN(2)/2)*AW34+(1-EXP(-LN(2)/2))/(LN(2)/2)*AQ35*AT35*VLOOKUP('Données projet'!$B$10,Paramètres!$A$1:$I$88,3,0)*0.475*44/12</f>
        <v>11.570791706779435</v>
      </c>
      <c r="AX35" s="23">
        <f t="shared" si="6"/>
        <v>63.887873417438897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</v>
      </c>
      <c r="BD35" s="13">
        <f>IF('Données projet'!$A$88&gt;35,BD34+BC35-BL34,IF(A35&lt;'Données projet'!$A$88,$BA$205^A35,IF(A35='Données projet'!$A$88,'Données projet'!$B$88,BD34+BC35-BL34)))</f>
        <v>150</v>
      </c>
      <c r="BE35" s="14">
        <f>BD35*VLOOKUP('Données projet'!$B$11,Paramètres!$A$1:$I$88,3,0)*VLOOKUP('Données projet'!$B$11,Paramètres!$A$1:$I$88,5,0)</f>
        <v>70.2</v>
      </c>
      <c r="BF35" s="14">
        <f t="shared" si="37"/>
        <v>19.723116370112194</v>
      </c>
      <c r="BG35" s="22">
        <f t="shared" si="7"/>
        <v>156.61609434461207</v>
      </c>
      <c r="BH35" s="62">
        <f t="shared" si="8"/>
        <v>449.94942767794538</v>
      </c>
      <c r="BI35" s="62">
        <f ca="1">AVERAGE(OFFSET($BH$3,0,0,'Données projet'!$E$11+1,1))-AVERAGE(OFFSET($H$3,0,0,'Données projet'!$E$11+1,1))</f>
        <v>164.93326103756453</v>
      </c>
      <c r="BJ35" s="62">
        <f t="shared" si="38"/>
        <v>115.86489547584461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7.2075748226386107</v>
      </c>
      <c r="BR35" s="23">
        <f>EXP(-LN(2)/2)*BR34+(1-EXP(-LN(2)/2))/(LN(2)/2)*BL35*BO35*VLOOKUP('Données projet'!$B$11,Paramètres!$A$1:$I$88,3,0)*0.475*44/12</f>
        <v>4.6629854941329976</v>
      </c>
      <c r="BS35" s="24">
        <f t="shared" si="9"/>
        <v>11.870560316771609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360.33332496858065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28.4</v>
      </c>
      <c r="N36" s="14">
        <f>IF('Données projet'!$A$36&gt;35,N35+M36-V35,IF(A36&lt;'Données projet'!$A$36,$K$205^A36,IF(A36='Données projet'!$A$36,'Données projet'!$B$36,N35+M36-V35)))</f>
        <v>519.19999999999993</v>
      </c>
      <c r="O36" s="14">
        <f>N36*VLOOKUP('Données projet'!$B$9,Paramètres!$A$1:$I$88,3,0)*VLOOKUP('Données projet'!$B$9,Paramètres!$A$1:$I$88,5,0)</f>
        <v>290.2328</v>
      </c>
      <c r="P36" s="14">
        <f t="shared" si="33"/>
        <v>69.124955529636495</v>
      </c>
      <c r="Q36" s="22">
        <f t="shared" si="53"/>
        <v>625.88142421411692</v>
      </c>
      <c r="R36" s="62">
        <f t="shared" si="0"/>
        <v>919.21475754745029</v>
      </c>
      <c r="S36" s="62">
        <f ca="1">AVERAGE(OFFSET($R$3,0,0,'Données projet'!$E$9+1,1))-AVERAGE(OFFSET($H$3,0,0,'Données projet'!$E$9+1,1))</f>
        <v>461.42631729930201</v>
      </c>
      <c r="T36" s="62">
        <f t="shared" si="34"/>
        <v>570.46734160592086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36.597159114295131</v>
      </c>
      <c r="AB36" s="23">
        <f>EXP(-LN(2)/2)*AB35+(1-EXP(-LN(2)/2))/(LN(2)/2)*V36*Y36*VLOOKUP('Données projet'!$B$9,Paramètres!$A$1:$I$88,3,0)*0.475*44/12</f>
        <v>10.037920655014776</v>
      </c>
      <c r="AC36" s="24">
        <f t="shared" si="3"/>
        <v>46.635079769309911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14.6</v>
      </c>
      <c r="AI36" s="14">
        <f>IF('Données projet'!$A$62&gt;35,AI35+AH36-AQ35,IF(A36&lt;'Données projet'!$A$62,$AF$205^A36,IF(A36='Données projet'!$A$62,'Données projet'!$B$62,AI35+AH36-AQ35)))</f>
        <v>260.2</v>
      </c>
      <c r="AJ36" s="14">
        <f>AI36*VLOOKUP('Données projet'!$B$10,Paramètres!$A$1:$I$88,3,0)*VLOOKUP('Données projet'!$B$10,Paramètres!$A$1:$I$88,5,0)</f>
        <v>162.36479999999997</v>
      </c>
      <c r="AK36" s="14">
        <f t="shared" si="35"/>
        <v>41.375446334072237</v>
      </c>
      <c r="AL36" s="22">
        <f t="shared" si="4"/>
        <v>354.847595698509</v>
      </c>
      <c r="AM36" s="62">
        <f t="shared" si="5"/>
        <v>648.18092903184231</v>
      </c>
      <c r="AN36" s="62">
        <f ca="1">AVERAGE(OFFSET($AM$3,0,0,'Données projet'!$E$10+1,1))-AVERAGE(OFFSET($H$3,0,0,'Données projet'!$E$10+1,1))</f>
        <v>272.66985936980086</v>
      </c>
      <c r="AO36" s="62">
        <f t="shared" si="36"/>
        <v>320.12040114313697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50.886468360045718</v>
      </c>
      <c r="AW36" s="23">
        <f>EXP(-LN(2)/2)*AW35+(1-EXP(-LN(2)/2))/(LN(2)/2)*AQ36*AT36*VLOOKUP('Données projet'!$B$10,Paramètres!$A$1:$I$88,3,0)*0.475*44/12</f>
        <v>8.1817852795608044</v>
      </c>
      <c r="AX36" s="23">
        <f t="shared" si="6"/>
        <v>59.068253639606525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</v>
      </c>
      <c r="BD36" s="13">
        <f>IF('Données projet'!$A$88&gt;35,BD35+BC36-BL35,IF(A36&lt;'Données projet'!$A$88,$BA$205^A36,IF(A36='Données projet'!$A$88,'Données projet'!$B$88,BD35+BC36-BL35)))</f>
        <v>160</v>
      </c>
      <c r="BE36" s="14">
        <f>BD36*VLOOKUP('Données projet'!$B$11,Paramètres!$A$1:$I$88,3,0)*VLOOKUP('Données projet'!$B$11,Paramètres!$A$1:$I$88,5,0)</f>
        <v>74.88</v>
      </c>
      <c r="BF36" s="14">
        <f t="shared" si="37"/>
        <v>20.880539585643231</v>
      </c>
      <c r="BG36" s="22">
        <f t="shared" si="7"/>
        <v>166.78293977832863</v>
      </c>
      <c r="BH36" s="62">
        <f t="shared" si="8"/>
        <v>460.11627311166194</v>
      </c>
      <c r="BI36" s="62">
        <f ca="1">AVERAGE(OFFSET($BH$3,0,0,'Données projet'!$E$11+1,1))-AVERAGE(OFFSET($H$3,0,0,'Données projet'!$E$11+1,1))</f>
        <v>164.93326103756453</v>
      </c>
      <c r="BJ36" s="62">
        <f t="shared" si="38"/>
        <v>115.86489547584461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7.0104833100836714</v>
      </c>
      <c r="BR36" s="23">
        <f>EXP(-LN(2)/2)*BR35+(1-EXP(-LN(2)/2))/(LN(2)/2)*BL36*BO36*VLOOKUP('Données projet'!$B$11,Paramètres!$A$1:$I$88,3,0)*0.475*44/12</f>
        <v>3.2972286634759471</v>
      </c>
      <c r="BS36" s="24">
        <f t="shared" si="9"/>
        <v>10.307711973559618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362.30682582761347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28.4</v>
      </c>
      <c r="N37" s="14">
        <f>IF('Données projet'!$A$36&gt;35,N36+M37-V36,IF(A37&lt;'Données projet'!$A$36,$K$205^A37,IF(A37='Données projet'!$A$36,'Données projet'!$B$36,N36+M37-V36)))</f>
        <v>547.59999999999991</v>
      </c>
      <c r="O37" s="14">
        <f>N37*VLOOKUP('Données projet'!$B$9,Paramètres!$A$1:$I$88,3,0)*VLOOKUP('Données projet'!$B$9,Paramètres!$A$1:$I$88,5,0)</f>
        <v>306.10839999999996</v>
      </c>
      <c r="P37" s="14">
        <f t="shared" si="33"/>
        <v>72.455512621968097</v>
      </c>
      <c r="Q37" s="22">
        <f t="shared" si="53"/>
        <v>659.33214781659433</v>
      </c>
      <c r="R37" s="62">
        <f t="shared" si="0"/>
        <v>952.6654811499277</v>
      </c>
      <c r="S37" s="62">
        <f ca="1">AVERAGE(OFFSET($R$3,0,0,'Données projet'!$E$9+1,1))-AVERAGE(OFFSET($H$3,0,0,'Données projet'!$E$9+1,1))</f>
        <v>461.42631729930201</v>
      </c>
      <c r="T37" s="62">
        <f t="shared" si="34"/>
        <v>570.46734160592086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35.596407873753776</v>
      </c>
      <c r="AB37" s="23">
        <f>EXP(-LN(2)/2)*AB36+(1-EXP(-LN(2)/2))/(LN(2)/2)*V37*Y37*VLOOKUP('Données projet'!$B$9,Paramètres!$A$1:$I$88,3,0)*0.475*44/12</f>
        <v>7.0978817641734597</v>
      </c>
      <c r="AC37" s="24">
        <f t="shared" si="3"/>
        <v>42.694289637927234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14.6</v>
      </c>
      <c r="AI37" s="14">
        <f>IF('Données projet'!$A$62&gt;35,AI36+AH37-AQ36,IF(A37&lt;'Données projet'!$A$62,$AF$205^A37,IF(A37='Données projet'!$A$62,'Données projet'!$B$62,AI36+AH37-AQ36)))</f>
        <v>274.8</v>
      </c>
      <c r="AJ37" s="14">
        <f>AI37*VLOOKUP('Données projet'!$B$10,Paramètres!$A$1:$I$88,3,0)*VLOOKUP('Données projet'!$B$10,Paramètres!$A$1:$I$88,5,0)</f>
        <v>171.4752</v>
      </c>
      <c r="AK37" s="14">
        <f t="shared" si="35"/>
        <v>43.420252985462113</v>
      </c>
      <c r="AL37" s="22">
        <f t="shared" si="4"/>
        <v>374.27624728301316</v>
      </c>
      <c r="AM37" s="62">
        <f t="shared" si="5"/>
        <v>667.60958061634642</v>
      </c>
      <c r="AN37" s="62">
        <f ca="1">AVERAGE(OFFSET($AM$3,0,0,'Données projet'!$E$10+1,1))-AVERAGE(OFFSET($H$3,0,0,'Données projet'!$E$10+1,1))</f>
        <v>272.66985936980086</v>
      </c>
      <c r="AO37" s="62">
        <f t="shared" si="36"/>
        <v>320.12040114313697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49.494975206737202</v>
      </c>
      <c r="AW37" s="23">
        <f>EXP(-LN(2)/2)*AW36+(1-EXP(-LN(2)/2))/(LN(2)/2)*AQ37*AT37*VLOOKUP('Données projet'!$B$10,Paramètres!$A$1:$I$88,3,0)*0.475*44/12</f>
        <v>5.7853958533897174</v>
      </c>
      <c r="AX37" s="23">
        <f t="shared" si="6"/>
        <v>55.280371060126917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</v>
      </c>
      <c r="BD37" s="13">
        <f>IF('Données projet'!$A$88&gt;35,BD36+BC37-BL36,IF(A37&lt;'Données projet'!$A$88,$BA$205^A37,IF(A37='Données projet'!$A$88,'Données projet'!$B$88,BD36+BC37-BL36)))</f>
        <v>170</v>
      </c>
      <c r="BE37" s="14">
        <f>BD37*VLOOKUP('Données projet'!$B$11,Paramètres!$A$1:$I$88,3,0)*VLOOKUP('Données projet'!$B$11,Paramètres!$A$1:$I$88,5,0)</f>
        <v>79.56</v>
      </c>
      <c r="BF37" s="14">
        <f t="shared" si="37"/>
        <v>22.029567333453311</v>
      </c>
      <c r="BG37" s="22">
        <f t="shared" si="7"/>
        <v>176.93516310576453</v>
      </c>
      <c r="BH37" s="62">
        <f t="shared" si="8"/>
        <v>470.26849643909782</v>
      </c>
      <c r="BI37" s="62">
        <f ca="1">AVERAGE(OFFSET($BH$3,0,0,'Données projet'!$E$11+1,1))-AVERAGE(OFFSET($H$3,0,0,'Données projet'!$E$11+1,1))</f>
        <v>164.93326103756453</v>
      </c>
      <c r="BJ37" s="62">
        <f t="shared" si="38"/>
        <v>115.86489547584461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6.818781275304139</v>
      </c>
      <c r="BR37" s="23">
        <f>EXP(-LN(2)/2)*BR36+(1-EXP(-LN(2)/2))/(LN(2)/2)*BL37*BO37*VLOOKUP('Données projet'!$B$11,Paramètres!$A$1:$I$88,3,0)*0.475*44/12</f>
        <v>2.3314927470664992</v>
      </c>
      <c r="BS37" s="24">
        <f t="shared" si="9"/>
        <v>9.1502740223706382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364.27887459963966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576</v>
      </c>
      <c r="L38" s="13">
        <f>VLOOKUP(A38,'Données projet'!$A$35:$I$55,9,0)</f>
        <v>28.4</v>
      </c>
      <c r="M38" s="13">
        <f t="array" ref="M38">INDEX(L:L,MIN(IF(ISNUMBER(L38:L234),ROW(L38:L234),"")))</f>
        <v>28.4</v>
      </c>
      <c r="N38" s="14">
        <f>IF('Données projet'!$A$36&gt;35,N37+M38-V37,IF(A38&lt;'Données projet'!$A$36,$K$205^A38,IF(A38='Données projet'!$A$36,'Données projet'!$B$36,N37+M38-V37)))</f>
        <v>575.99999999999989</v>
      </c>
      <c r="O38" s="14">
        <f>N38*VLOOKUP('Données projet'!$B$9,Paramètres!$A$1:$I$88,3,0)*VLOOKUP('Données projet'!$B$9,Paramètres!$A$1:$I$88,5,0)</f>
        <v>321.98399999999992</v>
      </c>
      <c r="P38" s="14">
        <f t="shared" si="33"/>
        <v>75.76601483154208</v>
      </c>
      <c r="Q38" s="22">
        <f t="shared" si="53"/>
        <v>692.74794249826891</v>
      </c>
      <c r="R38" s="62">
        <f t="shared" si="0"/>
        <v>986.08127583160217</v>
      </c>
      <c r="S38" s="62">
        <f ca="1">AVERAGE(OFFSET($R$3,0,0,'Données projet'!$E$9+1,1))-AVERAGE(OFFSET($H$3,0,0,'Données projet'!$E$9+1,1))</f>
        <v>461.42631729930201</v>
      </c>
      <c r="T38" s="62">
        <f t="shared" si="34"/>
        <v>570.46734160592086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72</v>
      </c>
      <c r="W38" s="17">
        <f>IF(ISNA(VLOOKUP(A38,'Données projet'!$A$35:$I$55,5,0)),0%,VLOOKUP(A38,'Données projet'!$A$35:$I$55,5,0)*VLOOKUP('Données projet'!$B$9,Paramètres!$A$1:$I$88,7,0))</f>
        <v>0.11000000000000001</v>
      </c>
      <c r="X38" s="17">
        <f>IF(ISNA(VLOOKUP(A38,'Données projet'!$A$35:$I$55,6,0)),0%,VLOOKUP(A38,'Données projet'!$A$35:$I$55,6,0)*VLOOKUP('Données projet'!$B$9,Paramètres!$A$1:$I$88,7,0))</f>
        <v>0.24640000000000006</v>
      </c>
      <c r="Y38" s="17">
        <f>IF(ISNA(VLOOKUP(A38,'Données projet'!$A$35:$I$55,7,0)),0%,VLOOKUP(A38,'Données projet'!$A$35:$I$55,7,0))</f>
        <v>0.35200000000000004</v>
      </c>
      <c r="Z38" s="23">
        <f>EXP(-LN(2)/35)*Z37+(1-EXP(-LN(2)/35))/(LN(2)/35)*V38*W38*VLOOKUP('Données projet'!$B$9,Paramètres!$A$1:$I$88,3,0)*0.475*44/12</f>
        <v>5.8730722822783683</v>
      </c>
      <c r="AA38" s="23">
        <f>EXP(-LN(2)/25)*AA37+(1-EXP(-LN(2)/25))/(LN(2)/25)*Calculateur!V38*Calculateur!X38*VLOOKUP('Données projet'!$B$9,Paramètres!$A$1:$I$88,3,0)*0.475*44/12</f>
        <v>47.726905208419254</v>
      </c>
      <c r="AB38" s="23">
        <f>EXP(-LN(2)/2)*AB37+(1-EXP(-LN(2)/2))/(LN(2)/2)*V38*Y38*VLOOKUP('Données projet'!$B$9,Paramètres!$A$1:$I$88,3,0)*0.475*44/12</f>
        <v>21.059630427324898</v>
      </c>
      <c r="AC38" s="24">
        <f t="shared" si="3"/>
        <v>74.659607918022516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14.6</v>
      </c>
      <c r="AI38" s="14">
        <f>IF('Données projet'!$A$62&gt;35,AI37+AH38-AQ37,IF(A38&lt;'Données projet'!$A$62,$AF$205^A38,IF(A38='Données projet'!$A$62,'Données projet'!$B$62,AI37+AH38-AQ37)))</f>
        <v>289.40000000000003</v>
      </c>
      <c r="AJ38" s="14">
        <f>AI38*VLOOKUP('Données projet'!$B$10,Paramètres!$A$1:$I$88,3,0)*VLOOKUP('Données projet'!$B$10,Paramètres!$A$1:$I$88,5,0)</f>
        <v>180.58560000000003</v>
      </c>
      <c r="AK38" s="14">
        <f t="shared" si="35"/>
        <v>45.452446738615699</v>
      </c>
      <c r="AL38" s="22">
        <f t="shared" si="4"/>
        <v>393.68293140308901</v>
      </c>
      <c r="AM38" s="62">
        <f t="shared" si="5"/>
        <v>687.01626473642227</v>
      </c>
      <c r="AN38" s="62">
        <f ca="1">AVERAGE(OFFSET($AM$3,0,0,'Données projet'!$E$10+1,1))-AVERAGE(OFFSET($H$3,0,0,'Données projet'!$E$10+1,1))</f>
        <v>272.66985936980086</v>
      </c>
      <c r="AO38" s="62">
        <f t="shared" si="36"/>
        <v>320.12040114313697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48.141532506881347</v>
      </c>
      <c r="AW38" s="23">
        <f>EXP(-LN(2)/2)*AW37+(1-EXP(-LN(2)/2))/(LN(2)/2)*AQ38*AT38*VLOOKUP('Données projet'!$B$10,Paramètres!$A$1:$I$88,3,0)*0.475*44/12</f>
        <v>4.0908926397804022</v>
      </c>
      <c r="AX38" s="23">
        <f t="shared" si="6"/>
        <v>52.232425146661747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</v>
      </c>
      <c r="BD38" s="13">
        <f>IF('Données projet'!$A$88&gt;35,BD37+BC38-BL37,IF(A38&lt;'Données projet'!$A$88,$BA$205^A38,IF(A38='Données projet'!$A$88,'Données projet'!$B$88,BD37+BC38-BL37)))</f>
        <v>180</v>
      </c>
      <c r="BE38" s="14">
        <f>BD38*VLOOKUP('Données projet'!$B$11,Paramètres!$A$1:$I$88,3,0)*VLOOKUP('Données projet'!$B$11,Paramètres!$A$1:$I$88,5,0)</f>
        <v>84.24</v>
      </c>
      <c r="BF38" s="14">
        <f t="shared" si="37"/>
        <v>23.170749718409468</v>
      </c>
      <c r="BG38" s="22">
        <f t="shared" si="7"/>
        <v>187.07372242622981</v>
      </c>
      <c r="BH38" s="62">
        <f t="shared" si="8"/>
        <v>480.40705575956315</v>
      </c>
      <c r="BI38" s="62">
        <f ca="1">AVERAGE(OFFSET($BH$3,0,0,'Données projet'!$E$11+1,1))-AVERAGE(OFFSET($H$3,0,0,'Données projet'!$E$11+1,1))</f>
        <v>164.93326103756453</v>
      </c>
      <c r="BJ38" s="62">
        <f t="shared" si="38"/>
        <v>115.86489547584461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6.6323213427468248</v>
      </c>
      <c r="BR38" s="23">
        <f>EXP(-LN(2)/2)*BR37+(1-EXP(-LN(2)/2))/(LN(2)/2)*BL38*BO38*VLOOKUP('Données projet'!$B$11,Paramètres!$A$1:$I$88,3,0)*0.475*44/12</f>
        <v>1.6486143317379738</v>
      </c>
      <c r="BS38" s="24">
        <f t="shared" si="9"/>
        <v>8.2809356744847982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366.24951753790458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27</v>
      </c>
      <c r="N39" s="14">
        <f>IF('Données projet'!$A$36&gt;35,N38+M39-V38,IF(A39&lt;'Données projet'!$A$36,$K$205^A39,IF(A39='Données projet'!$A$36,'Données projet'!$B$36,N38+M39-V38)))</f>
        <v>530.99999999999989</v>
      </c>
      <c r="O39" s="14">
        <f>N39*VLOOKUP('Données projet'!$B$9,Paramètres!$A$1:$I$88,3,0)*VLOOKUP('Données projet'!$B$9,Paramètres!$A$1:$I$88,5,0)</f>
        <v>296.82899999999995</v>
      </c>
      <c r="P39" s="14">
        <f t="shared" si="33"/>
        <v>70.511289513454344</v>
      </c>
      <c r="Q39" s="22">
        <f t="shared" si="53"/>
        <v>639.78433756926631</v>
      </c>
      <c r="R39" s="62">
        <f t="shared" si="0"/>
        <v>933.11767090259968</v>
      </c>
      <c r="S39" s="62">
        <f ca="1">AVERAGE(OFFSET($R$3,0,0,'Données projet'!$E$9+1,1))-AVERAGE(OFFSET($H$3,0,0,'Données projet'!$E$9+1,1))</f>
        <v>461.42631729930201</v>
      </c>
      <c r="T39" s="62">
        <f t="shared" si="34"/>
        <v>570.46734160592086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5.757904917043267</v>
      </c>
      <c r="AA39" s="23">
        <f>EXP(-LN(2)/25)*AA38+(1-EXP(-LN(2)/25))/(LN(2)/25)*Calculateur!V39*Calculateur!X39*VLOOKUP('Données projet'!$B$9,Paramètres!$A$1:$I$88,3,0)*0.475*44/12</f>
        <v>46.421810475646168</v>
      </c>
      <c r="AB39" s="23">
        <f>EXP(-LN(2)/2)*AB38+(1-EXP(-LN(2)/2))/(LN(2)/2)*V39*Y39*VLOOKUP('Données projet'!$B$9,Paramètres!$A$1:$I$88,3,0)*0.475*44/12</f>
        <v>14.891407484443986</v>
      </c>
      <c r="AC39" s="24">
        <f t="shared" si="3"/>
        <v>67.071122877133419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304</v>
      </c>
      <c r="AG39" s="13">
        <f>VLOOKUP(A39,'Données projet'!$A$61:$I$81,9,0)</f>
        <v>14.6</v>
      </c>
      <c r="AH39" s="13">
        <f t="array" ref="AH39">INDEX(AG:AG,MIN(IF(ISNUMBER(AG39:AG235),ROW(AG39:AG235),"")))</f>
        <v>14.6</v>
      </c>
      <c r="AI39" s="14">
        <f>IF('Données projet'!$A$62&gt;35,AI38+AH39-AQ38,IF(A39&lt;'Données projet'!$A$62,$AF$205^A39,IF(A39='Données projet'!$A$62,'Données projet'!$B$62,AI38+AH39-AQ38)))</f>
        <v>304.00000000000006</v>
      </c>
      <c r="AJ39" s="14">
        <f>AI39*VLOOKUP('Données projet'!$B$10,Paramètres!$A$1:$I$88,3,0)*VLOOKUP('Données projet'!$B$10,Paramètres!$A$1:$I$88,5,0)</f>
        <v>189.69600000000003</v>
      </c>
      <c r="AK39" s="14">
        <f t="shared" si="35"/>
        <v>47.472736505152469</v>
      </c>
      <c r="AL39" s="22">
        <f t="shared" si="4"/>
        <v>413.06888274647389</v>
      </c>
      <c r="AM39" s="62">
        <f t="shared" si="5"/>
        <v>706.4022160798072</v>
      </c>
      <c r="AN39" s="62">
        <f ca="1">AVERAGE(OFFSET($AM$3,0,0,'Données projet'!$E$10+1,1))-AVERAGE(OFFSET($H$3,0,0,'Données projet'!$E$10+1,1))</f>
        <v>272.66985936980086</v>
      </c>
      <c r="AO39" s="62">
        <f t="shared" si="36"/>
        <v>320.12040114313697</v>
      </c>
      <c r="AP39" s="16">
        <f>IF(ISNA(VLOOKUP(A39,'Données projet'!$A$61:$I$81,3,0)),0,VLOOKUP(A39,'Données projet'!$A$61:$I$81,3,0))</f>
        <v>5</v>
      </c>
      <c r="AQ39" s="16">
        <f>IF(ISNA(VLOOKUP(A39,'Données projet'!$A$61:$I$81,4,0)),0,VLOOKUP(A39,'Données projet'!$A$61:$I$81,4,0))</f>
        <v>58.7</v>
      </c>
      <c r="AR39" s="17">
        <f>IF(ISNA(VLOOKUP(A39,'Données projet'!$A$61:$I$81,5,0)),0%,VLOOKUP(A39,'Données projet'!$A$61:$I$81,5,0)*VLOOKUP('Données projet'!$B$10,Paramètres!$A$1:$I$88,7,0))</f>
        <v>0.12</v>
      </c>
      <c r="AS39" s="17">
        <f>IF(ISNA(VLOOKUP(A39,'Données projet'!$A$61:$I$81,6,0)),0%,VLOOKUP(A39,'Données projet'!$A$61:$I$81,6,0)*VLOOKUP('Données projet'!$B$10,Paramètres!$A$1:$I$88,7,0))</f>
        <v>0.26880000000000004</v>
      </c>
      <c r="AT39" s="17">
        <f>IF(ISNA(VLOOKUP(A39,'Données projet'!$A$61:$I$81,7,0)),0%,VLOOKUP(A39,'Données projet'!$A$61:$I$81,7,0))</f>
        <v>0.35200000000000004</v>
      </c>
      <c r="AU39" s="23">
        <f>EXP(-LN(2)/35)*AU38+(1-EXP(-LN(2)/35))/(LN(2)/35)*AQ39*AR39*VLOOKUP('Données projet'!$B$10,Paramètres!$A$1:$I$88,3,0)*0.475*44/12</f>
        <v>5.8308556950484594</v>
      </c>
      <c r="AV39" s="23">
        <f>EXP(-LN(2)/25)*AV38+(1-EXP(-LN(2)/25))/(LN(2)/25)*Calculateur!AQ39*Calculateur!AS39*VLOOKUP('Données projet'!$B$10,Paramètres!$A$1:$I$88,3,0)*0.475*44/12</f>
        <v>59.834789932388468</v>
      </c>
      <c r="AW39" s="23">
        <f>EXP(-LN(2)/2)*AW38+(1-EXP(-LN(2)/2))/(LN(2)/2)*AQ39*AT39*VLOOKUP('Données projet'!$B$10,Paramètres!$A$1:$I$88,3,0)*0.475*44/12</f>
        <v>17.49095118032723</v>
      </c>
      <c r="AX39" s="23">
        <f t="shared" si="6"/>
        <v>83.15659680776416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</v>
      </c>
      <c r="BD39" s="13">
        <f>IF('Données projet'!$A$88&gt;35,BD38+BC39-BL38,IF(A39&lt;'Données projet'!$A$88,$BA$205^A39,IF(A39='Données projet'!$A$88,'Données projet'!$B$88,BD38+BC39-BL38)))</f>
        <v>190</v>
      </c>
      <c r="BE39" s="14">
        <f>BD39*VLOOKUP('Données projet'!$B$11,Paramètres!$A$1:$I$88,3,0)*VLOOKUP('Données projet'!$B$11,Paramètres!$A$1:$I$88,5,0)</f>
        <v>88.919999999999987</v>
      </c>
      <c r="BF39" s="14">
        <f t="shared" si="37"/>
        <v>24.30457227046648</v>
      </c>
      <c r="BG39" s="22">
        <f t="shared" si="7"/>
        <v>197.19946337106239</v>
      </c>
      <c r="BH39" s="62">
        <f t="shared" si="8"/>
        <v>490.53279670439571</v>
      </c>
      <c r="BI39" s="62">
        <f ca="1">AVERAGE(OFFSET($BH$3,0,0,'Données projet'!$E$11+1,1))-AVERAGE(OFFSET($H$3,0,0,'Données projet'!$E$11+1,1))</f>
        <v>164.93326103756453</v>
      </c>
      <c r="BJ39" s="62">
        <f t="shared" si="38"/>
        <v>115.86489547584461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6.4509601668507921</v>
      </c>
      <c r="BR39" s="23">
        <f>EXP(-LN(2)/2)*BR38+(1-EXP(-LN(2)/2))/(LN(2)/2)*BL39*BO39*VLOOKUP('Données projet'!$B$11,Paramètres!$A$1:$I$88,3,0)*0.475*44/12</f>
        <v>1.1657463735332498</v>
      </c>
      <c r="BS39" s="24">
        <f t="shared" si="9"/>
        <v>7.6167065403840422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368.21879817981187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27</v>
      </c>
      <c r="N40" s="14">
        <f>IF('Données projet'!$A$36&gt;35,N39+M40-V39,IF(A40&lt;'Données projet'!$A$36,$K$205^A40,IF(A40='Données projet'!$A$36,'Données projet'!$B$36,N39+M40-V39)))</f>
        <v>557.99999999999989</v>
      </c>
      <c r="O40" s="14">
        <f>N40*VLOOKUP('Données projet'!$B$9,Paramètres!$A$1:$I$88,3,0)*VLOOKUP('Données projet'!$B$9,Paramètres!$A$1:$I$88,5,0)</f>
        <v>311.92199999999991</v>
      </c>
      <c r="P40" s="14">
        <f t="shared" si="33"/>
        <v>73.670075764965745</v>
      </c>
      <c r="Q40" s="22">
        <f t="shared" si="53"/>
        <v>671.57286529064845</v>
      </c>
      <c r="R40" s="62">
        <f t="shared" si="0"/>
        <v>964.90619862398171</v>
      </c>
      <c r="S40" s="62">
        <f ca="1">AVERAGE(OFFSET($R$3,0,0,'Données projet'!$E$9+1,1))-AVERAGE(OFFSET($H$3,0,0,'Données projet'!$E$9+1,1))</f>
        <v>461.42631729930201</v>
      </c>
      <c r="T40" s="62">
        <f t="shared" si="34"/>
        <v>570.46734160592086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5.6449959135952694</v>
      </c>
      <c r="AA40" s="23">
        <f>EXP(-LN(2)/25)*AA39+(1-EXP(-LN(2)/25))/(LN(2)/25)*Calculateur!V40*Calculateur!X40*VLOOKUP('Données projet'!$B$9,Paramètres!$A$1:$I$88,3,0)*0.475*44/12</f>
        <v>45.152403626972706</v>
      </c>
      <c r="AB40" s="23">
        <f>EXP(-LN(2)/2)*AB39+(1-EXP(-LN(2)/2))/(LN(2)/2)*V40*Y40*VLOOKUP('Données projet'!$B$9,Paramètres!$A$1:$I$88,3,0)*0.475*44/12</f>
        <v>10.529815213662451</v>
      </c>
      <c r="AC40" s="24">
        <f t="shared" si="3"/>
        <v>61.327214754230425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15.283333333333331</v>
      </c>
      <c r="AI40" s="14">
        <f>IF('Données projet'!$A$62&gt;35,AI39+AH40-AQ39,IF(A40&lt;'Données projet'!$A$62,$AF$205^A40,IF(A40='Données projet'!$A$62,'Données projet'!$B$62,AI39+AH40-AQ39)))</f>
        <v>260.58333333333343</v>
      </c>
      <c r="AJ40" s="14">
        <f>AI40*VLOOKUP('Données projet'!$B$10,Paramètres!$A$1:$I$88,3,0)*VLOOKUP('Données projet'!$B$10,Paramètres!$A$1:$I$88,5,0)</f>
        <v>162.60400000000007</v>
      </c>
      <c r="AK40" s="14">
        <f t="shared" si="35"/>
        <v>41.429301885124943</v>
      </c>
      <c r="AL40" s="22">
        <f t="shared" si="4"/>
        <v>355.35800078325934</v>
      </c>
      <c r="AM40" s="62">
        <f t="shared" si="5"/>
        <v>648.69133411659266</v>
      </c>
      <c r="AN40" s="62">
        <f ca="1">AVERAGE(OFFSET($AM$3,0,0,'Données projet'!$E$10+1,1))-AVERAGE(OFFSET($H$3,0,0,'Données projet'!$E$10+1,1))</f>
        <v>272.66985936980086</v>
      </c>
      <c r="AO40" s="62">
        <f t="shared" si="36"/>
        <v>320.12040114313697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5.7165161713393609</v>
      </c>
      <c r="AV40" s="23">
        <f>EXP(-LN(2)/25)*AV39+(1-EXP(-LN(2)/25))/(LN(2)/25)*Calculateur!AQ40*Calculateur!AS40*VLOOKUP('Données projet'!$B$10,Paramètres!$A$1:$I$88,3,0)*0.475*44/12</f>
        <v>58.198604455112459</v>
      </c>
      <c r="AW40" s="23">
        <f>EXP(-LN(2)/2)*AW39+(1-EXP(-LN(2)/2))/(LN(2)/2)*AQ40*AT40*VLOOKUP('Données projet'!$B$10,Paramètres!$A$1:$I$88,3,0)*0.475*44/12</f>
        <v>12.367970189012233</v>
      </c>
      <c r="AX40" s="23">
        <f t="shared" si="6"/>
        <v>76.28309081546405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</v>
      </c>
      <c r="BD40" s="13">
        <f>IF('Données projet'!$A$88&gt;35,BD39+BC40-BL39,IF(A40&lt;'Données projet'!$A$88,$BA$205^A40,IF(A40='Données projet'!$A$88,'Données projet'!$B$88,BD39+BC40-BL39)))</f>
        <v>200</v>
      </c>
      <c r="BE40" s="14">
        <f>BD40*VLOOKUP('Données projet'!$B$11,Paramètres!$A$1:$I$88,3,0)*VLOOKUP('Données projet'!$B$11,Paramètres!$A$1:$I$88,5,0)</f>
        <v>93.600000000000009</v>
      </c>
      <c r="BF40" s="14">
        <f t="shared" si="37"/>
        <v>25.431466524572937</v>
      </c>
      <c r="BG40" s="22">
        <f t="shared" si="7"/>
        <v>207.31313753029789</v>
      </c>
      <c r="BH40" s="62">
        <f t="shared" si="8"/>
        <v>500.64647086363118</v>
      </c>
      <c r="BI40" s="62">
        <f ca="1">AVERAGE(OFFSET($BH$3,0,0,'Données projet'!$E$11+1,1))-AVERAGE(OFFSET($H$3,0,0,'Données projet'!$E$11+1,1))</f>
        <v>164.93326103756453</v>
      </c>
      <c r="BJ40" s="62">
        <f t="shared" si="38"/>
        <v>115.86489547584461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6.2745583218470058</v>
      </c>
      <c r="BR40" s="23">
        <f>EXP(-LN(2)/2)*BR39+(1-EXP(-LN(2)/2))/(LN(2)/2)*BL40*BO40*VLOOKUP('Données projet'!$B$11,Paramètres!$A$1:$I$88,3,0)*0.475*44/12</f>
        <v>0.824307165868987</v>
      </c>
      <c r="BS40" s="24">
        <f t="shared" si="9"/>
        <v>7.0988654877159929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370.18675757542417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27</v>
      </c>
      <c r="N41" s="14">
        <f>IF('Données projet'!$A$36&gt;35,N40+M41-V40,IF(A41&lt;'Données projet'!$A$36,$K$205^A41,IF(A41='Données projet'!$A$36,'Données projet'!$B$36,N40+M41-V40)))</f>
        <v>584.99999999999989</v>
      </c>
      <c r="O41" s="14">
        <f>N41*VLOOKUP('Données projet'!$B$9,Paramètres!$A$1:$I$88,3,0)*VLOOKUP('Données projet'!$B$9,Paramètres!$A$1:$I$88,5,0)</f>
        <v>327.01499999999993</v>
      </c>
      <c r="P41" s="14">
        <f t="shared" si="33"/>
        <v>76.811113612871907</v>
      </c>
      <c r="Q41" s="22">
        <f t="shared" si="53"/>
        <v>703.33048120908506</v>
      </c>
      <c r="R41" s="62">
        <f t="shared" si="0"/>
        <v>996.66381454241832</v>
      </c>
      <c r="S41" s="62">
        <f ca="1">AVERAGE(OFFSET($R$3,0,0,'Données projet'!$E$9+1,1))-AVERAGE(OFFSET($H$3,0,0,'Données projet'!$E$9+1,1))</f>
        <v>461.42631729930201</v>
      </c>
      <c r="T41" s="62">
        <f t="shared" si="34"/>
        <v>570.46734160592086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5.5343009868371951</v>
      </c>
      <c r="AA41" s="23">
        <f>EXP(-LN(2)/25)*AA40+(1-EXP(-LN(2)/25))/(LN(2)/25)*Calculateur!V41*Calculateur!X41*VLOOKUP('Données projet'!$B$9,Paramètres!$A$1:$I$88,3,0)*0.475*44/12</f>
        <v>43.917708775331427</v>
      </c>
      <c r="AB41" s="23">
        <f>EXP(-LN(2)/2)*AB40+(1-EXP(-LN(2)/2))/(LN(2)/2)*V41*Y41*VLOOKUP('Données projet'!$B$9,Paramètres!$A$1:$I$88,3,0)*0.475*44/12</f>
        <v>7.445703742221994</v>
      </c>
      <c r="AC41" s="24">
        <f t="shared" si="3"/>
        <v>56.897713504390616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15.283333333333331</v>
      </c>
      <c r="AI41" s="14">
        <f>IF('Données projet'!$A$62&gt;35,AI40+AH41-AQ40,IF(A41&lt;'Données projet'!$A$62,$AF$205^A41,IF(A41='Données projet'!$A$62,'Données projet'!$B$62,AI40+AH41-AQ40)))</f>
        <v>275.86666666666679</v>
      </c>
      <c r="AJ41" s="14">
        <f>AI41*VLOOKUP('Données projet'!$B$10,Paramètres!$A$1:$I$88,3,0)*VLOOKUP('Données projet'!$B$10,Paramètres!$A$1:$I$88,5,0)</f>
        <v>172.14080000000007</v>
      </c>
      <c r="AK41" s="14">
        <f t="shared" si="35"/>
        <v>43.569141799621505</v>
      </c>
      <c r="AL41" s="22">
        <f t="shared" si="4"/>
        <v>375.69481530100757</v>
      </c>
      <c r="AM41" s="62">
        <f t="shared" si="5"/>
        <v>669.02814863434082</v>
      </c>
      <c r="AN41" s="62">
        <f ca="1">AVERAGE(OFFSET($AM$3,0,0,'Données projet'!$E$10+1,1))-AVERAGE(OFFSET($H$3,0,0,'Données projet'!$E$10+1,1))</f>
        <v>272.66985936980086</v>
      </c>
      <c r="AO41" s="62">
        <f t="shared" si="36"/>
        <v>320.12040114313697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5.6044187759499744</v>
      </c>
      <c r="AV41" s="23">
        <f>EXP(-LN(2)/25)*AV40+(1-EXP(-LN(2)/25))/(LN(2)/25)*Calculateur!AQ41*Calculateur!AS41*VLOOKUP('Données projet'!$B$10,Paramètres!$A$1:$I$88,3,0)*0.475*44/12</f>
        <v>56.607160555755819</v>
      </c>
      <c r="AW41" s="23">
        <f>EXP(-LN(2)/2)*AW40+(1-EXP(-LN(2)/2))/(LN(2)/2)*AQ41*AT41*VLOOKUP('Données projet'!$B$10,Paramètres!$A$1:$I$88,3,0)*0.475*44/12</f>
        <v>8.7454755901636165</v>
      </c>
      <c r="AX41" s="23">
        <f t="shared" si="6"/>
        <v>70.957054921869414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</v>
      </c>
      <c r="BD41" s="13">
        <f>IF('Données projet'!$A$88&gt;35,BD40+BC41-BL40,IF(A41&lt;'Données projet'!$A$88,$BA$205^A41,IF(A41='Données projet'!$A$88,'Données projet'!$B$88,BD40+BC41-BL40)))</f>
        <v>210</v>
      </c>
      <c r="BE41" s="14">
        <f>BD41*VLOOKUP('Données projet'!$B$11,Paramètres!$A$1:$I$88,3,0)*VLOOKUP('Données projet'!$B$11,Paramètres!$A$1:$I$88,5,0)</f>
        <v>98.28</v>
      </c>
      <c r="BF41" s="14">
        <f t="shared" si="37"/>
        <v>26.551818424463473</v>
      </c>
      <c r="BG41" s="22">
        <f t="shared" si="7"/>
        <v>217.41541708927389</v>
      </c>
      <c r="BH41" s="62">
        <f t="shared" si="8"/>
        <v>510.7487504226072</v>
      </c>
      <c r="BI41" s="62">
        <f ca="1">AVERAGE(OFFSET($BH$3,0,0,'Données projet'!$E$11+1,1))-AVERAGE(OFFSET($H$3,0,0,'Données projet'!$E$11+1,1))</f>
        <v>164.93326103756453</v>
      </c>
      <c r="BJ41" s="62">
        <f t="shared" si="38"/>
        <v>115.86489547584461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6.1029801945714182</v>
      </c>
      <c r="BR41" s="23">
        <f>EXP(-LN(2)/2)*BR40+(1-EXP(-LN(2)/2))/(LN(2)/2)*BL41*BO41*VLOOKUP('Données projet'!$B$11,Paramètres!$A$1:$I$88,3,0)*0.475*44/12</f>
        <v>0.58287318676662492</v>
      </c>
      <c r="BS41" s="24">
        <f t="shared" si="9"/>
        <v>6.6858533813380427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372.15343449123395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27</v>
      </c>
      <c r="N42" s="14">
        <f>IF('Données projet'!$A$36&gt;35,N41+M42-V41,IF(A42&lt;'Données projet'!$A$36,$K$205^A42,IF(A42='Données projet'!$A$36,'Données projet'!$B$36,N41+M42-V41)))</f>
        <v>611.99999999999989</v>
      </c>
      <c r="O42" s="14">
        <f>N42*VLOOKUP('Données projet'!$B$9,Paramètres!$A$1:$I$88,3,0)*VLOOKUP('Données projet'!$B$9,Paramètres!$A$1:$I$88,5,0)</f>
        <v>342.10799999999995</v>
      </c>
      <c r="P42" s="14">
        <f t="shared" si="33"/>
        <v>79.935315774430151</v>
      </c>
      <c r="Q42" s="22">
        <f t="shared" si="53"/>
        <v>735.0587749737989</v>
      </c>
      <c r="R42" s="62">
        <f t="shared" si="0"/>
        <v>1028.3921083071323</v>
      </c>
      <c r="S42" s="62">
        <f ca="1">AVERAGE(OFFSET($R$3,0,0,'Données projet'!$E$9+1,1))-AVERAGE(OFFSET($H$3,0,0,'Données projet'!$E$9+1,1))</f>
        <v>461.42631729930201</v>
      </c>
      <c r="T42" s="62">
        <f t="shared" si="34"/>
        <v>570.46734160592086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5.425776720075608</v>
      </c>
      <c r="AA42" s="23">
        <f>EXP(-LN(2)/25)*AA41+(1-EXP(-LN(2)/25))/(LN(2)/25)*Calculateur!V42*Calculateur!X42*VLOOKUP('Données projet'!$B$9,Paramètres!$A$1:$I$88,3,0)*0.475*44/12</f>
        <v>42.716776719338057</v>
      </c>
      <c r="AB42" s="23">
        <f>EXP(-LN(2)/2)*AB41+(1-EXP(-LN(2)/2))/(LN(2)/2)*V42*Y42*VLOOKUP('Données projet'!$B$9,Paramètres!$A$1:$I$88,3,0)*0.475*44/12</f>
        <v>5.2649076068312262</v>
      </c>
      <c r="AC42" s="24">
        <f t="shared" si="3"/>
        <v>53.40746104624489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15.283333333333331</v>
      </c>
      <c r="AI42" s="14">
        <f>IF('Données projet'!$A$62&gt;35,AI41+AH42-AQ41,IF(A42&lt;'Données projet'!$A$62,$AF$205^A42,IF(A42='Données projet'!$A$62,'Données projet'!$B$62,AI41+AH42-AQ41)))</f>
        <v>291.15000000000009</v>
      </c>
      <c r="AJ42" s="14">
        <f>AI42*VLOOKUP('Données projet'!$B$10,Paramètres!$A$1:$I$88,3,0)*VLOOKUP('Données projet'!$B$10,Paramètres!$A$1:$I$88,5,0)</f>
        <v>181.67760000000007</v>
      </c>
      <c r="AK42" s="14">
        <f t="shared" si="35"/>
        <v>45.695219505663516</v>
      </c>
      <c r="AL42" s="22">
        <f t="shared" si="4"/>
        <v>396.00766063903075</v>
      </c>
      <c r="AM42" s="62">
        <f t="shared" si="5"/>
        <v>689.340993972364</v>
      </c>
      <c r="AN42" s="62">
        <f ca="1">AVERAGE(OFFSET($AM$3,0,0,'Données projet'!$E$10+1,1))-AVERAGE(OFFSET($H$3,0,0,'Données projet'!$E$10+1,1))</f>
        <v>272.66985936980086</v>
      </c>
      <c r="AO42" s="62">
        <f t="shared" si="36"/>
        <v>320.12040114313697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5.4945195421115143</v>
      </c>
      <c r="AV42" s="23">
        <f>EXP(-LN(2)/25)*AV41+(1-EXP(-LN(2)/25))/(LN(2)/25)*Calculateur!AQ42*Calculateur!AS42*VLOOKUP('Données projet'!$B$10,Paramètres!$A$1:$I$88,3,0)*0.475*44/12</f>
        <v>55.059234773517481</v>
      </c>
      <c r="AW42" s="23">
        <f>EXP(-LN(2)/2)*AW41+(1-EXP(-LN(2)/2))/(LN(2)/2)*AQ42*AT42*VLOOKUP('Données projet'!$B$10,Paramètres!$A$1:$I$88,3,0)*0.475*44/12</f>
        <v>6.1839850945061174</v>
      </c>
      <c r="AX42" s="23">
        <f t="shared" si="6"/>
        <v>66.737739410135106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</v>
      </c>
      <c r="BD42" s="13">
        <f>IF('Données projet'!$A$88&gt;35,BD41+BC42-BL41,IF(A42&lt;'Données projet'!$A$88,$BA$205^A42,IF(A42='Données projet'!$A$88,'Données projet'!$B$88,BD41+BC42-BL41)))</f>
        <v>220</v>
      </c>
      <c r="BE42" s="14">
        <f>BD42*VLOOKUP('Données projet'!$B$11,Paramètres!$A$1:$I$88,3,0)*VLOOKUP('Données projet'!$B$11,Paramètres!$A$1:$I$88,5,0)</f>
        <v>102.96000000000001</v>
      </c>
      <c r="BF42" s="14">
        <f t="shared" si="37"/>
        <v>27.665975080374633</v>
      </c>
      <c r="BG42" s="22">
        <f t="shared" si="7"/>
        <v>227.50690659831915</v>
      </c>
      <c r="BH42" s="62">
        <f t="shared" si="8"/>
        <v>520.84023993165249</v>
      </c>
      <c r="BI42" s="62">
        <f ca="1">AVERAGE(OFFSET($BH$3,0,0,'Données projet'!$E$11+1,1))-AVERAGE(OFFSET($H$3,0,0,'Données projet'!$E$11+1,1))</f>
        <v>164.93326103756453</v>
      </c>
      <c r="BJ42" s="62">
        <f t="shared" si="38"/>
        <v>115.86489547584461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5.936093880209083</v>
      </c>
      <c r="BR42" s="23">
        <f>EXP(-LN(2)/2)*BR41+(1-EXP(-LN(2)/2))/(LN(2)/2)*BL42*BO42*VLOOKUP('Données projet'!$B$11,Paramètres!$A$1:$I$88,3,0)*0.475*44/12</f>
        <v>0.4121535829344935</v>
      </c>
      <c r="BS42" s="24">
        <f t="shared" si="9"/>
        <v>6.3482474631435766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374.11886559244715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639</v>
      </c>
      <c r="L43" s="13">
        <f>VLOOKUP(A43,'Données projet'!$A$35:$I$55,9,0)</f>
        <v>27</v>
      </c>
      <c r="M43" s="13">
        <f t="array" ref="M43">INDEX(L:L,MIN(IF(ISNUMBER(L43:L239),ROW(L43:L239),"")))</f>
        <v>27</v>
      </c>
      <c r="N43" s="14">
        <f>IF('Données projet'!$A$36&gt;35,N42+M43-V42,IF(A43&lt;'Données projet'!$A$36,$K$205^A43,IF(A43='Données projet'!$A$36,'Données projet'!$B$36,N42+M43-V42)))</f>
        <v>638.99999999999989</v>
      </c>
      <c r="O43" s="14">
        <f>N43*VLOOKUP('Données projet'!$B$9,Paramètres!$A$1:$I$88,3,0)*VLOOKUP('Données projet'!$B$9,Paramètres!$A$1:$I$88,5,0)</f>
        <v>357.20099999999991</v>
      </c>
      <c r="P43" s="14">
        <f t="shared" si="33"/>
        <v>83.043509879488369</v>
      </c>
      <c r="Q43" s="22">
        <f t="shared" si="53"/>
        <v>766.75918804010871</v>
      </c>
      <c r="R43" s="62">
        <f t="shared" si="0"/>
        <v>1060.092521373442</v>
      </c>
      <c r="S43" s="62">
        <f ca="1">AVERAGE(OFFSET($R$3,0,0,'Données projet'!$E$9+1,1))-AVERAGE(OFFSET($H$3,0,0,'Données projet'!$E$9+1,1))</f>
        <v>461.42631729930201</v>
      </c>
      <c r="T43" s="62">
        <f t="shared" si="34"/>
        <v>570.46734160592086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77</v>
      </c>
      <c r="W43" s="17">
        <f>IF(ISNA(VLOOKUP(A43,'Données projet'!$A$35:$I$55,5,0)),0%,VLOOKUP(A43,'Données projet'!$A$35:$I$55,5,0)*VLOOKUP('Données projet'!$B$9,Paramètres!$A$1:$I$88,7,0))</f>
        <v>0.11000000000000001</v>
      </c>
      <c r="X43" s="17">
        <f>IF(ISNA(VLOOKUP(A43,'Données projet'!$A$35:$I$55,6,0)),0%,VLOOKUP(A43,'Données projet'!$A$35:$I$55,6,0)*VLOOKUP('Données projet'!$B$9,Paramètres!$A$1:$I$88,7,0))</f>
        <v>0.24640000000000006</v>
      </c>
      <c r="Y43" s="17">
        <f>IF(ISNA(VLOOKUP(A43,'Données projet'!$A$35:$I$55,7,0)),0%,VLOOKUP(A43,'Données projet'!$A$35:$I$55,7,0))</f>
        <v>0.35200000000000004</v>
      </c>
      <c r="Z43" s="23">
        <f>EXP(-LN(2)/35)*Z42+(1-EXP(-LN(2)/35))/(LN(2)/35)*V43*W43*VLOOKUP('Données projet'!$B$9,Paramètres!$A$1:$I$88,3,0)*0.475*44/12</f>
        <v>11.600305072095201</v>
      </c>
      <c r="AA43" s="23">
        <f>EXP(-LN(2)/25)*AA42+(1-EXP(-LN(2)/25))/(LN(2)/25)*Calculateur!V43*Calculateur!X43*VLOOKUP('Données projet'!$B$9,Paramètres!$A$1:$I$88,3,0)*0.475*44/12</f>
        <v>55.562559067081764</v>
      </c>
      <c r="AB43" s="23">
        <f>EXP(-LN(2)/2)*AB42+(1-EXP(-LN(2)/2))/(LN(2)/2)*V43*Y43*VLOOKUP('Données projet'!$B$9,Paramètres!$A$1:$I$88,3,0)*0.475*44/12</f>
        <v>20.877457394526946</v>
      </c>
      <c r="AC43" s="24">
        <f t="shared" si="3"/>
        <v>88.040321533703903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15.283333333333331</v>
      </c>
      <c r="AI43" s="14">
        <f>IF('Données projet'!$A$62&gt;35,AI42+AH43-AQ42,IF(A43&lt;'Données projet'!$A$62,$AF$205^A43,IF(A43='Données projet'!$A$62,'Données projet'!$B$62,AI42+AH43-AQ42)))</f>
        <v>306.43333333333339</v>
      </c>
      <c r="AJ43" s="14">
        <f>AI43*VLOOKUP('Données projet'!$B$10,Paramètres!$A$1:$I$88,3,0)*VLOOKUP('Données projet'!$B$10,Paramètres!$A$1:$I$88,5,0)</f>
        <v>191.21440000000004</v>
      </c>
      <c r="AK43" s="14">
        <f t="shared" si="35"/>
        <v>47.808339811368604</v>
      </c>
      <c r="AL43" s="22">
        <f t="shared" si="4"/>
        <v>416.29793850480036</v>
      </c>
      <c r="AM43" s="62">
        <f t="shared" si="5"/>
        <v>709.63127183813367</v>
      </c>
      <c r="AN43" s="62">
        <f ca="1">AVERAGE(OFFSET($AM$3,0,0,'Données projet'!$E$10+1,1))-AVERAGE(OFFSET($H$3,0,0,'Données projet'!$E$10+1,1))</f>
        <v>272.66985936980086</v>
      </c>
      <c r="AO43" s="62">
        <f t="shared" si="36"/>
        <v>320.12040114313697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5.3867753652167121</v>
      </c>
      <c r="AV43" s="23">
        <f>EXP(-LN(2)/25)*AV42+(1-EXP(-LN(2)/25))/(LN(2)/25)*Calculateur!AQ43*Calculateur!AS43*VLOOKUP('Données projet'!$B$10,Paramètres!$A$1:$I$88,3,0)*0.475*44/12</f>
        <v>53.55363710319633</v>
      </c>
      <c r="AW43" s="23">
        <f>EXP(-LN(2)/2)*AW42+(1-EXP(-LN(2)/2))/(LN(2)/2)*AQ43*AT43*VLOOKUP('Données projet'!$B$10,Paramètres!$A$1:$I$88,3,0)*0.475*44/12</f>
        <v>4.3727377950818092</v>
      </c>
      <c r="AX43" s="23">
        <f t="shared" si="6"/>
        <v>63.313150263494855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230</v>
      </c>
      <c r="BB43" s="13">
        <f>VLOOKUP(A43,'Données projet'!$A$87:$I$107,9,0)</f>
        <v>10</v>
      </c>
      <c r="BC43" s="13">
        <f t="array" ref="BC43">INDEX(BB:BB,MIN(IF(ISNUMBER(BB43:BB239),ROW(BB43:BB239),"")))</f>
        <v>10</v>
      </c>
      <c r="BD43" s="13">
        <f>IF('Données projet'!$A$88&gt;35,BD42+BC43-BL42,IF(A43&lt;'Données projet'!$A$88,$BA$205^A43,IF(A43='Données projet'!$A$88,'Données projet'!$B$88,BD42+BC43-BL42)))</f>
        <v>230</v>
      </c>
      <c r="BE43" s="14">
        <f>BD43*VLOOKUP('Données projet'!$B$11,Paramètres!$A$1:$I$88,3,0)*VLOOKUP('Données projet'!$B$11,Paramètres!$A$1:$I$88,5,0)</f>
        <v>107.64</v>
      </c>
      <c r="BF43" s="14">
        <f t="shared" si="37"/>
        <v>28.774250263353583</v>
      </c>
      <c r="BG43" s="22">
        <f t="shared" si="7"/>
        <v>237.58815254200749</v>
      </c>
      <c r="BH43" s="62">
        <f t="shared" si="8"/>
        <v>530.92148587534075</v>
      </c>
      <c r="BI43" s="62">
        <f ca="1">AVERAGE(OFFSET($BH$3,0,0,'Données projet'!$E$11+1,1))-AVERAGE(OFFSET($H$3,0,0,'Données projet'!$E$11+1,1))</f>
        <v>164.93326103756453</v>
      </c>
      <c r="BJ43" s="62">
        <f t="shared" si="38"/>
        <v>115.86489547584461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40</v>
      </c>
      <c r="BM43" s="17">
        <f>IF(ISNA(VLOOKUP(A43,'Données projet'!$A$87:$I$107,5,0)),0%,VLOOKUP(A43,'Données projet'!$A$87:$I$107,5,0)*VLOOKUP('Données projet'!$B$11,Paramètres!$A$1:$I$88,7,0))</f>
        <v>0.11000000000000001</v>
      </c>
      <c r="BN43" s="17">
        <f>IF(ISNA(VLOOKUP(A43,'Données projet'!$A$87:$I$107,6,0)),0%,VLOOKUP(A43,'Données projet'!$A$87:$I$107,6,0)*VLOOKUP('Données projet'!$B$11,Paramètres!$A$1:$I$88,7,0))</f>
        <v>0.24640000000000006</v>
      </c>
      <c r="BO43" s="17">
        <f>IF(ISNA(VLOOKUP(A43,'Données projet'!$A$87:$I$107,7,0)),0%,VLOOKUP(A43,'Données projet'!$A$87:$I$107,7,0))</f>
        <v>0.35200000000000004</v>
      </c>
      <c r="BP43" s="23">
        <f>EXP(-LN(2)/35)*BP42+(1-EXP(-LN(2)/35))/(LN(2)/35)*BL43*BM43*VLOOKUP('Données projet'!$B$11,Paramètres!$A$1:$I$88,3,0)*0.475*44/12</f>
        <v>2.7316615266411008</v>
      </c>
      <c r="BQ43" s="23">
        <f>EXP(-LN(2)/25)*BQ42+(1-EXP(-LN(2)/25))/(LN(2)/25)*Calculateur!BL43*Calculateur!BN43*VLOOKUP('Données projet'!$B$11,Paramètres!$A$1:$I$88,3,0)*0.475*44/12</f>
        <v>11.86860037386916</v>
      </c>
      <c r="BR43" s="23">
        <f>EXP(-LN(2)/2)*BR42+(1-EXP(-LN(2)/2))/(LN(2)/2)*BL43*BO43*VLOOKUP('Données projet'!$B$11,Paramètres!$A$1:$I$88,3,0)*0.475*44/12</f>
        <v>7.7522133839961072</v>
      </c>
      <c r="BS43" s="24">
        <f t="shared" si="9"/>
        <v>22.352475284506369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376.08308560652495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24.8</v>
      </c>
      <c r="N44" s="14">
        <f>IF('Données projet'!$A$36&gt;35,N43+M44-V43,IF(A44&lt;'Données projet'!$A$36,$K$205^A44,IF(A44='Données projet'!$A$36,'Données projet'!$B$36,N43+M44-V43)))</f>
        <v>586.79999999999984</v>
      </c>
      <c r="O44" s="14">
        <f>N44*VLOOKUP('Données projet'!$B$9,Paramètres!$A$1:$I$88,3,0)*VLOOKUP('Données projet'!$B$9,Paramètres!$A$1:$I$88,5,0)</f>
        <v>328.02119999999991</v>
      </c>
      <c r="P44" s="14">
        <f t="shared" si="33"/>
        <v>77.019907950957702</v>
      </c>
      <c r="Q44" s="22">
        <f t="shared" si="53"/>
        <v>705.44659634791776</v>
      </c>
      <c r="R44" s="62">
        <f t="shared" si="0"/>
        <v>998.77992968125113</v>
      </c>
      <c r="S44" s="62">
        <f ca="1">AVERAGE(OFFSET($R$3,0,0,'Données projet'!$E$9+1,1))-AVERAGE(OFFSET($H$3,0,0,'Données projet'!$E$9+1,1))</f>
        <v>461.42631729930201</v>
      </c>
      <c r="T44" s="62">
        <f t="shared" si="34"/>
        <v>570.46734160592086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11.372830165118863</v>
      </c>
      <c r="AA44" s="23">
        <f>EXP(-LN(2)/25)*AA43+(1-EXP(-LN(2)/25))/(LN(2)/25)*Calculateur!V44*Calculateur!X44*VLOOKUP('Données projet'!$B$9,Paramètres!$A$1:$I$88,3,0)*0.475*44/12</f>
        <v>54.043197967484424</v>
      </c>
      <c r="AB44" s="23">
        <f>EXP(-LN(2)/2)*AB43+(1-EXP(-LN(2)/2))/(LN(2)/2)*V44*Y44*VLOOKUP('Données projet'!$B$9,Paramètres!$A$1:$I$88,3,0)*0.475*44/12</f>
        <v>14.762591697603234</v>
      </c>
      <c r="AC44" s="24">
        <f t="shared" si="3"/>
        <v>80.178619830206515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15.283333333333331</v>
      </c>
      <c r="AI44" s="14">
        <f>IF('Données projet'!$A$62&gt;35,AI43+AH44-AQ43,IF(A44&lt;'Données projet'!$A$62,$AF$205^A44,IF(A44='Données projet'!$A$62,'Données projet'!$B$62,AI43+AH44-AQ43)))</f>
        <v>321.7166666666667</v>
      </c>
      <c r="AJ44" s="14">
        <f>AI44*VLOOKUP('Données projet'!$B$10,Paramètres!$A$1:$I$88,3,0)*VLOOKUP('Données projet'!$B$10,Paramètres!$A$1:$I$88,5,0)</f>
        <v>200.75120000000001</v>
      </c>
      <c r="AK44" s="14">
        <f t="shared" si="35"/>
        <v>49.909222710397614</v>
      </c>
      <c r="AL44" s="22">
        <f t="shared" si="4"/>
        <v>436.56690288727583</v>
      </c>
      <c r="AM44" s="62">
        <f t="shared" si="5"/>
        <v>729.90023622060914</v>
      </c>
      <c r="AN44" s="62">
        <f ca="1">AVERAGE(OFFSET($AM$3,0,0,'Données projet'!$E$10+1,1))-AVERAGE(OFFSET($H$3,0,0,'Données projet'!$E$10+1,1))</f>
        <v>272.66985936980086</v>
      </c>
      <c r="AO44" s="62">
        <f t="shared" si="36"/>
        <v>320.12040114313697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5.2811439859133582</v>
      </c>
      <c r="AV44" s="23">
        <f>EXP(-LN(2)/25)*AV43+(1-EXP(-LN(2)/25))/(LN(2)/25)*Calculateur!AQ44*Calculateur!AS44*VLOOKUP('Données projet'!$B$10,Paramètres!$A$1:$I$88,3,0)*0.475*44/12</f>
        <v>52.089210080346049</v>
      </c>
      <c r="AW44" s="23">
        <f>EXP(-LN(2)/2)*AW43+(1-EXP(-LN(2)/2))/(LN(2)/2)*AQ44*AT44*VLOOKUP('Données projet'!$B$10,Paramètres!$A$1:$I$88,3,0)*0.475*44/12</f>
        <v>3.0919925472530592</v>
      </c>
      <c r="AX44" s="23">
        <f t="shared" si="6"/>
        <v>60.462346613512466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10.5</v>
      </c>
      <c r="BD44" s="13">
        <f>IF('Données projet'!$A$88&gt;35,BD43+BC44-BL43,IF(A44&lt;'Données projet'!$A$88,$BA$205^A44,IF(A44='Données projet'!$A$88,'Données projet'!$B$88,BD43+BC44-BL43)))</f>
        <v>200.5</v>
      </c>
      <c r="BE44" s="14">
        <f>BD44*VLOOKUP('Données projet'!$B$11,Paramètres!$A$1:$I$88,3,0)*VLOOKUP('Données projet'!$B$11,Paramètres!$A$1:$I$88,5,0)</f>
        <v>93.833999999999989</v>
      </c>
      <c r="BF44" s="14">
        <f t="shared" si="37"/>
        <v>25.487636467805206</v>
      </c>
      <c r="BG44" s="22">
        <f t="shared" si="7"/>
        <v>207.81851684809405</v>
      </c>
      <c r="BH44" s="62">
        <f t="shared" si="8"/>
        <v>501.15185018142733</v>
      </c>
      <c r="BI44" s="62">
        <f ca="1">AVERAGE(OFFSET($BH$3,0,0,'Données projet'!$E$11+1,1))-AVERAGE(OFFSET($H$3,0,0,'Données projet'!$E$11+1,1))</f>
        <v>164.93326103756453</v>
      </c>
      <c r="BJ44" s="62">
        <f t="shared" si="38"/>
        <v>115.86489547584461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2.6780953102526817</v>
      </c>
      <c r="BQ44" s="23">
        <f>EXP(-LN(2)/25)*BQ43+(1-EXP(-LN(2)/25))/(LN(2)/25)*Calculateur!BL44*Calculateur!BN44*VLOOKUP('Données projet'!$B$11,Paramètres!$A$1:$I$88,3,0)*0.475*44/12</f>
        <v>11.544052872503141</v>
      </c>
      <c r="BR44" s="23">
        <f>EXP(-LN(2)/2)*BR43+(1-EXP(-LN(2)/2))/(LN(2)/2)*BL44*BO44*VLOOKUP('Données projet'!$B$11,Paramètres!$A$1:$I$88,3,0)*0.475*44/12</f>
        <v>5.4816426530287607</v>
      </c>
      <c r="BS44" s="24">
        <f t="shared" si="9"/>
        <v>19.703790835784581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378.04612747032132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24.8</v>
      </c>
      <c r="N45" s="14">
        <f>IF('Données projet'!$A$36&gt;35,N44+M45-V44,IF(A45&lt;'Données projet'!$A$36,$K$205^A45,IF(A45='Données projet'!$A$36,'Données projet'!$B$36,N44+M45-V44)))</f>
        <v>611.5999999999998</v>
      </c>
      <c r="O45" s="14">
        <f>N45*VLOOKUP('Données projet'!$B$9,Paramètres!$A$1:$I$88,3,0)*VLOOKUP('Données projet'!$B$9,Paramètres!$A$1:$I$88,5,0)</f>
        <v>341.88439999999986</v>
      </c>
      <c r="P45" s="14">
        <f t="shared" si="33"/>
        <v>79.889150066970018</v>
      </c>
      <c r="Q45" s="22">
        <f t="shared" si="53"/>
        <v>734.58893303330581</v>
      </c>
      <c r="R45" s="62">
        <f t="shared" si="0"/>
        <v>1027.9222663666392</v>
      </c>
      <c r="S45" s="62">
        <f ca="1">AVERAGE(OFFSET($R$3,0,0,'Données projet'!$E$9+1,1))-AVERAGE(OFFSET($H$3,0,0,'Données projet'!$E$9+1,1))</f>
        <v>461.42631729930201</v>
      </c>
      <c r="T45" s="62">
        <f t="shared" si="34"/>
        <v>570.46734160592086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11.149815902322336</v>
      </c>
      <c r="AA45" s="23">
        <f>EXP(-LN(2)/25)*AA44+(1-EXP(-LN(2)/25))/(LN(2)/25)*Calculateur!V45*Calculateur!X45*VLOOKUP('Données projet'!$B$9,Paramètres!$A$1:$I$88,3,0)*0.475*44/12</f>
        <v>52.565383877055297</v>
      </c>
      <c r="AB45" s="23">
        <f>EXP(-LN(2)/2)*AB44+(1-EXP(-LN(2)/2))/(LN(2)/2)*V45*Y45*VLOOKUP('Données projet'!$B$9,Paramètres!$A$1:$I$88,3,0)*0.475*44/12</f>
        <v>10.438728697263475</v>
      </c>
      <c r="AC45" s="24">
        <f t="shared" si="3"/>
        <v>74.153928476641113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337</v>
      </c>
      <c r="AG45" s="13">
        <f>VLOOKUP(A45,'Données projet'!$A$61:$I$81,9,0)</f>
        <v>15.283333333333331</v>
      </c>
      <c r="AH45" s="13">
        <f t="array" ref="AH45">INDEX(AG:AG,MIN(IF(ISNUMBER(AG45:AG241),ROW(AG45:AG241),"")))</f>
        <v>15.283333333333331</v>
      </c>
      <c r="AI45" s="14">
        <f>IF('Données projet'!$A$62&gt;35,AI44+AH45-AQ44,IF(A45&lt;'Données projet'!$A$62,$AF$205^A45,IF(A45='Données projet'!$A$62,'Données projet'!$B$62,AI44+AH45-AQ44)))</f>
        <v>337</v>
      </c>
      <c r="AJ45" s="14">
        <f>AI45*VLOOKUP('Données projet'!$B$10,Paramètres!$A$1:$I$88,3,0)*VLOOKUP('Données projet'!$B$10,Paramètres!$A$1:$I$88,5,0)</f>
        <v>210.28799999999998</v>
      </c>
      <c r="AK45" s="14">
        <f t="shared" si="35"/>
        <v>51.998515923525694</v>
      </c>
      <c r="AL45" s="22">
        <f t="shared" si="4"/>
        <v>456.81568190014053</v>
      </c>
      <c r="AM45" s="62">
        <f t="shared" si="5"/>
        <v>750.14901523347385</v>
      </c>
      <c r="AN45" s="62">
        <f ca="1">AVERAGE(OFFSET($AM$3,0,0,'Données projet'!$E$10+1,1))-AVERAGE(OFFSET($H$3,0,0,'Données projet'!$E$10+1,1))</f>
        <v>272.66985936980086</v>
      </c>
      <c r="AO45" s="62">
        <f t="shared" si="36"/>
        <v>320.12040114313697</v>
      </c>
      <c r="AP45" s="16">
        <f>IF(ISNA(VLOOKUP(A45,'Données projet'!$A$61:$I$81,3,0)),0,VLOOKUP(A45,'Données projet'!$A$61:$I$81,3,0))</f>
        <v>6</v>
      </c>
      <c r="AQ45" s="16">
        <f>IF(ISNA(VLOOKUP(A45,'Données projet'!$A$61:$I$81,4,0)),0,VLOOKUP(A45,'Données projet'!$A$61:$I$81,4,0))</f>
        <v>55.5</v>
      </c>
      <c r="AR45" s="17">
        <f>IF(ISNA(VLOOKUP(A45,'Données projet'!$A$61:$I$81,5,0)),0%,VLOOKUP(A45,'Données projet'!$A$61:$I$81,5,0)*VLOOKUP('Données projet'!$B$10,Paramètres!$A$1:$I$88,7,0))</f>
        <v>0.12</v>
      </c>
      <c r="AS45" s="17">
        <f>IF(ISNA(VLOOKUP(A45,'Données projet'!$A$61:$I$81,6,0)),0%,VLOOKUP(A45,'Données projet'!$A$61:$I$81,6,0)*VLOOKUP('Données projet'!$B$10,Paramètres!$A$1:$I$88,7,0))</f>
        <v>0.26880000000000004</v>
      </c>
      <c r="AT45" s="17">
        <f>IF(ISNA(VLOOKUP(A45,'Données projet'!$A$61:$I$81,7,0)),0%,VLOOKUP(A45,'Données projet'!$A$61:$I$81,7,0))</f>
        <v>0.35200000000000004</v>
      </c>
      <c r="AU45" s="23">
        <f>EXP(-LN(2)/35)*AU44+(1-EXP(-LN(2)/35))/(LN(2)/35)*AQ45*AR45*VLOOKUP('Données projet'!$B$10,Paramètres!$A$1:$I$88,3,0)*0.475*44/12</f>
        <v>10.690573600023221</v>
      </c>
      <c r="AV45" s="23">
        <f>EXP(-LN(2)/25)*AV44+(1-EXP(-LN(2)/25))/(LN(2)/25)*Calculateur!AQ45*Calculateur!AS45*VLOOKUP('Données projet'!$B$10,Paramètres!$A$1:$I$88,3,0)*0.475*44/12</f>
        <v>62.96530155546067</v>
      </c>
      <c r="AW45" s="23">
        <f>EXP(-LN(2)/2)*AW44+(1-EXP(-LN(2)/2))/(LN(2)/2)*AQ45*AT45*VLOOKUP('Données projet'!$B$10,Paramètres!$A$1:$I$88,3,0)*0.475*44/12</f>
        <v>15.988805960174577</v>
      </c>
      <c r="AX45" s="23">
        <f t="shared" si="6"/>
        <v>89.644681115658472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10.5</v>
      </c>
      <c r="BD45" s="13">
        <f>IF('Données projet'!$A$88&gt;35,BD44+BC45-BL44,IF(A45&lt;'Données projet'!$A$88,$BA$205^A45,IF(A45='Données projet'!$A$88,'Données projet'!$B$88,BD44+BC45-BL44)))</f>
        <v>211</v>
      </c>
      <c r="BE45" s="14">
        <f>BD45*VLOOKUP('Données projet'!$B$11,Paramètres!$A$1:$I$88,3,0)*VLOOKUP('Données projet'!$B$11,Paramètres!$A$1:$I$88,5,0)</f>
        <v>98.74799999999999</v>
      </c>
      <c r="BF45" s="14">
        <f t="shared" si="37"/>
        <v>26.663507453762108</v>
      </c>
      <c r="BG45" s="22">
        <f t="shared" si="7"/>
        <v>218.42504214863564</v>
      </c>
      <c r="BH45" s="62">
        <f t="shared" si="8"/>
        <v>511.75837548196898</v>
      </c>
      <c r="BI45" s="62">
        <f ca="1">AVERAGE(OFFSET($BH$3,0,0,'Données projet'!$E$11+1,1))-AVERAGE(OFFSET($H$3,0,0,'Données projet'!$E$11+1,1))</f>
        <v>164.93326103756453</v>
      </c>
      <c r="BJ45" s="62">
        <f t="shared" si="38"/>
        <v>115.86489547584461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2.6255794946954736</v>
      </c>
      <c r="BQ45" s="23">
        <f>EXP(-LN(2)/25)*BQ44+(1-EXP(-LN(2)/25))/(LN(2)/25)*Calculateur!BL45*Calculateur!BN45*VLOOKUP('Données projet'!$B$11,Paramètres!$A$1:$I$88,3,0)*0.475*44/12</f>
        <v>11.228380139629186</v>
      </c>
      <c r="BR45" s="23">
        <f>EXP(-LN(2)/2)*BR44+(1-EXP(-LN(2)/2))/(LN(2)/2)*BL45*BO45*VLOOKUP('Données projet'!$B$11,Paramètres!$A$1:$I$88,3,0)*0.475*44/12</f>
        <v>3.876106691998054</v>
      </c>
      <c r="BS45" s="24">
        <f t="shared" si="9"/>
        <v>17.730066326322714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380.00802246281268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24.8</v>
      </c>
      <c r="N46" s="14">
        <f>IF('Données projet'!$A$36&gt;35,N45+M46-V45,IF(A46&lt;'Données projet'!$A$36,$K$205^A46,IF(A46='Données projet'!$A$36,'Données projet'!$B$36,N45+M46-V45)))</f>
        <v>636.39999999999975</v>
      </c>
      <c r="O46" s="14">
        <f>N46*VLOOKUP('Données projet'!$B$9,Paramètres!$A$1:$I$88,3,0)*VLOOKUP('Données projet'!$B$9,Paramètres!$A$1:$I$88,5,0)</f>
        <v>355.74759999999986</v>
      </c>
      <c r="P46" s="14">
        <f t="shared" si="33"/>
        <v>82.744877508992289</v>
      </c>
      <c r="Q46" s="22">
        <f t="shared" si="53"/>
        <v>763.70773166149456</v>
      </c>
      <c r="R46" s="62">
        <f t="shared" si="0"/>
        <v>1057.0410649948278</v>
      </c>
      <c r="S46" s="62">
        <f ca="1">AVERAGE(OFFSET($R$3,0,0,'Données projet'!$E$9+1,1))-AVERAGE(OFFSET($H$3,0,0,'Données projet'!$E$9+1,1))</f>
        <v>461.42631729930201</v>
      </c>
      <c r="T46" s="62">
        <f t="shared" si="34"/>
        <v>570.46734160592086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10.93117481319398</v>
      </c>
      <c r="AA46" s="23">
        <f>EXP(-LN(2)/25)*AA45+(1-EXP(-LN(2)/25))/(LN(2)/25)*Calculateur!V46*Calculateur!X46*VLOOKUP('Données projet'!$B$9,Paramètres!$A$1:$I$88,3,0)*0.475*44/12</f>
        <v>51.127980690643824</v>
      </c>
      <c r="AB46" s="23">
        <f>EXP(-LN(2)/2)*AB45+(1-EXP(-LN(2)/2))/(LN(2)/2)*V46*Y46*VLOOKUP('Données projet'!$B$9,Paramètres!$A$1:$I$88,3,0)*0.475*44/12</f>
        <v>7.3812958488016189</v>
      </c>
      <c r="AC46" s="24">
        <f t="shared" si="3"/>
        <v>69.440451352639414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12.916666666666666</v>
      </c>
      <c r="AI46" s="14">
        <f>IF('Données projet'!$A$62&gt;35,AI45+AH46-AQ45,IF(A46&lt;'Données projet'!$A$62,$AF$205^A46,IF(A46='Données projet'!$A$62,'Données projet'!$B$62,AI45+AH46-AQ45)))</f>
        <v>294.41666666666669</v>
      </c>
      <c r="AJ46" s="14">
        <f>AI46*VLOOKUP('Données projet'!$B$10,Paramètres!$A$1:$I$88,3,0)*VLOOKUP('Données projet'!$B$10,Paramètres!$A$1:$I$88,5,0)</f>
        <v>183.71600000000001</v>
      </c>
      <c r="AK46" s="14">
        <f t="shared" si="35"/>
        <v>46.147941916845312</v>
      </c>
      <c r="AL46" s="22">
        <f t="shared" si="4"/>
        <v>400.34636550517217</v>
      </c>
      <c r="AM46" s="62">
        <f t="shared" si="5"/>
        <v>693.67969883850549</v>
      </c>
      <c r="AN46" s="62">
        <f ca="1">AVERAGE(OFFSET($AM$3,0,0,'Données projet'!$E$10+1,1))-AVERAGE(OFFSET($H$3,0,0,'Données projet'!$E$10+1,1))</f>
        <v>272.66985936980086</v>
      </c>
      <c r="AO46" s="62">
        <f t="shared" si="36"/>
        <v>320.12040114313697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10.480937972332805</v>
      </c>
      <c r="AV46" s="23">
        <f>EXP(-LN(2)/25)*AV45+(1-EXP(-LN(2)/25))/(LN(2)/25)*Calculateur!AQ46*Calculateur!AS46*VLOOKUP('Données projet'!$B$10,Paramètres!$A$1:$I$88,3,0)*0.475*44/12</f>
        <v>61.243512073225297</v>
      </c>
      <c r="AW46" s="23">
        <f>EXP(-LN(2)/2)*AW45+(1-EXP(-LN(2)/2))/(LN(2)/2)*AQ46*AT46*VLOOKUP('Données projet'!$B$10,Paramètres!$A$1:$I$88,3,0)*0.475*44/12</f>
        <v>11.305793117515332</v>
      </c>
      <c r="AX46" s="23">
        <f t="shared" si="6"/>
        <v>83.030243163073436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10.5</v>
      </c>
      <c r="BD46" s="13">
        <f>IF('Données projet'!$A$88&gt;35,BD45+BC46-BL45,IF(A46&lt;'Données projet'!$A$88,$BA$205^A46,IF(A46='Données projet'!$A$88,'Données projet'!$B$88,BD45+BC46-BL45)))</f>
        <v>221.5</v>
      </c>
      <c r="BE46" s="14">
        <f>BD46*VLOOKUP('Données projet'!$B$11,Paramètres!$A$1:$I$88,3,0)*VLOOKUP('Données projet'!$B$11,Paramètres!$A$1:$I$88,5,0)</f>
        <v>103.66199999999999</v>
      </c>
      <c r="BF46" s="14">
        <f t="shared" si="37"/>
        <v>27.83258403236168</v>
      </c>
      <c r="BG46" s="22">
        <f t="shared" si="7"/>
        <v>229.01973385636325</v>
      </c>
      <c r="BH46" s="62">
        <f t="shared" si="8"/>
        <v>522.3530671896965</v>
      </c>
      <c r="BI46" s="62">
        <f ca="1">AVERAGE(OFFSET($BH$3,0,0,'Données projet'!$E$11+1,1))-AVERAGE(OFFSET($H$3,0,0,'Données projet'!$E$11+1,1))</f>
        <v>164.93326103756453</v>
      </c>
      <c r="BJ46" s="62">
        <f t="shared" si="38"/>
        <v>115.86489547584461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2.5740934822498573</v>
      </c>
      <c r="BQ46" s="23">
        <f>EXP(-LN(2)/25)*BQ45+(1-EXP(-LN(2)/25))/(LN(2)/25)*Calculateur!BL46*Calculateur!BN46*VLOOKUP('Données projet'!$B$11,Paramètres!$A$1:$I$88,3,0)*0.475*44/12</f>
        <v>10.921339494236177</v>
      </c>
      <c r="BR46" s="23">
        <f>EXP(-LN(2)/2)*BR45+(1-EXP(-LN(2)/2))/(LN(2)/2)*BL46*BO46*VLOOKUP('Données projet'!$B$11,Paramètres!$A$1:$I$88,3,0)*0.475*44/12</f>
        <v>2.7408213265143808</v>
      </c>
      <c r="BS46" s="24">
        <f t="shared" si="9"/>
        <v>16.236254303000415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381.96880032513235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24.8</v>
      </c>
      <c r="N47" s="14">
        <f>IF('Données projet'!$A$36&gt;35,N46+M47-V46,IF(A47&lt;'Données projet'!$A$36,$K$205^A47,IF(A47='Données projet'!$A$36,'Données projet'!$B$36,N46+M47-V46)))</f>
        <v>661.1999999999997</v>
      </c>
      <c r="O47" s="14">
        <f>N47*VLOOKUP('Données projet'!$B$9,Paramètres!$A$1:$I$88,3,0)*VLOOKUP('Données projet'!$B$9,Paramètres!$A$1:$I$88,5,0)</f>
        <v>369.61079999999981</v>
      </c>
      <c r="P47" s="14">
        <f t="shared" si="33"/>
        <v>85.587677206936931</v>
      </c>
      <c r="Q47" s="22">
        <f t="shared" si="53"/>
        <v>792.80401446874805</v>
      </c>
      <c r="R47" s="62">
        <f t="shared" si="0"/>
        <v>1086.1373478020814</v>
      </c>
      <c r="S47" s="62">
        <f ca="1">AVERAGE(OFFSET($R$3,0,0,'Données projet'!$E$9+1,1))-AVERAGE(OFFSET($H$3,0,0,'Données projet'!$E$9+1,1))</f>
        <v>461.42631729930201</v>
      </c>
      <c r="T47" s="62">
        <f t="shared" si="34"/>
        <v>570.46734160592086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10.716821142465536</v>
      </c>
      <c r="AA47" s="23">
        <f>EXP(-LN(2)/25)*AA46+(1-EXP(-LN(2)/25))/(LN(2)/25)*Calculateur!V47*Calculateur!X47*VLOOKUP('Données projet'!$B$9,Paramètres!$A$1:$I$88,3,0)*0.475*44/12</f>
        <v>49.729883369954521</v>
      </c>
      <c r="AB47" s="23">
        <f>EXP(-LN(2)/2)*AB46+(1-EXP(-LN(2)/2))/(LN(2)/2)*V47*Y47*VLOOKUP('Données projet'!$B$9,Paramètres!$A$1:$I$88,3,0)*0.475*44/12</f>
        <v>5.2193643486317383</v>
      </c>
      <c r="AC47" s="24">
        <f t="shared" si="3"/>
        <v>65.666068861051798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12.916666666666666</v>
      </c>
      <c r="AI47" s="14">
        <f>IF('Données projet'!$A$62&gt;35,AI46+AH47-AQ46,IF(A47&lt;'Données projet'!$A$62,$AF$205^A47,IF(A47='Données projet'!$A$62,'Données projet'!$B$62,AI46+AH47-AQ46)))</f>
        <v>307.33333333333337</v>
      </c>
      <c r="AJ47" s="14">
        <f>AI47*VLOOKUP('Données projet'!$B$10,Paramètres!$A$1:$I$88,3,0)*VLOOKUP('Données projet'!$B$10,Paramètres!$A$1:$I$88,5,0)</f>
        <v>191.77600000000001</v>
      </c>
      <c r="AK47" s="14">
        <f t="shared" si="35"/>
        <v>47.932388367238758</v>
      </c>
      <c r="AL47" s="22">
        <f t="shared" si="4"/>
        <v>417.49210973960749</v>
      </c>
      <c r="AM47" s="62">
        <f t="shared" si="5"/>
        <v>710.82544307294074</v>
      </c>
      <c r="AN47" s="62">
        <f ca="1">AVERAGE(OFFSET($AM$3,0,0,'Données projet'!$E$10+1,1))-AVERAGE(OFFSET($H$3,0,0,'Données projet'!$E$10+1,1))</f>
        <v>272.66985936980086</v>
      </c>
      <c r="AO47" s="62">
        <f t="shared" si="36"/>
        <v>320.12040114313697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10.275413171436291</v>
      </c>
      <c r="AV47" s="23">
        <f>EXP(-LN(2)/25)*AV46+(1-EXP(-LN(2)/25))/(LN(2)/25)*Calculateur!AQ47*Calculateur!AS47*VLOOKUP('Données projet'!$B$10,Paramètres!$A$1:$I$88,3,0)*0.475*44/12</f>
        <v>59.568805014926625</v>
      </c>
      <c r="AW47" s="23">
        <f>EXP(-LN(2)/2)*AW46+(1-EXP(-LN(2)/2))/(LN(2)/2)*AQ47*AT47*VLOOKUP('Données projet'!$B$10,Paramètres!$A$1:$I$88,3,0)*0.475*44/12</f>
        <v>7.9944029800872896</v>
      </c>
      <c r="AX47" s="23">
        <f t="shared" si="6"/>
        <v>77.83862116645021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10.5</v>
      </c>
      <c r="BD47" s="13">
        <f>IF('Données projet'!$A$88&gt;35,BD46+BC47-BL46,IF(A47&lt;'Données projet'!$A$88,$BA$205^A47,IF(A47='Données projet'!$A$88,'Données projet'!$B$88,BD46+BC47-BL46)))</f>
        <v>232</v>
      </c>
      <c r="BE47" s="14">
        <f>BD47*VLOOKUP('Données projet'!$B$11,Paramètres!$A$1:$I$88,3,0)*VLOOKUP('Données projet'!$B$11,Paramètres!$A$1:$I$88,5,0)</f>
        <v>108.57599999999999</v>
      </c>
      <c r="BF47" s="14">
        <f t="shared" si="37"/>
        <v>28.995225061228002</v>
      </c>
      <c r="BG47" s="22">
        <f t="shared" si="7"/>
        <v>239.60321698163875</v>
      </c>
      <c r="BH47" s="62">
        <f t="shared" si="8"/>
        <v>532.93655031497201</v>
      </c>
      <c r="BI47" s="62">
        <f ca="1">AVERAGE(OFFSET($BH$3,0,0,'Données projet'!$E$11+1,1))-AVERAGE(OFFSET($H$3,0,0,'Données projet'!$E$11+1,1))</f>
        <v>164.93326103756453</v>
      </c>
      <c r="BJ47" s="62">
        <f t="shared" si="38"/>
        <v>115.86489547584461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2.523617079104933</v>
      </c>
      <c r="BQ47" s="23">
        <f>EXP(-LN(2)/25)*BQ46+(1-EXP(-LN(2)/25))/(LN(2)/25)*Calculateur!BL47*Calculateur!BN47*VLOOKUP('Données projet'!$B$11,Paramètres!$A$1:$I$88,3,0)*0.475*44/12</f>
        <v>10.622694891438005</v>
      </c>
      <c r="BR47" s="23">
        <f>EXP(-LN(2)/2)*BR46+(1-EXP(-LN(2)/2))/(LN(2)/2)*BL47*BO47*VLOOKUP('Données projet'!$B$11,Paramètres!$A$1:$I$88,3,0)*0.475*44/12</f>
        <v>1.9380533459990272</v>
      </c>
      <c r="BS47" s="24">
        <f t="shared" si="9"/>
        <v>15.084365316541966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383.92848936938583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686</v>
      </c>
      <c r="L48" s="13">
        <f>VLOOKUP(A48,'Données projet'!$A$35:$I$55,9,0)</f>
        <v>24.8</v>
      </c>
      <c r="M48" s="13">
        <f t="array" ref="M48">INDEX(L:L,MIN(IF(ISNUMBER(L48:L244),ROW(L48:L244),"")))</f>
        <v>24.8</v>
      </c>
      <c r="N48" s="14">
        <f>IF('Données projet'!$A$36&gt;35,N47+M48-V47,IF(A48&lt;'Données projet'!$A$36,$K$205^A48,IF(A48='Données projet'!$A$36,'Données projet'!$B$36,N47+M48-V47)))</f>
        <v>685.99999999999966</v>
      </c>
      <c r="O48" s="14">
        <f>N48*VLOOKUP('Données projet'!$B$9,Paramètres!$A$1:$I$88,3,0)*VLOOKUP('Données projet'!$B$9,Paramètres!$A$1:$I$88,5,0)</f>
        <v>383.47399999999982</v>
      </c>
      <c r="P48" s="14">
        <f t="shared" si="33"/>
        <v>88.418089567872116</v>
      </c>
      <c r="Q48" s="22">
        <f t="shared" si="53"/>
        <v>821.87872266404372</v>
      </c>
      <c r="R48" s="62">
        <f t="shared" si="0"/>
        <v>1115.2120559973771</v>
      </c>
      <c r="S48" s="62">
        <f ca="1">AVERAGE(OFFSET($R$3,0,0,'Données projet'!$E$9+1,1))-AVERAGE(OFFSET($H$3,0,0,'Données projet'!$E$9+1,1))</f>
        <v>461.42631729930201</v>
      </c>
      <c r="T48" s="62">
        <f t="shared" si="34"/>
        <v>570.46734160592086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64</v>
      </c>
      <c r="W48" s="17">
        <f>IF(ISNA(VLOOKUP(A48,'Données projet'!$A$35:$I$55,5,0)),0%,VLOOKUP(A48,'Données projet'!$A$35:$I$55,5,0)*VLOOKUP('Données projet'!$B$9,Paramètres!$A$1:$I$88,7,0))</f>
        <v>0.22000000000000003</v>
      </c>
      <c r="X48" s="17">
        <f>IF(ISNA(VLOOKUP(A48,'Données projet'!$A$35:$I$55,6,0)),0%,VLOOKUP(A48,'Données projet'!$A$35:$I$55,6,0)*VLOOKUP('Données projet'!$B$9,Paramètres!$A$1:$I$88,7,0))</f>
        <v>0.18480000000000002</v>
      </c>
      <c r="Y48" s="17">
        <f>IF(ISNA(VLOOKUP(A48,'Données projet'!$A$35:$I$55,7,0)),0%,VLOOKUP(A48,'Données projet'!$A$35:$I$55,7,0))</f>
        <v>0.26400000000000001</v>
      </c>
      <c r="Z48" s="23">
        <f>EXP(-LN(2)/35)*Z47+(1-EXP(-LN(2)/35))/(LN(2)/35)*V48*W48*VLOOKUP('Données projet'!$B$9,Paramètres!$A$1:$I$88,3,0)*0.475*44/12</f>
        <v>20.947688207194346</v>
      </c>
      <c r="AA48" s="23">
        <f>EXP(-LN(2)/25)*AA47+(1-EXP(-LN(2)/25))/(LN(2)/25)*Calculateur!V48*Calculateur!X48*VLOOKUP('Données projet'!$B$9,Paramètres!$A$1:$I$88,3,0)*0.475*44/12</f>
        <v>57.105939080626882</v>
      </c>
      <c r="AB48" s="23">
        <f>EXP(-LN(2)/2)*AB47+(1-EXP(-LN(2)/2))/(LN(2)/2)*V48*Y48*VLOOKUP('Données projet'!$B$9,Paramètres!$A$1:$I$88,3,0)*0.475*44/12</f>
        <v>14.384427990945815</v>
      </c>
      <c r="AC48" s="24">
        <f t="shared" si="3"/>
        <v>92.438055278767038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12.916666666666666</v>
      </c>
      <c r="AI48" s="14">
        <f>IF('Données projet'!$A$62&gt;35,AI47+AH48-AQ47,IF(A48&lt;'Données projet'!$A$62,$AF$205^A48,IF(A48='Données projet'!$A$62,'Données projet'!$B$62,AI47+AH48-AQ47)))</f>
        <v>320.25000000000006</v>
      </c>
      <c r="AJ48" s="14">
        <f>AI48*VLOOKUP('Données projet'!$B$10,Paramètres!$A$1:$I$88,3,0)*VLOOKUP('Données projet'!$B$10,Paramètres!$A$1:$I$88,5,0)</f>
        <v>199.83600000000004</v>
      </c>
      <c r="AK48" s="14">
        <f t="shared" si="35"/>
        <v>49.708123768564604</v>
      </c>
      <c r="AL48" s="22">
        <f t="shared" si="4"/>
        <v>434.62268223025006</v>
      </c>
      <c r="AM48" s="62">
        <f t="shared" si="5"/>
        <v>727.95601556358338</v>
      </c>
      <c r="AN48" s="62">
        <f ca="1">AVERAGE(OFFSET($AM$3,0,0,'Données projet'!$E$10+1,1))-AVERAGE(OFFSET($H$3,0,0,'Données projet'!$E$10+1,1))</f>
        <v>272.66985936980086</v>
      </c>
      <c r="AO48" s="62">
        <f t="shared" si="36"/>
        <v>320.12040114313697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10.073918586527608</v>
      </c>
      <c r="AV48" s="23">
        <f>EXP(-LN(2)/25)*AV47+(1-EXP(-LN(2)/25))/(LN(2)/25)*Calculateur!AQ48*Calculateur!AS48*VLOOKUP('Données projet'!$B$10,Paramètres!$A$1:$I$88,3,0)*0.475*44/12</f>
        <v>57.939892909206144</v>
      </c>
      <c r="AW48" s="23">
        <f>EXP(-LN(2)/2)*AW47+(1-EXP(-LN(2)/2))/(LN(2)/2)*AQ48*AT48*VLOOKUP('Données projet'!$B$10,Paramètres!$A$1:$I$88,3,0)*0.475*44/12</f>
        <v>5.6528965587576669</v>
      </c>
      <c r="AX48" s="23">
        <f t="shared" si="6"/>
        <v>73.666708054491409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10.5</v>
      </c>
      <c r="BD48" s="13">
        <f>IF('Données projet'!$A$88&gt;35,BD47+BC48-BL47,IF(A48&lt;'Données projet'!$A$88,$BA$205^A48,IF(A48='Données projet'!$A$88,'Données projet'!$B$88,BD47+BC48-BL47)))</f>
        <v>242.5</v>
      </c>
      <c r="BE48" s="14">
        <f>BD48*VLOOKUP('Données projet'!$B$11,Paramètres!$A$1:$I$88,3,0)*VLOOKUP('Données projet'!$B$11,Paramètres!$A$1:$I$88,5,0)</f>
        <v>113.49</v>
      </c>
      <c r="BF48" s="14">
        <f t="shared" si="37"/>
        <v>30.151755078981495</v>
      </c>
      <c r="BG48" s="22">
        <f t="shared" si="7"/>
        <v>250.1760567625594</v>
      </c>
      <c r="BH48" s="62">
        <f t="shared" si="8"/>
        <v>543.50939009589274</v>
      </c>
      <c r="BI48" s="62">
        <f ca="1">AVERAGE(OFFSET($BH$3,0,0,'Données projet'!$E$11+1,1))-AVERAGE(OFFSET($H$3,0,0,'Données projet'!$E$11+1,1))</f>
        <v>164.93326103756453</v>
      </c>
      <c r="BJ48" s="62">
        <f t="shared" si="38"/>
        <v>115.86489547584461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2.4741304874381149</v>
      </c>
      <c r="BQ48" s="23">
        <f>EXP(-LN(2)/25)*BQ47+(1-EXP(-LN(2)/25))/(LN(2)/25)*Calculateur!BL48*Calculateur!BN48*VLOOKUP('Données projet'!$B$11,Paramètres!$A$1:$I$88,3,0)*0.475*44/12</f>
        <v>10.332216741008388</v>
      </c>
      <c r="BR48" s="23">
        <f>EXP(-LN(2)/2)*BR47+(1-EXP(-LN(2)/2))/(LN(2)/2)*BL48*BO48*VLOOKUP('Données projet'!$B$11,Paramètres!$A$1:$I$88,3,0)*0.475*44/12</f>
        <v>1.3704106632571906</v>
      </c>
      <c r="BS48" s="24">
        <f t="shared" si="9"/>
        <v>14.176757891703694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385.88711657752037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20.399999999999999</v>
      </c>
      <c r="N49" s="14">
        <f>IF('Données projet'!$A$36&gt;35,N48+M49-V48,IF(A49&lt;'Données projet'!$A$36,$K$205^A49,IF(A49='Données projet'!$A$36,'Données projet'!$B$36,N48+M49-V48)))</f>
        <v>642.39999999999964</v>
      </c>
      <c r="O49" s="14">
        <f>N49*VLOOKUP('Données projet'!$B$9,Paramètres!$A$1:$I$88,3,0)*VLOOKUP('Données projet'!$B$9,Paramètres!$A$1:$I$88,5,0)</f>
        <v>359.10159999999985</v>
      </c>
      <c r="P49" s="14">
        <f t="shared" si="33"/>
        <v>83.433815871723468</v>
      </c>
      <c r="Q49" s="22">
        <f t="shared" si="53"/>
        <v>770.74918264325152</v>
      </c>
      <c r="R49" s="62">
        <f t="shared" si="0"/>
        <v>1064.0825159765848</v>
      </c>
      <c r="S49" s="62">
        <f ca="1">AVERAGE(OFFSET($R$3,0,0,'Données projet'!$E$9+1,1))-AVERAGE(OFFSET($H$3,0,0,'Données projet'!$E$9+1,1))</f>
        <v>461.42631729930201</v>
      </c>
      <c r="T49" s="62">
        <f t="shared" si="34"/>
        <v>570.46734160592086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20.536916818279465</v>
      </c>
      <c r="AA49" s="23">
        <f>EXP(-LN(2)/25)*AA48+(1-EXP(-LN(2)/25))/(LN(2)/25)*Calculateur!V49*Calculateur!X49*VLOOKUP('Données projet'!$B$9,Paramètres!$A$1:$I$88,3,0)*0.475*44/12</f>
        <v>55.544374173396321</v>
      </c>
      <c r="AB49" s="23">
        <f>EXP(-LN(2)/2)*AB48+(1-EXP(-LN(2)/2))/(LN(2)/2)*V49*Y49*VLOOKUP('Données projet'!$B$9,Paramètres!$A$1:$I$88,3,0)*0.475*44/12</f>
        <v>10.171326575887372</v>
      </c>
      <c r="AC49" s="24">
        <f t="shared" si="3"/>
        <v>86.252617567563163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12.916666666666666</v>
      </c>
      <c r="AI49" s="14">
        <f>IF('Données projet'!$A$62&gt;35,AI48+AH49-AQ48,IF(A49&lt;'Données projet'!$A$62,$AF$205^A49,IF(A49='Données projet'!$A$62,'Données projet'!$B$62,AI48+AH49-AQ48)))</f>
        <v>333.16666666666674</v>
      </c>
      <c r="AJ49" s="14">
        <f>AI49*VLOOKUP('Données projet'!$B$10,Paramètres!$A$1:$I$88,3,0)*VLOOKUP('Données projet'!$B$10,Paramètres!$A$1:$I$88,5,0)</f>
        <v>207.89600000000007</v>
      </c>
      <c r="AK49" s="14">
        <f t="shared" si="35"/>
        <v>51.475539657638429</v>
      </c>
      <c r="AL49" s="22">
        <f t="shared" si="4"/>
        <v>451.73876490372032</v>
      </c>
      <c r="AM49" s="62">
        <f t="shared" si="5"/>
        <v>745.07209823705364</v>
      </c>
      <c r="AN49" s="62">
        <f ca="1">AVERAGE(OFFSET($AM$3,0,0,'Données projet'!$E$10+1,1))-AVERAGE(OFFSET($H$3,0,0,'Données projet'!$E$10+1,1))</f>
        <v>272.66985936980086</v>
      </c>
      <c r="AO49" s="62">
        <f t="shared" si="36"/>
        <v>320.12040114313697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9.8763751875294226</v>
      </c>
      <c r="AV49" s="23">
        <f>EXP(-LN(2)/25)*AV48+(1-EXP(-LN(2)/25))/(LN(2)/25)*Calculateur!AQ49*Calculateur!AS49*VLOOKUP('Données projet'!$B$10,Paramètres!$A$1:$I$88,3,0)*0.475*44/12</f>
        <v>56.355523490677356</v>
      </c>
      <c r="AW49" s="23">
        <f>EXP(-LN(2)/2)*AW48+(1-EXP(-LN(2)/2))/(LN(2)/2)*AQ49*AT49*VLOOKUP('Données projet'!$B$10,Paramètres!$A$1:$I$88,3,0)*0.475*44/12</f>
        <v>3.9972014900436452</v>
      </c>
      <c r="AX49" s="23">
        <f t="shared" si="6"/>
        <v>70.229100168250426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10.5</v>
      </c>
      <c r="BD49" s="13">
        <f>IF('Données projet'!$A$88&gt;35,BD48+BC49-BL48,IF(A49&lt;'Données projet'!$A$88,$BA$205^A49,IF(A49='Données projet'!$A$88,'Données projet'!$B$88,BD48+BC49-BL48)))</f>
        <v>253</v>
      </c>
      <c r="BE49" s="14">
        <f>BD49*VLOOKUP('Données projet'!$B$11,Paramètres!$A$1:$I$88,3,0)*VLOOKUP('Données projet'!$B$11,Paramètres!$A$1:$I$88,5,0)</f>
        <v>118.404</v>
      </c>
      <c r="BF49" s="14">
        <f t="shared" si="37"/>
        <v>31.302468930496392</v>
      </c>
      <c r="BG49" s="22">
        <f t="shared" si="7"/>
        <v>260.73876672061448</v>
      </c>
      <c r="BH49" s="62">
        <f t="shared" si="8"/>
        <v>554.07210005394779</v>
      </c>
      <c r="BI49" s="62">
        <f ca="1">AVERAGE(OFFSET($BH$3,0,0,'Données projet'!$E$11+1,1))-AVERAGE(OFFSET($H$3,0,0,'Données projet'!$E$11+1,1))</f>
        <v>164.93326103756453</v>
      </c>
      <c r="BJ49" s="62">
        <f t="shared" si="38"/>
        <v>115.86489547584461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2.4256142976500423</v>
      </c>
      <c r="BQ49" s="23">
        <f>EXP(-LN(2)/25)*BQ48+(1-EXP(-LN(2)/25))/(LN(2)/25)*Calculateur!BL49*Calculateur!BN49*VLOOKUP('Données projet'!$B$11,Paramètres!$A$1:$I$88,3,0)*0.475*44/12</f>
        <v>10.04968173087785</v>
      </c>
      <c r="BR49" s="23">
        <f>EXP(-LN(2)/2)*BR48+(1-EXP(-LN(2)/2))/(LN(2)/2)*BL49*BO49*VLOOKUP('Données projet'!$B$11,Paramètres!$A$1:$I$88,3,0)*0.475*44/12</f>
        <v>0.96902667299951384</v>
      </c>
      <c r="BS49" s="24">
        <f t="shared" si="9"/>
        <v>13.444322701527406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387.84470769135481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20.399999999999999</v>
      </c>
      <c r="N50" s="14">
        <f>IF('Données projet'!$A$36&gt;35,N49+M50-V49,IF(A50&lt;'Données projet'!$A$36,$K$205^A50,IF(A50='Données projet'!$A$36,'Données projet'!$B$36,N49+M50-V49)))</f>
        <v>662.79999999999961</v>
      </c>
      <c r="O50" s="14">
        <f>N50*VLOOKUP('Données projet'!$B$9,Paramètres!$A$1:$I$88,3,0)*VLOOKUP('Données projet'!$B$9,Paramètres!$A$1:$I$88,5,0)</f>
        <v>370.50519999999983</v>
      </c>
      <c r="P50" s="14">
        <f t="shared" si="33"/>
        <v>85.770652719303072</v>
      </c>
      <c r="Q50" s="22">
        <f t="shared" si="53"/>
        <v>794.6804434861192</v>
      </c>
      <c r="R50" s="62">
        <f t="shared" si="0"/>
        <v>1088.0137768194525</v>
      </c>
      <c r="S50" s="62">
        <f ca="1">AVERAGE(OFFSET($R$3,0,0,'Données projet'!$E$9+1,1))-AVERAGE(OFFSET($H$3,0,0,'Données projet'!$E$9+1,1))</f>
        <v>461.42631729930201</v>
      </c>
      <c r="T50" s="62">
        <f t="shared" si="34"/>
        <v>570.46734160592086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20.134200405755397</v>
      </c>
      <c r="AA50" s="23">
        <f>EXP(-LN(2)/25)*AA49+(1-EXP(-LN(2)/25))/(LN(2)/25)*Calculateur!V50*Calculateur!X50*VLOOKUP('Données projet'!$B$9,Paramètres!$A$1:$I$88,3,0)*0.475*44/12</f>
        <v>54.025510340673108</v>
      </c>
      <c r="AB50" s="23">
        <f>EXP(-LN(2)/2)*AB49+(1-EXP(-LN(2)/2))/(LN(2)/2)*V50*Y50*VLOOKUP('Données projet'!$B$9,Paramètres!$A$1:$I$88,3,0)*0.475*44/12</f>
        <v>7.1922139954729083</v>
      </c>
      <c r="AC50" s="24">
        <f t="shared" si="3"/>
        <v>81.351924741901414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12.916666666666666</v>
      </c>
      <c r="AI50" s="14">
        <f>IF('Données projet'!$A$62&gt;35,AI49+AH50-AQ49,IF(A50&lt;'Données projet'!$A$62,$AF$205^A50,IF(A50='Données projet'!$A$62,'Données projet'!$B$62,AI49+AH50-AQ49)))</f>
        <v>346.08333333333343</v>
      </c>
      <c r="AJ50" s="14">
        <f>AI50*VLOOKUP('Données projet'!$B$10,Paramètres!$A$1:$I$88,3,0)*VLOOKUP('Données projet'!$B$10,Paramètres!$A$1:$I$88,5,0)</f>
        <v>215.95600000000005</v>
      </c>
      <c r="AK50" s="14">
        <f t="shared" si="35"/>
        <v>53.234995492885389</v>
      </c>
      <c r="AL50" s="22">
        <f t="shared" si="4"/>
        <v>468.84098381677546</v>
      </c>
      <c r="AM50" s="62">
        <f t="shared" si="5"/>
        <v>762.17431715010878</v>
      </c>
      <c r="AN50" s="62">
        <f ca="1">AVERAGE(OFFSET($AM$3,0,0,'Données projet'!$E$10+1,1))-AVERAGE(OFFSET($H$3,0,0,'Données projet'!$E$10+1,1))</f>
        <v>272.66985936980086</v>
      </c>
      <c r="AO50" s="62">
        <f t="shared" si="36"/>
        <v>320.12040114313697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9.6827054940960142</v>
      </c>
      <c r="AV50" s="23">
        <f>EXP(-LN(2)/25)*AV49+(1-EXP(-LN(2)/25))/(LN(2)/25)*Calculateur!AQ50*Calculateur!AS50*VLOOKUP('Données projet'!$B$10,Paramètres!$A$1:$I$88,3,0)*0.475*44/12</f>
        <v>54.814478737216604</v>
      </c>
      <c r="AW50" s="23">
        <f>EXP(-LN(2)/2)*AW49+(1-EXP(-LN(2)/2))/(LN(2)/2)*AQ50*AT50*VLOOKUP('Données projet'!$B$10,Paramètres!$A$1:$I$88,3,0)*0.475*44/12</f>
        <v>2.8264482793788339</v>
      </c>
      <c r="AX50" s="23">
        <f t="shared" si="6"/>
        <v>67.323632510691453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10.5</v>
      </c>
      <c r="BD50" s="13">
        <f>IF('Données projet'!$A$88&gt;35,BD49+BC50-BL49,IF(A50&lt;'Données projet'!$A$88,$BA$205^A50,IF(A50='Données projet'!$A$88,'Données projet'!$B$88,BD49+BC50-BL49)))</f>
        <v>263.5</v>
      </c>
      <c r="BE50" s="14">
        <f>BD50*VLOOKUP('Données projet'!$B$11,Paramètres!$A$1:$I$88,3,0)*VLOOKUP('Données projet'!$B$11,Paramètres!$A$1:$I$88,5,0)</f>
        <v>123.318</v>
      </c>
      <c r="BF50" s="14">
        <f t="shared" si="37"/>
        <v>32.44763560269552</v>
      </c>
      <c r="BG50" s="22">
        <f t="shared" si="7"/>
        <v>271.29181534136131</v>
      </c>
      <c r="BH50" s="62">
        <f t="shared" si="8"/>
        <v>564.62514867469463</v>
      </c>
      <c r="BI50" s="62">
        <f ca="1">AVERAGE(OFFSET($BH$3,0,0,'Données projet'!$E$11+1,1))-AVERAGE(OFFSET($H$3,0,0,'Données projet'!$E$11+1,1))</f>
        <v>164.93326103756453</v>
      </c>
      <c r="BJ50" s="62">
        <f t="shared" si="38"/>
        <v>115.86489547584461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2.37804948075176</v>
      </c>
      <c r="BQ50" s="23">
        <f>EXP(-LN(2)/25)*BQ49+(1-EXP(-LN(2)/25))/(LN(2)/25)*Calculateur!BL50*Calculateur!BN50*VLOOKUP('Données projet'!$B$11,Paramètres!$A$1:$I$88,3,0)*0.475*44/12</f>
        <v>9.7748726554572016</v>
      </c>
      <c r="BR50" s="23">
        <f>EXP(-LN(2)/2)*BR49+(1-EXP(-LN(2)/2))/(LN(2)/2)*BL50*BO50*VLOOKUP('Données projet'!$B$11,Paramètres!$A$1:$I$88,3,0)*0.475*44/12</f>
        <v>0.68520533162859543</v>
      </c>
      <c r="BS50" s="24">
        <f t="shared" si="9"/>
        <v>12.838127467837555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389.80128729473108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20.399999999999999</v>
      </c>
      <c r="N51" s="14">
        <f>IF('Données projet'!$A$36&gt;35,N50+M51-V50,IF(A51&lt;'Données projet'!$A$36,$K$205^A51,IF(A51='Données projet'!$A$36,'Données projet'!$B$36,N50+M51-V50)))</f>
        <v>683.19999999999959</v>
      </c>
      <c r="O51" s="14">
        <f>N51*VLOOKUP('Données projet'!$B$9,Paramètres!$A$1:$I$88,3,0)*VLOOKUP('Données projet'!$B$9,Paramètres!$A$1:$I$88,5,0)</f>
        <v>381.90879999999981</v>
      </c>
      <c r="P51" s="14">
        <f t="shared" si="33"/>
        <v>88.099131154986978</v>
      </c>
      <c r="Q51" s="22">
        <f t="shared" si="53"/>
        <v>818.59714676160195</v>
      </c>
      <c r="R51" s="62">
        <f t="shared" si="0"/>
        <v>1111.9304800949353</v>
      </c>
      <c r="S51" s="62">
        <f ca="1">AVERAGE(OFFSET($R$3,0,0,'Données projet'!$E$9+1,1))-AVERAGE(OFFSET($H$3,0,0,'Données projet'!$E$9+1,1))</f>
        <v>461.42631729930201</v>
      </c>
      <c r="T51" s="62">
        <f t="shared" si="34"/>
        <v>570.46734160592086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19.739381016448167</v>
      </c>
      <c r="AA51" s="23">
        <f>EXP(-LN(2)/25)*AA50+(1-EXP(-LN(2)/25))/(LN(2)/25)*Calculateur!V51*Calculateur!X51*VLOOKUP('Données projet'!$B$9,Paramètres!$A$1:$I$88,3,0)*0.475*44/12</f>
        <v>52.548179919329293</v>
      </c>
      <c r="AB51" s="23">
        <f>EXP(-LN(2)/2)*AB50+(1-EXP(-LN(2)/2))/(LN(2)/2)*V51*Y51*VLOOKUP('Données projet'!$B$9,Paramètres!$A$1:$I$88,3,0)*0.475*44/12</f>
        <v>5.0856632879436869</v>
      </c>
      <c r="AC51" s="24">
        <f t="shared" si="3"/>
        <v>77.373224223721152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359</v>
      </c>
      <c r="AG51" s="13">
        <f>VLOOKUP(A51,'Données projet'!$A$61:$I$81,9,0)</f>
        <v>12.916666666666666</v>
      </c>
      <c r="AH51" s="13">
        <f t="array" ref="AH51">INDEX(AG:AG,MIN(IF(ISNUMBER(AG51:AG247),ROW(AG51:AG247),"")))</f>
        <v>12.916666666666666</v>
      </c>
      <c r="AI51" s="14">
        <f>IF('Données projet'!$A$62&gt;35,AI50+AH51-AQ50,IF(A51&lt;'Données projet'!$A$62,$AF$205^A51,IF(A51='Données projet'!$A$62,'Données projet'!$B$62,AI50+AH51-AQ50)))</f>
        <v>359.00000000000011</v>
      </c>
      <c r="AJ51" s="14">
        <f>AI51*VLOOKUP('Données projet'!$B$10,Paramètres!$A$1:$I$88,3,0)*VLOOKUP('Données projet'!$B$10,Paramètres!$A$1:$I$88,5,0)</f>
        <v>224.01600000000008</v>
      </c>
      <c r="AK51" s="14">
        <f t="shared" si="35"/>
        <v>54.986822380896371</v>
      </c>
      <c r="AL51" s="22">
        <f t="shared" si="4"/>
        <v>485.92991564672792</v>
      </c>
      <c r="AM51" s="62">
        <f t="shared" si="5"/>
        <v>779.26324898006123</v>
      </c>
      <c r="AN51" s="62">
        <f ca="1">AVERAGE(OFFSET($AM$3,0,0,'Données projet'!$E$10+1,1))-AVERAGE(OFFSET($H$3,0,0,'Données projet'!$E$10+1,1))</f>
        <v>272.66985936980086</v>
      </c>
      <c r="AO51" s="62">
        <f t="shared" si="36"/>
        <v>320.12040114313697</v>
      </c>
      <c r="AP51" s="16">
        <f>IF(ISNA(VLOOKUP(A51,'Données projet'!$A$61:$I$81,3,0)),0,VLOOKUP(A51,'Données projet'!$A$61:$I$81,3,0))</f>
        <v>7</v>
      </c>
      <c r="AQ51" s="16">
        <f>IF(ISNA(VLOOKUP(A51,'Données projet'!$A$61:$I$81,4,0)),0,VLOOKUP(A51,'Données projet'!$A$61:$I$81,4,0))</f>
        <v>51.6</v>
      </c>
      <c r="AR51" s="17">
        <f>IF(ISNA(VLOOKUP(A51,'Données projet'!$A$61:$I$81,5,0)),0%,VLOOKUP(A51,'Données projet'!$A$61:$I$81,5,0)*VLOOKUP('Données projet'!$B$10,Paramètres!$A$1:$I$88,7,0))</f>
        <v>0.24</v>
      </c>
      <c r="AS51" s="17">
        <f>IF(ISNA(VLOOKUP(A51,'Données projet'!$A$61:$I$81,6,0)),0%,VLOOKUP(A51,'Données projet'!$A$61:$I$81,6,0)*VLOOKUP('Données projet'!$B$10,Paramètres!$A$1:$I$88,7,0))</f>
        <v>0.2016</v>
      </c>
      <c r="AT51" s="17">
        <f>IF(ISNA(VLOOKUP(A51,'Données projet'!$A$61:$I$81,7,0)),0%,VLOOKUP(A51,'Données projet'!$A$61:$I$81,7,0))</f>
        <v>0.26400000000000001</v>
      </c>
      <c r="AU51" s="23">
        <f>EXP(-LN(2)/35)*AU50+(1-EXP(-LN(2)/35))/(LN(2)/35)*AQ51*AR51*VLOOKUP('Données projet'!$B$10,Paramètres!$A$1:$I$88,3,0)*0.475*44/12</f>
        <v>19.744014256109864</v>
      </c>
      <c r="AV51" s="23">
        <f>EXP(-LN(2)/25)*AV50+(1-EXP(-LN(2)/25))/(LN(2)/25)*Calculateur!AQ51*Calculateur!AS51*VLOOKUP('Données projet'!$B$10,Paramètres!$A$1:$I$88,3,0)*0.475*44/12</f>
        <v>61.892660974972934</v>
      </c>
      <c r="AW51" s="23">
        <f>EXP(-LN(2)/2)*AW50+(1-EXP(-LN(2)/2))/(LN(2)/2)*AQ51*AT51*VLOOKUP('Données projet'!$B$10,Paramètres!$A$1:$I$88,3,0)*0.475*44/12</f>
        <v>11.623002804912328</v>
      </c>
      <c r="AX51" s="23">
        <f t="shared" si="6"/>
        <v>93.259678035995123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10.5</v>
      </c>
      <c r="BD51" s="13">
        <f>IF('Données projet'!$A$88&gt;35,BD50+BC51-BL50,IF(A51&lt;'Données projet'!$A$88,$BA$205^A51,IF(A51='Données projet'!$A$88,'Données projet'!$B$88,BD50+BC51-BL50)))</f>
        <v>274</v>
      </c>
      <c r="BE51" s="14">
        <f>BD51*VLOOKUP('Données projet'!$B$11,Paramètres!$A$1:$I$88,3,0)*VLOOKUP('Données projet'!$B$11,Paramètres!$A$1:$I$88,5,0)</f>
        <v>128.232</v>
      </c>
      <c r="BF51" s="14">
        <f t="shared" si="37"/>
        <v>33.587501431737927</v>
      </c>
      <c r="BG51" s="22">
        <f t="shared" si="7"/>
        <v>281.83563166027687</v>
      </c>
      <c r="BH51" s="62">
        <f t="shared" si="8"/>
        <v>575.16896499361019</v>
      </c>
      <c r="BI51" s="62">
        <f ca="1">AVERAGE(OFFSET($BH$3,0,0,'Données projet'!$E$11+1,1))-AVERAGE(OFFSET($H$3,0,0,'Données projet'!$E$11+1,1))</f>
        <v>164.93326103756453</v>
      </c>
      <c r="BJ51" s="62">
        <f t="shared" si="38"/>
        <v>115.86489547584461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2.3314173809011796</v>
      </c>
      <c r="BQ51" s="23">
        <f>EXP(-LN(2)/25)*BQ50+(1-EXP(-LN(2)/25))/(LN(2)/25)*Calculateur!BL51*Calculateur!BN51*VLOOKUP('Données projet'!$B$11,Paramètres!$A$1:$I$88,3,0)*0.475*44/12</f>
        <v>9.5075782486555127</v>
      </c>
      <c r="BR51" s="23">
        <f>EXP(-LN(2)/2)*BR50+(1-EXP(-LN(2)/2))/(LN(2)/2)*BL51*BO51*VLOOKUP('Données projet'!$B$11,Paramètres!$A$1:$I$88,3,0)*0.475*44/12</f>
        <v>0.48451333649975697</v>
      </c>
      <c r="BS51" s="24">
        <f t="shared" si="9"/>
        <v>12.323508966056449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391.75687888862672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20.399999999999999</v>
      </c>
      <c r="N52" s="14">
        <f>IF('Données projet'!$A$36&gt;35,N51+M52-V51,IF(A52&lt;'Données projet'!$A$36,$K$205^A52,IF(A52='Données projet'!$A$36,'Données projet'!$B$36,N51+M52-V51)))</f>
        <v>703.59999999999957</v>
      </c>
      <c r="O52" s="14">
        <f>N52*VLOOKUP('Données projet'!$B$9,Paramètres!$A$1:$I$88,3,0)*VLOOKUP('Données projet'!$B$9,Paramètres!$A$1:$I$88,5,0)</f>
        <v>393.3123999999998</v>
      </c>
      <c r="P52" s="14">
        <f t="shared" si="33"/>
        <v>90.419529407700907</v>
      </c>
      <c r="Q52" s="22">
        <f t="shared" si="53"/>
        <v>842.49977705174535</v>
      </c>
      <c r="R52" s="62">
        <f t="shared" si="0"/>
        <v>1135.8331103850787</v>
      </c>
      <c r="S52" s="62">
        <f ca="1">AVERAGE(OFFSET($R$3,0,0,'Données projet'!$E$9+1,1))-AVERAGE(OFFSET($H$3,0,0,'Données projet'!$E$9+1,1))</f>
        <v>461.42631729930201</v>
      </c>
      <c r="T52" s="62">
        <f t="shared" si="34"/>
        <v>570.46734160592086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19.352303794549204</v>
      </c>
      <c r="AA52" s="23">
        <f>EXP(-LN(2)/25)*AA51+(1-EXP(-LN(2)/25))/(LN(2)/25)*Calculateur!V52*Calculateur!X52*VLOOKUP('Données projet'!$B$9,Paramètres!$A$1:$I$88,3,0)*0.475*44/12</f>
        <v>51.111247176046554</v>
      </c>
      <c r="AB52" s="23">
        <f>EXP(-LN(2)/2)*AB51+(1-EXP(-LN(2)/2))/(LN(2)/2)*V52*Y52*VLOOKUP('Données projet'!$B$9,Paramètres!$A$1:$I$88,3,0)*0.475*44/12</f>
        <v>3.5961069977364546</v>
      </c>
      <c r="AC52" s="24">
        <f t="shared" si="3"/>
        <v>74.059657968332218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11.933333333333337</v>
      </c>
      <c r="AI52" s="14">
        <f>IF('Données projet'!$A$62&gt;35,AI51+AH52-AQ51,IF(A52&lt;'Données projet'!$A$62,$AF$205^A52,IF(A52='Données projet'!$A$62,'Données projet'!$B$62,AI51+AH52-AQ51)))</f>
        <v>319.33333333333343</v>
      </c>
      <c r="AJ52" s="14">
        <f>AI52*VLOOKUP('Données projet'!$B$10,Paramètres!$A$1:$I$88,3,0)*VLOOKUP('Données projet'!$B$10,Paramètres!$A$1:$I$88,5,0)</f>
        <v>199.26400000000004</v>
      </c>
      <c r="AK52" s="14">
        <f t="shared" si="35"/>
        <v>49.582382511272577</v>
      </c>
      <c r="AL52" s="22">
        <f t="shared" si="4"/>
        <v>433.40744954046642</v>
      </c>
      <c r="AM52" s="62">
        <f t="shared" si="5"/>
        <v>726.74078287379973</v>
      </c>
      <c r="AN52" s="62">
        <f ca="1">AVERAGE(OFFSET($AM$3,0,0,'Données projet'!$E$10+1,1))-AVERAGE(OFFSET($H$3,0,0,'Données projet'!$E$10+1,1))</f>
        <v>272.66985936980086</v>
      </c>
      <c r="AO52" s="62">
        <f t="shared" si="36"/>
        <v>320.12040114313697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19.356846179207132</v>
      </c>
      <c r="AV52" s="23">
        <f>EXP(-LN(2)/25)*AV51+(1-EXP(-LN(2)/25))/(LN(2)/25)*Calculateur!AQ52*Calculateur!AS52*VLOOKUP('Données projet'!$B$10,Paramètres!$A$1:$I$88,3,0)*0.475*44/12</f>
        <v>60.200202905818713</v>
      </c>
      <c r="AW52" s="23">
        <f>EXP(-LN(2)/2)*AW51+(1-EXP(-LN(2)/2))/(LN(2)/2)*AQ52*AT52*VLOOKUP('Données projet'!$B$10,Paramètres!$A$1:$I$88,3,0)*0.475*44/12</f>
        <v>8.2187041011037714</v>
      </c>
      <c r="AX52" s="23">
        <f t="shared" si="6"/>
        <v>87.77575318612962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10.5</v>
      </c>
      <c r="BD52" s="13">
        <f>IF('Données projet'!$A$88&gt;35,BD51+BC52-BL51,IF(A52&lt;'Données projet'!$A$88,$BA$205^A52,IF(A52='Données projet'!$A$88,'Données projet'!$B$88,BD51+BC52-BL51)))</f>
        <v>284.5</v>
      </c>
      <c r="BE52" s="14">
        <f>BD52*VLOOKUP('Données projet'!$B$11,Paramètres!$A$1:$I$88,3,0)*VLOOKUP('Données projet'!$B$11,Paramètres!$A$1:$I$88,5,0)</f>
        <v>133.14600000000002</v>
      </c>
      <c r="BF52" s="14">
        <f t="shared" si="37"/>
        <v>34.722292804767527</v>
      </c>
      <c r="BG52" s="22">
        <f t="shared" si="7"/>
        <v>292.37060996830348</v>
      </c>
      <c r="BH52" s="62">
        <f t="shared" si="8"/>
        <v>585.70394330163685</v>
      </c>
      <c r="BI52" s="62">
        <f ca="1">AVERAGE(OFFSET($BH$3,0,0,'Données projet'!$E$11+1,1))-AVERAGE(OFFSET($H$3,0,0,'Données projet'!$E$11+1,1))</f>
        <v>164.93326103756453</v>
      </c>
      <c r="BJ52" s="62">
        <f t="shared" si="38"/>
        <v>115.86489547584461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2.2856997080858967</v>
      </c>
      <c r="BQ52" s="23">
        <f>EXP(-LN(2)/25)*BQ51+(1-EXP(-LN(2)/25))/(LN(2)/25)*Calculateur!BL52*Calculateur!BN52*VLOOKUP('Données projet'!$B$11,Paramètres!$A$1:$I$88,3,0)*0.475*44/12</f>
        <v>9.2475930214642172</v>
      </c>
      <c r="BR52" s="23">
        <f>EXP(-LN(2)/2)*BR51+(1-EXP(-LN(2)/2))/(LN(2)/2)*BL52*BO52*VLOOKUP('Données projet'!$B$11,Paramètres!$A$1:$I$88,3,0)*0.475*44/12</f>
        <v>0.34260266581429777</v>
      </c>
      <c r="BS52" s="24">
        <f t="shared" si="9"/>
        <v>11.875895395364411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393.71150495996233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724</v>
      </c>
      <c r="L53" s="13">
        <f>VLOOKUP(A53,'Données projet'!$A$35:$I$55,9,0)</f>
        <v>20.399999999999999</v>
      </c>
      <c r="M53" s="13">
        <f t="array" ref="M53">INDEX(L:L,MIN(IF(ISNUMBER(L53:L249),ROW(L53:L249),"")))</f>
        <v>20.399999999999999</v>
      </c>
      <c r="N53" s="14">
        <f>IF('Données projet'!$A$36&gt;35,N52+M53-V52,IF(A53&lt;'Données projet'!$A$36,$K$205^A53,IF(A53='Données projet'!$A$36,'Données projet'!$B$36,N52+M53-V52)))</f>
        <v>723.99999999999955</v>
      </c>
      <c r="O53" s="14">
        <f>N53*VLOOKUP('Données projet'!$B$9,Paramètres!$A$1:$I$88,3,0)*VLOOKUP('Données projet'!$B$9,Paramètres!$A$1:$I$88,5,0)</f>
        <v>404.71599999999978</v>
      </c>
      <c r="P53" s="14">
        <f t="shared" si="33"/>
        <v>92.732108655131142</v>
      </c>
      <c r="Q53" s="22">
        <f t="shared" si="53"/>
        <v>866.38878924101971</v>
      </c>
      <c r="R53" s="62">
        <f t="shared" si="0"/>
        <v>1159.7221225743531</v>
      </c>
      <c r="S53" s="62">
        <f ca="1">AVERAGE(OFFSET($R$3,0,0,'Données projet'!$E$9+1,1))-AVERAGE(OFFSET($H$3,0,0,'Données projet'!$E$9+1,1))</f>
        <v>461.42631729930201</v>
      </c>
      <c r="T53" s="62">
        <f t="shared" si="34"/>
        <v>570.46734160592086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62</v>
      </c>
      <c r="W53" s="17">
        <f>IF(ISNA(VLOOKUP(A53,'Données projet'!$A$35:$I$55,5,0)),0%,VLOOKUP(A53,'Données projet'!$A$35:$I$55,5,0)*VLOOKUP('Données projet'!$B$9,Paramètres!$A$1:$I$88,7,0))</f>
        <v>0.22000000000000003</v>
      </c>
      <c r="X53" s="17">
        <f>IF(ISNA(VLOOKUP(A53,'Données projet'!$A$35:$I$55,6,0)),0%,VLOOKUP(A53,'Données projet'!$A$35:$I$55,6,0)*VLOOKUP('Données projet'!$B$9,Paramètres!$A$1:$I$88,7,0))</f>
        <v>0.18480000000000002</v>
      </c>
      <c r="Y53" s="17">
        <f>IF(ISNA(VLOOKUP(A53,'Données projet'!$A$35:$I$55,7,0)),0%,VLOOKUP(A53,'Données projet'!$A$35:$I$55,7,0))</f>
        <v>0.26400000000000001</v>
      </c>
      <c r="Z53" s="23">
        <f>EXP(-LN(2)/35)*Z52+(1-EXP(-LN(2)/35))/(LN(2)/35)*V53*W53*VLOOKUP('Données projet'!$B$9,Paramètres!$A$1:$I$88,3,0)*0.475*44/12</f>
        <v>29.087552518135077</v>
      </c>
      <c r="AA53" s="23">
        <f>EXP(-LN(2)/25)*AA52+(1-EXP(-LN(2)/25))/(LN(2)/25)*Calculateur!V53*Calculateur!X53*VLOOKUP('Données projet'!$B$9,Paramètres!$A$1:$I$88,3,0)*0.475*44/12</f>
        <v>58.176531858717162</v>
      </c>
      <c r="AB53" s="23">
        <f>EXP(-LN(2)/2)*AB52+(1-EXP(-LN(2)/2))/(LN(2)/2)*V53*Y53*VLOOKUP('Données projet'!$B$9,Paramètres!$A$1:$I$88,3,0)*0.475*44/12</f>
        <v>12.902431083437319</v>
      </c>
      <c r="AC53" s="24">
        <f t="shared" si="3"/>
        <v>100.16651546028956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11.933333333333337</v>
      </c>
      <c r="AI53" s="14">
        <f>IF('Données projet'!$A$62&gt;35,AI52+AH53-AQ52,IF(A53&lt;'Données projet'!$A$62,$AF$205^A53,IF(A53='Données projet'!$A$62,'Données projet'!$B$62,AI52+AH53-AQ52)))</f>
        <v>331.26666666666677</v>
      </c>
      <c r="AJ53" s="14">
        <f>AI53*VLOOKUP('Données projet'!$B$10,Paramètres!$A$1:$I$88,3,0)*VLOOKUP('Données projet'!$B$10,Paramètres!$A$1:$I$88,5,0)</f>
        <v>206.71040000000005</v>
      </c>
      <c r="AK53" s="14">
        <f t="shared" si="35"/>
        <v>51.216066103560777</v>
      </c>
      <c r="AL53" s="22">
        <f t="shared" si="4"/>
        <v>449.22192846370172</v>
      </c>
      <c r="AM53" s="62">
        <f t="shared" si="5"/>
        <v>742.55526179703497</v>
      </c>
      <c r="AN53" s="62">
        <f ca="1">AVERAGE(OFFSET($AM$3,0,0,'Données projet'!$E$10+1,1))-AVERAGE(OFFSET($H$3,0,0,'Données projet'!$E$10+1,1))</f>
        <v>272.66985936980086</v>
      </c>
      <c r="AO53" s="62">
        <f t="shared" si="36"/>
        <v>320.12040114313697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18.977270232143255</v>
      </c>
      <c r="AV53" s="23">
        <f>EXP(-LN(2)/25)*AV52+(1-EXP(-LN(2)/25))/(LN(2)/25)*Calculateur!AQ53*Calculateur!AS53*VLOOKUP('Données projet'!$B$10,Paramètres!$A$1:$I$88,3,0)*0.475*44/12</f>
        <v>58.554025191568016</v>
      </c>
      <c r="AW53" s="23">
        <f>EXP(-LN(2)/2)*AW52+(1-EXP(-LN(2)/2))/(LN(2)/2)*AQ53*AT53*VLOOKUP('Données projet'!$B$10,Paramètres!$A$1:$I$88,3,0)*0.475*44/12</f>
        <v>5.811501402456166</v>
      </c>
      <c r="AX53" s="23">
        <f t="shared" si="6"/>
        <v>83.342796826167444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295</v>
      </c>
      <c r="BB53" s="13">
        <f>VLOOKUP(A53,'Données projet'!$A$87:$I$107,9,0)</f>
        <v>10.5</v>
      </c>
      <c r="BC53" s="13">
        <f t="array" ref="BC53">INDEX(BB:BB,MIN(IF(ISNUMBER(BB53:BB249),ROW(BB53:BB249),"")))</f>
        <v>10.5</v>
      </c>
      <c r="BD53" s="13">
        <f>IF('Données projet'!$A$88&gt;35,BD52+BC53-BL52,IF(A53&lt;'Données projet'!$A$88,$BA$205^A53,IF(A53='Données projet'!$A$88,'Données projet'!$B$88,BD52+BC53-BL52)))</f>
        <v>295</v>
      </c>
      <c r="BE53" s="14">
        <f>BD53*VLOOKUP('Données projet'!$B$11,Paramètres!$A$1:$I$88,3,0)*VLOOKUP('Données projet'!$B$11,Paramètres!$A$1:$I$88,5,0)</f>
        <v>138.06</v>
      </c>
      <c r="BF53" s="14">
        <f t="shared" si="37"/>
        <v>35.852218451596926</v>
      </c>
      <c r="BG53" s="22">
        <f t="shared" si="7"/>
        <v>302.89711380319795</v>
      </c>
      <c r="BH53" s="62">
        <f t="shared" si="8"/>
        <v>596.23044713653121</v>
      </c>
      <c r="BI53" s="62">
        <f ca="1">AVERAGE(OFFSET($BH$3,0,0,'Données projet'!$E$11+1,1))-AVERAGE(OFFSET($H$3,0,0,'Données projet'!$E$11+1,1))</f>
        <v>164.93326103756453</v>
      </c>
      <c r="BJ53" s="62">
        <f t="shared" si="38"/>
        <v>115.86489547584461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30</v>
      </c>
      <c r="BM53" s="17">
        <f>IF(ISNA(VLOOKUP(A53,'Données projet'!$A$87:$I$107,5,0)),0%,VLOOKUP(A53,'Données projet'!$A$87:$I$107,5,0)*VLOOKUP('Données projet'!$B$11,Paramètres!$A$1:$I$88,7,0))</f>
        <v>0.11000000000000001</v>
      </c>
      <c r="BN53" s="17">
        <f>IF(ISNA(VLOOKUP(A53,'Données projet'!$A$87:$I$107,6,0)),0%,VLOOKUP(A53,'Données projet'!$A$87:$I$107,6,0)*VLOOKUP('Données projet'!$B$11,Paramètres!$A$1:$I$88,7,0))</f>
        <v>0.24640000000000006</v>
      </c>
      <c r="BO53" s="17">
        <f>IF(ISNA(VLOOKUP(A53,'Données projet'!$A$87:$I$107,7,0)),0%,VLOOKUP(A53,'Données projet'!$A$87:$I$107,7,0))</f>
        <v>0.35200000000000004</v>
      </c>
      <c r="BP53" s="23">
        <f>EXP(-LN(2)/35)*BP52+(1-EXP(-LN(2)/35))/(LN(2)/35)*BL53*BM53*VLOOKUP('Données projet'!$B$11,Paramètres!$A$1:$I$88,3,0)*0.475*44/12</f>
        <v>4.2896246759303205</v>
      </c>
      <c r="BQ53" s="23">
        <f>EXP(-LN(2)/25)*BQ52+(1-EXP(-LN(2)/25))/(LN(2)/25)*Calculateur!BL53*Calculateur!BN53*VLOOKUP('Données projet'!$B$11,Paramètres!$A$1:$I$88,3,0)*0.475*44/12</f>
        <v>13.5658390737175</v>
      </c>
      <c r="BR53" s="23">
        <f>EXP(-LN(2)/2)*BR52+(1-EXP(-LN(2)/2))/(LN(2)/2)*BL53*BO53*VLOOKUP('Données projet'!$B$11,Paramètres!$A$1:$I$88,3,0)*0.475*44/12</f>
        <v>5.837839261209476</v>
      </c>
      <c r="BS53" s="24">
        <f t="shared" si="9"/>
        <v>23.693303010857299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395.66518704474902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15.4</v>
      </c>
      <c r="N54" s="14">
        <f>IF('Données projet'!$A$36&gt;35,N53+M54-V53,IF(A54&lt;'Données projet'!$A$36,$K$205^A54,IF(A54='Données projet'!$A$36,'Données projet'!$B$36,N53+M54-V53)))</f>
        <v>677.39999999999952</v>
      </c>
      <c r="O54" s="14">
        <f>N54*VLOOKUP('Données projet'!$B$9,Paramètres!$A$1:$I$88,3,0)*VLOOKUP('Données projet'!$B$9,Paramètres!$A$1:$I$88,5,0)</f>
        <v>378.66659999999979</v>
      </c>
      <c r="P54" s="14">
        <f t="shared" si="33"/>
        <v>87.437946637883755</v>
      </c>
      <c r="Q54" s="22">
        <f t="shared" si="53"/>
        <v>811.79875206098052</v>
      </c>
      <c r="R54" s="62">
        <f t="shared" si="0"/>
        <v>1105.1320853943139</v>
      </c>
      <c r="S54" s="62">
        <f ca="1">AVERAGE(OFFSET($R$3,0,0,'Données projet'!$E$9+1,1))-AVERAGE(OFFSET($H$3,0,0,'Données projet'!$E$9+1,1))</f>
        <v>461.42631729930201</v>
      </c>
      <c r="T54" s="62">
        <f t="shared" si="34"/>
        <v>570.46734160592086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28.517163354909641</v>
      </c>
      <c r="AA54" s="23">
        <f>EXP(-LN(2)/25)*AA53+(1-EXP(-LN(2)/25))/(LN(2)/25)*Calculateur!V54*Calculateur!X54*VLOOKUP('Données projet'!$B$9,Paramètres!$A$1:$I$88,3,0)*0.475*44/12</f>
        <v>56.585691535669696</v>
      </c>
      <c r="AB54" s="23">
        <f>EXP(-LN(2)/2)*AB53+(1-EXP(-LN(2)/2))/(LN(2)/2)*V54*Y54*VLOOKUP('Données projet'!$B$9,Paramètres!$A$1:$I$88,3,0)*0.475*44/12</f>
        <v>9.123396512890622</v>
      </c>
      <c r="AC54" s="24">
        <f t="shared" si="3"/>
        <v>94.226251403469959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11.933333333333337</v>
      </c>
      <c r="AI54" s="14">
        <f>IF('Données projet'!$A$62&gt;35,AI53+AH54-AQ53,IF(A54&lt;'Données projet'!$A$62,$AF$205^A54,IF(A54='Données projet'!$A$62,'Données projet'!$B$62,AI53+AH54-AQ53)))</f>
        <v>343.2000000000001</v>
      </c>
      <c r="AJ54" s="14">
        <f>AI54*VLOOKUP('Données projet'!$B$10,Paramètres!$A$1:$I$88,3,0)*VLOOKUP('Données projet'!$B$10,Paramètres!$A$1:$I$88,5,0)</f>
        <v>214.15680000000006</v>
      </c>
      <c r="AK54" s="14">
        <f t="shared" si="35"/>
        <v>52.842912248636694</v>
      </c>
      <c r="AL54" s="22">
        <f t="shared" si="4"/>
        <v>465.02449883304229</v>
      </c>
      <c r="AM54" s="62">
        <f t="shared" si="5"/>
        <v>758.3578321663756</v>
      </c>
      <c r="AN54" s="62">
        <f ca="1">AVERAGE(OFFSET($AM$3,0,0,'Données projet'!$E$10+1,1))-AVERAGE(OFFSET($H$3,0,0,'Données projet'!$E$10+1,1))</f>
        <v>272.66985936980086</v>
      </c>
      <c r="AO54" s="62">
        <f t="shared" si="36"/>
        <v>320.12040114313697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18.605137537882833</v>
      </c>
      <c r="AV54" s="23">
        <f>EXP(-LN(2)/25)*AV53+(1-EXP(-LN(2)/25))/(LN(2)/25)*Calculateur!AQ54*Calculateur!AS54*VLOOKUP('Données projet'!$B$10,Paramètres!$A$1:$I$88,3,0)*0.475*44/12</f>
        <v>56.952862293482234</v>
      </c>
      <c r="AW54" s="23">
        <f>EXP(-LN(2)/2)*AW53+(1-EXP(-LN(2)/2))/(LN(2)/2)*AQ54*AT54*VLOOKUP('Données projet'!$B$10,Paramètres!$A$1:$I$88,3,0)*0.475*44/12</f>
        <v>4.1093520505518866</v>
      </c>
      <c r="AX54" s="23">
        <f t="shared" si="6"/>
        <v>79.667351881916957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9.5</v>
      </c>
      <c r="BD54" s="13">
        <f>IF('Données projet'!$A$88&gt;35,BD53+BC54-BL53,IF(A54&lt;'Données projet'!$A$88,$BA$205^A54,IF(A54='Données projet'!$A$88,'Données projet'!$B$88,BD53+BC54-BL53)))</f>
        <v>274.5</v>
      </c>
      <c r="BE54" s="14">
        <f>BD54*VLOOKUP('Données projet'!$B$11,Paramètres!$A$1:$I$88,3,0)*VLOOKUP('Données projet'!$B$11,Paramètres!$A$1:$I$88,5,0)</f>
        <v>128.46600000000001</v>
      </c>
      <c r="BF54" s="14">
        <f t="shared" si="37"/>
        <v>33.641652465458279</v>
      </c>
      <c r="BG54" s="22">
        <f t="shared" si="7"/>
        <v>282.33749471067313</v>
      </c>
      <c r="BH54" s="62">
        <f t="shared" si="8"/>
        <v>575.67082804400638</v>
      </c>
      <c r="BI54" s="62">
        <f ca="1">AVERAGE(OFFSET($BH$3,0,0,'Données projet'!$E$11+1,1))-AVERAGE(OFFSET($H$3,0,0,'Données projet'!$E$11+1,1))</f>
        <v>164.93326103756453</v>
      </c>
      <c r="BJ54" s="62">
        <f t="shared" si="38"/>
        <v>115.86489547584461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4.20550775244803</v>
      </c>
      <c r="BQ54" s="23">
        <f>EXP(-LN(2)/25)*BQ53+(1-EXP(-LN(2)/25))/(LN(2)/25)*Calculateur!BL54*Calculateur!BN54*VLOOKUP('Données projet'!$B$11,Paramètres!$A$1:$I$88,3,0)*0.475*44/12</f>
        <v>13.194880490850224</v>
      </c>
      <c r="BR54" s="23">
        <f>EXP(-LN(2)/2)*BR53+(1-EXP(-LN(2)/2))/(LN(2)/2)*BL54*BO54*VLOOKUP('Données projet'!$B$11,Paramètres!$A$1:$I$88,3,0)*0.475*44/12</f>
        <v>4.1279757290782859</v>
      </c>
      <c r="BS54" s="24">
        <f t="shared" si="9"/>
        <v>21.528363972376539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397.61794578614325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15.4</v>
      </c>
      <c r="N55" s="14">
        <f>IF('Données projet'!$A$36&gt;35,N54+M55-V54,IF(A55&lt;'Données projet'!$A$36,$K$205^A55,IF(A55='Données projet'!$A$36,'Données projet'!$B$36,N54+M55-V54)))</f>
        <v>692.7999999999995</v>
      </c>
      <c r="O55" s="14">
        <f>N55*VLOOKUP('Données projet'!$B$9,Paramètres!$A$1:$I$88,3,0)*VLOOKUP('Données projet'!$B$9,Paramètres!$A$1:$I$88,5,0)</f>
        <v>387.2751999999997</v>
      </c>
      <c r="P55" s="14">
        <f t="shared" si="33"/>
        <v>89.192073473767834</v>
      </c>
      <c r="Q55" s="22">
        <f t="shared" si="53"/>
        <v>829.84716796681175</v>
      </c>
      <c r="R55" s="62">
        <f t="shared" si="0"/>
        <v>1123.1805013001451</v>
      </c>
      <c r="S55" s="62">
        <f ca="1">AVERAGE(OFFSET($R$3,0,0,'Données projet'!$E$9+1,1))-AVERAGE(OFFSET($H$3,0,0,'Données projet'!$E$9+1,1))</f>
        <v>461.42631729930201</v>
      </c>
      <c r="T55" s="62">
        <f t="shared" si="34"/>
        <v>570.46734160592086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27.95795917527202</v>
      </c>
      <c r="AA55" s="23">
        <f>EXP(-LN(2)/25)*AA54+(1-EXP(-LN(2)/25))/(LN(2)/25)*Calculateur!V55*Calculateur!X55*VLOOKUP('Données projet'!$B$9,Paramètres!$A$1:$I$88,3,0)*0.475*44/12</f>
        <v>55.038352824914618</v>
      </c>
      <c r="AB55" s="23">
        <f>EXP(-LN(2)/2)*AB54+(1-EXP(-LN(2)/2))/(LN(2)/2)*V55*Y55*VLOOKUP('Données projet'!$B$9,Paramètres!$A$1:$I$88,3,0)*0.475*44/12</f>
        <v>6.4512155417186605</v>
      </c>
      <c r="AC55" s="24">
        <f t="shared" si="3"/>
        <v>89.447527541905288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11.933333333333337</v>
      </c>
      <c r="AI55" s="14">
        <f>IF('Données projet'!$A$62&gt;35,AI54+AH55-AQ54,IF(A55&lt;'Données projet'!$A$62,$AF$205^A55,IF(A55='Données projet'!$A$62,'Données projet'!$B$62,AI54+AH55-AQ54)))</f>
        <v>355.13333333333344</v>
      </c>
      <c r="AJ55" s="14">
        <f>AI55*VLOOKUP('Données projet'!$B$10,Paramètres!$A$1:$I$88,3,0)*VLOOKUP('Données projet'!$B$10,Paramètres!$A$1:$I$88,5,0)</f>
        <v>221.60320000000007</v>
      </c>
      <c r="AK55" s="14">
        <f t="shared" si="35"/>
        <v>54.46318593537999</v>
      </c>
      <c r="AL55" s="22">
        <f t="shared" si="4"/>
        <v>480.81562217078698</v>
      </c>
      <c r="AM55" s="62">
        <f t="shared" si="5"/>
        <v>774.14895550412029</v>
      </c>
      <c r="AN55" s="62">
        <f ca="1">AVERAGE(OFFSET($AM$3,0,0,'Données projet'!$E$10+1,1))-AVERAGE(OFFSET($H$3,0,0,'Données projet'!$E$10+1,1))</f>
        <v>272.66985936980086</v>
      </c>
      <c r="AO55" s="62">
        <f t="shared" si="36"/>
        <v>320.12040114313697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18.240302138778326</v>
      </c>
      <c r="AV55" s="23">
        <f>EXP(-LN(2)/25)*AV54+(1-EXP(-LN(2)/25))/(LN(2)/25)*Calculateur!AQ55*Calculateur!AS55*VLOOKUP('Données projet'!$B$10,Paramètres!$A$1:$I$88,3,0)*0.475*44/12</f>
        <v>55.395483279046104</v>
      </c>
      <c r="AW55" s="23">
        <f>EXP(-LN(2)/2)*AW54+(1-EXP(-LN(2)/2))/(LN(2)/2)*AQ55*AT55*VLOOKUP('Données projet'!$B$10,Paramètres!$A$1:$I$88,3,0)*0.475*44/12</f>
        <v>2.9057507012280834</v>
      </c>
      <c r="AX55" s="23">
        <f t="shared" si="6"/>
        <v>76.541536119052509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9.5</v>
      </c>
      <c r="BD55" s="13">
        <f>IF('Données projet'!$A$88&gt;35,BD54+BC55-BL54,IF(A55&lt;'Données projet'!$A$88,$BA$205^A55,IF(A55='Données projet'!$A$88,'Données projet'!$B$88,BD54+BC55-BL54)))</f>
        <v>284</v>
      </c>
      <c r="BE55" s="14">
        <f>BD55*VLOOKUP('Données projet'!$B$11,Paramètres!$A$1:$I$88,3,0)*VLOOKUP('Données projet'!$B$11,Paramètres!$A$1:$I$88,5,0)</f>
        <v>132.91200000000001</v>
      </c>
      <c r="BF55" s="14">
        <f t="shared" si="37"/>
        <v>34.668367043546574</v>
      </c>
      <c r="BG55" s="22">
        <f t="shared" si="7"/>
        <v>291.86913926751032</v>
      </c>
      <c r="BH55" s="62">
        <f t="shared" si="8"/>
        <v>585.20247260084363</v>
      </c>
      <c r="BI55" s="62">
        <f ca="1">AVERAGE(OFFSET($BH$3,0,0,'Données projet'!$E$11+1,1))-AVERAGE(OFFSET($H$3,0,0,'Données projet'!$E$11+1,1))</f>
        <v>164.93326103756453</v>
      </c>
      <c r="BJ55" s="62">
        <f t="shared" si="38"/>
        <v>115.86489547584461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4.1230403105289701</v>
      </c>
      <c r="BQ55" s="23">
        <f>EXP(-LN(2)/25)*BQ54+(1-EXP(-LN(2)/25))/(LN(2)/25)*Calculateur!BL55*Calculateur!BN55*VLOOKUP('Données projet'!$B$11,Paramètres!$A$1:$I$88,3,0)*0.475*44/12</f>
        <v>12.834065789939316</v>
      </c>
      <c r="BR55" s="23">
        <f>EXP(-LN(2)/2)*BR54+(1-EXP(-LN(2)/2))/(LN(2)/2)*BL55*BO55*VLOOKUP('Données projet'!$B$11,Paramètres!$A$1:$I$88,3,0)*0.475*44/12</f>
        <v>2.9189196306047389</v>
      </c>
      <c r="BS55" s="24">
        <f t="shared" si="9"/>
        <v>19.876025731073028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399.56980098790956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15.4</v>
      </c>
      <c r="N56" s="14">
        <f>IF('Données projet'!$A$36&gt;35,N55+M56-V55,IF(A56&lt;'Données projet'!$A$36,$K$205^A56,IF(A56='Données projet'!$A$36,'Données projet'!$B$36,N55+M56-V55)))</f>
        <v>708.19999999999948</v>
      </c>
      <c r="O56" s="14">
        <f>N56*VLOOKUP('Données projet'!$B$9,Paramètres!$A$1:$I$88,3,0)*VLOOKUP('Données projet'!$B$9,Paramètres!$A$1:$I$88,5,0)</f>
        <v>395.88379999999972</v>
      </c>
      <c r="P56" s="14">
        <f t="shared" si="33"/>
        <v>90.941667130422957</v>
      </c>
      <c r="Q56" s="22">
        <f t="shared" si="53"/>
        <v>847.8876885854861</v>
      </c>
      <c r="R56" s="62">
        <f t="shared" si="0"/>
        <v>1141.2210219188194</v>
      </c>
      <c r="S56" s="62">
        <f ca="1">AVERAGE(OFFSET($R$3,0,0,'Données projet'!$E$9+1,1))-AVERAGE(OFFSET($H$3,0,0,'Données projet'!$E$9+1,1))</f>
        <v>461.42631729930201</v>
      </c>
      <c r="T56" s="62">
        <f t="shared" si="34"/>
        <v>570.46734160592086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27.40972064851622</v>
      </c>
      <c r="AA56" s="23">
        <f>EXP(-LN(2)/25)*AA55+(1-EXP(-LN(2)/25))/(LN(2)/25)*Calculateur!V56*Calculateur!X56*VLOOKUP('Données projet'!$B$9,Paramètres!$A$1:$I$88,3,0)*0.475*44/12</f>
        <v>53.533326172576146</v>
      </c>
      <c r="AB56" s="23">
        <f>EXP(-LN(2)/2)*AB55+(1-EXP(-LN(2)/2))/(LN(2)/2)*V56*Y56*VLOOKUP('Données projet'!$B$9,Paramètres!$A$1:$I$88,3,0)*0.475*44/12</f>
        <v>4.5616982564453119</v>
      </c>
      <c r="AC56" s="24">
        <f t="shared" si="3"/>
        <v>85.504745077537677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11.933333333333337</v>
      </c>
      <c r="AI56" s="14">
        <f>IF('Données projet'!$A$62&gt;35,AI55+AH56-AQ55,IF(A56&lt;'Données projet'!$A$62,$AF$205^A56,IF(A56='Données projet'!$A$62,'Données projet'!$B$62,AI55+AH56-AQ55)))</f>
        <v>367.06666666666678</v>
      </c>
      <c r="AJ56" s="14">
        <f>AI56*VLOOKUP('Données projet'!$B$10,Paramètres!$A$1:$I$88,3,0)*VLOOKUP('Données projet'!$B$10,Paramètres!$A$1:$I$88,5,0)</f>
        <v>229.04960000000005</v>
      </c>
      <c r="AK56" s="14">
        <f t="shared" si="35"/>
        <v>56.077133333722543</v>
      </c>
      <c r="AL56" s="22">
        <f t="shared" si="4"/>
        <v>496.59572722290017</v>
      </c>
      <c r="AM56" s="62">
        <f t="shared" si="5"/>
        <v>789.92906055623348</v>
      </c>
      <c r="AN56" s="62">
        <f ca="1">AVERAGE(OFFSET($AM$3,0,0,'Données projet'!$E$10+1,1))-AVERAGE(OFFSET($H$3,0,0,'Données projet'!$E$10+1,1))</f>
        <v>272.66985936980086</v>
      </c>
      <c r="AO56" s="62">
        <f t="shared" si="36"/>
        <v>320.12040114313697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17.882620939322635</v>
      </c>
      <c r="AV56" s="23">
        <f>EXP(-LN(2)/25)*AV55+(1-EXP(-LN(2)/25))/(LN(2)/25)*Calculateur!AQ56*Calculateur!AS56*VLOOKUP('Données projet'!$B$10,Paramètres!$A$1:$I$88,3,0)*0.475*44/12</f>
        <v>53.880690875658729</v>
      </c>
      <c r="AW56" s="23">
        <f>EXP(-LN(2)/2)*AW55+(1-EXP(-LN(2)/2))/(LN(2)/2)*AQ56*AT56*VLOOKUP('Données projet'!$B$10,Paramètres!$A$1:$I$88,3,0)*0.475*44/12</f>
        <v>2.0546760252759437</v>
      </c>
      <c r="AX56" s="23">
        <f t="shared" si="6"/>
        <v>73.817987840257302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9.5</v>
      </c>
      <c r="BD56" s="13">
        <f>IF('Données projet'!$A$88&gt;35,BD55+BC56-BL55,IF(A56&lt;'Données projet'!$A$88,$BA$205^A56,IF(A56='Données projet'!$A$88,'Données projet'!$B$88,BD55+BC56-BL55)))</f>
        <v>293.5</v>
      </c>
      <c r="BE56" s="14">
        <f>BD56*VLOOKUP('Données projet'!$B$11,Paramètres!$A$1:$I$88,3,0)*VLOOKUP('Données projet'!$B$11,Paramètres!$A$1:$I$88,5,0)</f>
        <v>137.358</v>
      </c>
      <c r="BF56" s="14">
        <f t="shared" si="37"/>
        <v>35.691090928615189</v>
      </c>
      <c r="BG56" s="22">
        <f t="shared" si="7"/>
        <v>301.39383336733812</v>
      </c>
      <c r="BH56" s="62">
        <f t="shared" si="8"/>
        <v>594.72716670067143</v>
      </c>
      <c r="BI56" s="62">
        <f ca="1">AVERAGE(OFFSET($BH$3,0,0,'Données projet'!$E$11+1,1))-AVERAGE(OFFSET($H$3,0,0,'Données projet'!$E$11+1,1))</f>
        <v>164.93326103756453</v>
      </c>
      <c r="BJ56" s="62">
        <f t="shared" si="38"/>
        <v>115.86489547584461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4.0421900048457697</v>
      </c>
      <c r="BQ56" s="23">
        <f>EXP(-LN(2)/25)*BQ55+(1-EXP(-LN(2)/25))/(LN(2)/25)*Calculateur!BL56*Calculateur!BN56*VLOOKUP('Données projet'!$B$11,Paramètres!$A$1:$I$88,3,0)*0.475*44/12</f>
        <v>12.483117585999238</v>
      </c>
      <c r="BR56" s="23">
        <f>EXP(-LN(2)/2)*BR55+(1-EXP(-LN(2)/2))/(LN(2)/2)*BL56*BO56*VLOOKUP('Données projet'!$B$11,Paramètres!$A$1:$I$88,3,0)*0.475*44/12</f>
        <v>2.0639878645391434</v>
      </c>
      <c r="BS56" s="24">
        <f t="shared" si="9"/>
        <v>18.589295455384153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401.52077166373437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15.4</v>
      </c>
      <c r="N57" s="14">
        <f>IF('Données projet'!$A$36&gt;35,N56+M57-V56,IF(A57&lt;'Données projet'!$A$36,$K$205^A57,IF(A57='Données projet'!$A$36,'Données projet'!$B$36,N56+M57-V56)))</f>
        <v>723.59999999999945</v>
      </c>
      <c r="O57" s="14">
        <f>N57*VLOOKUP('Données projet'!$B$9,Paramètres!$A$1:$I$88,3,0)*VLOOKUP('Données projet'!$B$9,Paramètres!$A$1:$I$88,5,0)</f>
        <v>404.49239999999969</v>
      </c>
      <c r="P57" s="14">
        <f t="shared" si="33"/>
        <v>92.686837535548761</v>
      </c>
      <c r="Q57" s="22">
        <f t="shared" si="53"/>
        <v>865.92050537441344</v>
      </c>
      <c r="R57" s="62">
        <f t="shared" si="0"/>
        <v>1159.2538387077468</v>
      </c>
      <c r="S57" s="62">
        <f ca="1">AVERAGE(OFFSET($R$3,0,0,'Données projet'!$E$9+1,1))-AVERAGE(OFFSET($H$3,0,0,'Données projet'!$E$9+1,1))</f>
        <v>461.42631729930201</v>
      </c>
      <c r="T57" s="62">
        <f t="shared" si="34"/>
        <v>570.46734160592086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26.872232744877621</v>
      </c>
      <c r="AA57" s="23">
        <f>EXP(-LN(2)/25)*AA56+(1-EXP(-LN(2)/25))/(LN(2)/25)*Calculateur!V57*Calculateur!X57*VLOOKUP('Données projet'!$B$9,Paramètres!$A$1:$I$88,3,0)*0.475*44/12</f>
        <v>52.069454553191783</v>
      </c>
      <c r="AB57" s="23">
        <f>EXP(-LN(2)/2)*AB56+(1-EXP(-LN(2)/2))/(LN(2)/2)*V57*Y57*VLOOKUP('Données projet'!$B$9,Paramètres!$A$1:$I$88,3,0)*0.475*44/12</f>
        <v>3.2256077708593307</v>
      </c>
      <c r="AC57" s="24">
        <f t="shared" si="3"/>
        <v>82.167295068928738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>
        <f>VLOOKUP(A57,'Données projet'!$A$61:$I$81,2,0)</f>
        <v>379</v>
      </c>
      <c r="AG57" s="13">
        <f>VLOOKUP(A57,'Données projet'!$A$61:$I$81,9,0)</f>
        <v>11.933333333333337</v>
      </c>
      <c r="AH57" s="13">
        <f t="array" ref="AH57">INDEX(AG:AG,MIN(IF(ISNUMBER(AG57:AG253),ROW(AG57:AG253),"")))</f>
        <v>11.933333333333337</v>
      </c>
      <c r="AI57" s="14">
        <f>IF('Données projet'!$A$62&gt;35,AI56+AH57-AQ56,IF(A57&lt;'Données projet'!$A$62,$AF$205^A57,IF(A57='Données projet'!$A$62,'Données projet'!$B$62,AI56+AH57-AQ56)))</f>
        <v>379.00000000000011</v>
      </c>
      <c r="AJ57" s="14">
        <f>AI57*VLOOKUP('Données projet'!$B$10,Paramètres!$A$1:$I$88,3,0)*VLOOKUP('Données projet'!$B$10,Paramètres!$A$1:$I$88,5,0)</f>
        <v>236.49600000000007</v>
      </c>
      <c r="AK57" s="14">
        <f t="shared" si="35"/>
        <v>57.684983699039833</v>
      </c>
      <c r="AL57" s="22">
        <f t="shared" si="4"/>
        <v>512.36521327582784</v>
      </c>
      <c r="AM57" s="62">
        <f t="shared" si="5"/>
        <v>805.69854660916121</v>
      </c>
      <c r="AN57" s="62">
        <f ca="1">AVERAGE(OFFSET($AM$3,0,0,'Données projet'!$E$10+1,1))-AVERAGE(OFFSET($H$3,0,0,'Données projet'!$E$10+1,1))</f>
        <v>272.66985936980086</v>
      </c>
      <c r="AO57" s="62">
        <f t="shared" si="36"/>
        <v>320.12040114313697</v>
      </c>
      <c r="AP57" s="16">
        <f>IF(ISNA(VLOOKUP(A57,'Données projet'!$A$61:$I$81,3,0)),0,VLOOKUP(A57,'Données projet'!$A$61:$I$81,3,0))</f>
        <v>8</v>
      </c>
      <c r="AQ57" s="16">
        <f>IF(ISNA(VLOOKUP(A57,'Données projet'!$A$61:$I$81,4,0)),0,VLOOKUP(A57,'Données projet'!$A$61:$I$81,4,0))</f>
        <v>50.4</v>
      </c>
      <c r="AR57" s="17">
        <f>IF(ISNA(VLOOKUP(A57,'Données projet'!$A$61:$I$81,5,0)),0%,VLOOKUP(A57,'Données projet'!$A$61:$I$81,5,0)*VLOOKUP('Données projet'!$B$10,Paramètres!$A$1:$I$88,7,0))</f>
        <v>0.24</v>
      </c>
      <c r="AS57" s="17">
        <f>IF(ISNA(VLOOKUP(A57,'Données projet'!$A$61:$I$81,6,0)),0%,VLOOKUP(A57,'Données projet'!$A$61:$I$81,6,0)*VLOOKUP('Données projet'!$B$10,Paramètres!$A$1:$I$88,7,0))</f>
        <v>0.2016</v>
      </c>
      <c r="AT57" s="17">
        <f>IF(ISNA(VLOOKUP(A57,'Données projet'!$A$61:$I$81,7,0)),0%,VLOOKUP(A57,'Données projet'!$A$61:$I$81,7,0))</f>
        <v>0.26400000000000001</v>
      </c>
      <c r="AU57" s="23">
        <f>EXP(-LN(2)/35)*AU56+(1-EXP(-LN(2)/35))/(LN(2)/35)*AQ57*AR57*VLOOKUP('Données projet'!$B$10,Paramètres!$A$1:$I$88,3,0)*0.475*44/12</f>
        <v>27.544734809494209</v>
      </c>
      <c r="AV57" s="23">
        <f>EXP(-LN(2)/25)*AV56+(1-EXP(-LN(2)/25))/(LN(2)/25)*Calculateur!AQ57*Calculateur!AS57*VLOOKUP('Données projet'!$B$10,Paramètres!$A$1:$I$88,3,0)*0.475*44/12</f>
        <v>60.784940451097604</v>
      </c>
      <c r="AW57" s="23">
        <f>EXP(-LN(2)/2)*AW56+(1-EXP(-LN(2)/2))/(LN(2)/2)*AQ57*AT57*VLOOKUP('Données projet'!$B$10,Paramètres!$A$1:$I$88,3,0)*0.475*44/12</f>
        <v>10.853454106786163</v>
      </c>
      <c r="AX57" s="23">
        <f t="shared" si="6"/>
        <v>99.183129367377973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9.5</v>
      </c>
      <c r="BD57" s="13">
        <f>IF('Données projet'!$A$88&gt;35,BD56+BC57-BL56,IF(A57&lt;'Données projet'!$A$88,$BA$205^A57,IF(A57='Données projet'!$A$88,'Données projet'!$B$88,BD56+BC57-BL56)))</f>
        <v>303</v>
      </c>
      <c r="BE57" s="14">
        <f>BD57*VLOOKUP('Données projet'!$B$11,Paramètres!$A$1:$I$88,3,0)*VLOOKUP('Données projet'!$B$11,Paramètres!$A$1:$I$88,5,0)</f>
        <v>141.804</v>
      </c>
      <c r="BF57" s="14">
        <f t="shared" si="37"/>
        <v>36.709968106496248</v>
      </c>
      <c r="BG57" s="22">
        <f t="shared" si="7"/>
        <v>310.91182778548091</v>
      </c>
      <c r="BH57" s="62">
        <f t="shared" si="8"/>
        <v>604.24516111881417</v>
      </c>
      <c r="BI57" s="62">
        <f ca="1">AVERAGE(OFFSET($BH$3,0,0,'Données projet'!$E$11+1,1))-AVERAGE(OFFSET($H$3,0,0,'Données projet'!$E$11+1,1))</f>
        <v>164.93326103756453</v>
      </c>
      <c r="BJ57" s="62">
        <f t="shared" si="38"/>
        <v>115.86489547584461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3.9629251243432</v>
      </c>
      <c r="BQ57" s="23">
        <f>EXP(-LN(2)/25)*BQ56+(1-EXP(-LN(2)/25))/(LN(2)/25)*Calculateur!BL57*Calculateur!BN57*VLOOKUP('Données projet'!$B$11,Paramètres!$A$1:$I$88,3,0)*0.475*44/12</f>
        <v>12.141766079151466</v>
      </c>
      <c r="BR57" s="23">
        <f>EXP(-LN(2)/2)*BR56+(1-EXP(-LN(2)/2))/(LN(2)/2)*BL57*BO57*VLOOKUP('Données projet'!$B$11,Paramètres!$A$1:$I$88,3,0)*0.475*44/12</f>
        <v>1.4594598153023697</v>
      </c>
      <c r="BS57" s="24">
        <f t="shared" si="9"/>
        <v>17.564151018797038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403.47087608278355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739</v>
      </c>
      <c r="L58" s="13">
        <f>VLOOKUP(A58,'Données projet'!$A$35:$I$55,9,0)</f>
        <v>15.4</v>
      </c>
      <c r="M58" s="13">
        <f t="array" ref="M58">INDEX(L:L,MIN(IF(ISNUMBER(L58:L254),ROW(L58:L254),"")))</f>
        <v>15.4</v>
      </c>
      <c r="N58" s="14">
        <f>IF('Données projet'!$A$36&gt;35,N57+M58-V57,IF(A58&lt;'Données projet'!$A$36,$K$205^A58,IF(A58='Données projet'!$A$36,'Données projet'!$B$36,N57+M58-V57)))</f>
        <v>738.99999999999943</v>
      </c>
      <c r="O58" s="14">
        <f>N58*VLOOKUP('Données projet'!$B$9,Paramètres!$A$1:$I$88,3,0)*VLOOKUP('Données projet'!$B$9,Paramètres!$A$1:$I$88,5,0)</f>
        <v>413.10099999999971</v>
      </c>
      <c r="P58" s="14">
        <f t="shared" si="33"/>
        <v>94.427689670462271</v>
      </c>
      <c r="Q58" s="22">
        <f t="shared" si="53"/>
        <v>883.94580117605472</v>
      </c>
      <c r="R58" s="62">
        <f t="shared" si="0"/>
        <v>1177.2791345093881</v>
      </c>
      <c r="S58" s="62">
        <f ca="1">AVERAGE(OFFSET($R$3,0,0,'Données projet'!$E$9+1,1))-AVERAGE(OFFSET($H$3,0,0,'Données projet'!$E$9+1,1))</f>
        <v>461.42631729930201</v>
      </c>
      <c r="T58" s="62">
        <f t="shared" si="34"/>
        <v>570.46734160592086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46</v>
      </c>
      <c r="W58" s="17">
        <f>IF(ISNA(VLOOKUP(A58,'Données projet'!$A$35:$I$55,5,0)),0%,VLOOKUP(A58,'Données projet'!$A$35:$I$55,5,0)*VLOOKUP('Données projet'!$B$9,Paramètres!$A$1:$I$88,7,0))</f>
        <v>0.33</v>
      </c>
      <c r="X58" s="17">
        <f>IF(ISNA(VLOOKUP(A58,'Données projet'!$A$35:$I$55,6,0)),0%,VLOOKUP(A58,'Données projet'!$A$35:$I$55,6,0)*VLOOKUP('Données projet'!$B$9,Paramètres!$A$1:$I$88,7,0))</f>
        <v>0.12320000000000003</v>
      </c>
      <c r="Y58" s="17">
        <f>IF(ISNA(VLOOKUP(A58,'Données projet'!$A$35:$I$55,7,0)),0%,VLOOKUP(A58,'Données projet'!$A$35:$I$55,7,0))</f>
        <v>0.17600000000000002</v>
      </c>
      <c r="Z58" s="23">
        <f>EXP(-LN(2)/35)*Z57+(1-EXP(-LN(2)/35))/(LN(2)/35)*V58*W58*VLOOKUP('Données projet'!$B$9,Paramètres!$A$1:$I$88,3,0)*0.475*44/12</f>
        <v>37.602006525560995</v>
      </c>
      <c r="AA58" s="23">
        <f>EXP(-LN(2)/25)*AA57+(1-EXP(-LN(2)/25))/(LN(2)/25)*Calculateur!V58*Calculateur!X58*VLOOKUP('Données projet'!$B$9,Paramètres!$A$1:$I$88,3,0)*0.475*44/12</f>
        <v>54.831575198802554</v>
      </c>
      <c r="AB58" s="23">
        <f>EXP(-LN(2)/2)*AB57+(1-EXP(-LN(2)/2))/(LN(2)/2)*V58*Y58*VLOOKUP('Données projet'!$B$9,Paramètres!$A$1:$I$88,3,0)*0.475*44/12</f>
        <v>7.4049520767754728</v>
      </c>
      <c r="AC58" s="24">
        <f t="shared" si="3"/>
        <v>99.838533801139022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12.233333333333329</v>
      </c>
      <c r="AI58" s="14">
        <f>IF('Données projet'!$A$62&gt;35,AI57+AH58-AQ57,IF(A58&lt;'Données projet'!$A$62,$AF$205^A58,IF(A58='Données projet'!$A$62,'Données projet'!$B$62,AI57+AH58-AQ57)))</f>
        <v>340.83333333333348</v>
      </c>
      <c r="AJ58" s="14">
        <f>AI58*VLOOKUP('Données projet'!$B$10,Paramètres!$A$1:$I$88,3,0)*VLOOKUP('Données projet'!$B$10,Paramètres!$A$1:$I$88,5,0)</f>
        <v>212.68000000000012</v>
      </c>
      <c r="AK58" s="14">
        <f t="shared" si="35"/>
        <v>52.520800192638262</v>
      </c>
      <c r="AL58" s="22">
        <f t="shared" si="4"/>
        <v>461.89139366884518</v>
      </c>
      <c r="AM58" s="62">
        <f t="shared" si="5"/>
        <v>755.2247270021785</v>
      </c>
      <c r="AN58" s="62">
        <f ca="1">AVERAGE(OFFSET($AM$3,0,0,'Données projet'!$E$10+1,1))-AVERAGE(OFFSET($H$3,0,0,'Données projet'!$E$10+1,1))</f>
        <v>272.66985936980086</v>
      </c>
      <c r="AO58" s="62">
        <f t="shared" si="36"/>
        <v>320.12040114313697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27.004599360509335</v>
      </c>
      <c r="AV58" s="23">
        <f>EXP(-LN(2)/25)*AV57+(1-EXP(-LN(2)/25))/(LN(2)/25)*Calculateur!AQ58*Calculateur!AS58*VLOOKUP('Données projet'!$B$10,Paramètres!$A$1:$I$88,3,0)*0.475*44/12</f>
        <v>59.12277305792125</v>
      </c>
      <c r="AW58" s="23">
        <f>EXP(-LN(2)/2)*AW57+(1-EXP(-LN(2)/2))/(LN(2)/2)*AQ58*AT58*VLOOKUP('Données projet'!$B$10,Paramètres!$A$1:$I$88,3,0)*0.475*44/12</f>
        <v>7.67455099820548</v>
      </c>
      <c r="AX58" s="23">
        <f t="shared" si="6"/>
        <v>93.801923416636058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9.5</v>
      </c>
      <c r="BD58" s="13">
        <f>IF('Données projet'!$A$88&gt;35,BD57+BC58-BL57,IF(A58&lt;'Données projet'!$A$88,$BA$205^A58,IF(A58='Données projet'!$A$88,'Données projet'!$B$88,BD57+BC58-BL57)))</f>
        <v>312.5</v>
      </c>
      <c r="BE58" s="14">
        <f>BD58*VLOOKUP('Données projet'!$B$11,Paramètres!$A$1:$I$88,3,0)*VLOOKUP('Données projet'!$B$11,Paramètres!$A$1:$I$88,5,0)</f>
        <v>146.25</v>
      </c>
      <c r="BF58" s="14">
        <f t="shared" si="37"/>
        <v>37.725133021399586</v>
      </c>
      <c r="BG58" s="22">
        <f t="shared" si="7"/>
        <v>320.42335667893758</v>
      </c>
      <c r="BH58" s="62">
        <f t="shared" si="8"/>
        <v>613.75669001227084</v>
      </c>
      <c r="BI58" s="62">
        <f ca="1">AVERAGE(OFFSET($BH$3,0,0,'Données projet'!$E$11+1,1))-AVERAGE(OFFSET($H$3,0,0,'Données projet'!$E$11+1,1))</f>
        <v>164.93326103756453</v>
      </c>
      <c r="BJ58" s="62">
        <f t="shared" si="38"/>
        <v>115.86489547584461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3.8852145798004822</v>
      </c>
      <c r="BQ58" s="23">
        <f>EXP(-LN(2)/25)*BQ57+(1-EXP(-LN(2)/25))/(LN(2)/25)*Calculateur!BL58*Calculateur!BN58*VLOOKUP('Données projet'!$B$11,Paramètres!$A$1:$I$88,3,0)*0.475*44/12</f>
        <v>11.809748847209342</v>
      </c>
      <c r="BR58" s="23">
        <f>EXP(-LN(2)/2)*BR57+(1-EXP(-LN(2)/2))/(LN(2)/2)*BL58*BO58*VLOOKUP('Données projet'!$B$11,Paramètres!$A$1:$I$88,3,0)*0.475*44/12</f>
        <v>1.0319939322695719</v>
      </c>
      <c r="BS58" s="24">
        <f t="shared" si="9"/>
        <v>16.726957359279396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405.42013181185314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12.2</v>
      </c>
      <c r="N59" s="14">
        <f>IF('Données projet'!$A$36&gt;35,N58+M59-V58,IF(A59&lt;'Données projet'!$A$36,$K$205^A59,IF(A59='Données projet'!$A$36,'Données projet'!$B$36,N58+M59-V58)))</f>
        <v>705.19999999999948</v>
      </c>
      <c r="O59" s="14">
        <f>N59*VLOOKUP('Données projet'!$B$9,Paramètres!$A$1:$I$88,3,0)*VLOOKUP('Données projet'!$B$9,Paramètres!$A$1:$I$88,5,0)</f>
        <v>394.2067999999997</v>
      </c>
      <c r="P59" s="14">
        <f t="shared" si="33"/>
        <v>90.601187466199292</v>
      </c>
      <c r="Q59" s="22">
        <f t="shared" si="53"/>
        <v>844.37391150362998</v>
      </c>
      <c r="R59" s="62">
        <f t="shared" si="0"/>
        <v>1137.7072448369634</v>
      </c>
      <c r="S59" s="62">
        <f ca="1">AVERAGE(OFFSET($R$3,0,0,'Données projet'!$E$9+1,1))-AVERAGE(OFFSET($H$3,0,0,'Données projet'!$E$9+1,1))</f>
        <v>461.42631729930201</v>
      </c>
      <c r="T59" s="62">
        <f t="shared" si="34"/>
        <v>570.46734160592086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36.864654112554085</v>
      </c>
      <c r="AA59" s="23">
        <f>EXP(-LN(2)/25)*AA58+(1-EXP(-LN(2)/25))/(LN(2)/25)*Calculateur!V59*Calculateur!X59*VLOOKUP('Données projet'!$B$9,Paramètres!$A$1:$I$88,3,0)*0.475*44/12</f>
        <v>53.332202891524076</v>
      </c>
      <c r="AB59" s="23">
        <f>EXP(-LN(2)/2)*AB58+(1-EXP(-LN(2)/2))/(LN(2)/2)*V59*Y59*VLOOKUP('Données projet'!$B$9,Paramètres!$A$1:$I$88,3,0)*0.475*44/12</f>
        <v>5.2360918278493456</v>
      </c>
      <c r="AC59" s="24">
        <f t="shared" si="3"/>
        <v>95.432948831927519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12.233333333333329</v>
      </c>
      <c r="AI59" s="14">
        <f>IF('Données projet'!$A$62&gt;35,AI58+AH59-AQ58,IF(A59&lt;'Données projet'!$A$62,$AF$205^A59,IF(A59='Données projet'!$A$62,'Données projet'!$B$62,AI58+AH59-AQ58)))</f>
        <v>353.06666666666683</v>
      </c>
      <c r="AJ59" s="14">
        <f>AI59*VLOOKUP('Données projet'!$B$10,Paramètres!$A$1:$I$88,3,0)*VLOOKUP('Données projet'!$B$10,Paramètres!$A$1:$I$88,5,0)</f>
        <v>220.31360000000009</v>
      </c>
      <c r="AK59" s="14">
        <f t="shared" si="35"/>
        <v>54.183039479552768</v>
      </c>
      <c r="AL59" s="22">
        <f t="shared" si="4"/>
        <v>478.08164709355452</v>
      </c>
      <c r="AM59" s="62">
        <f t="shared" si="5"/>
        <v>771.41498042688784</v>
      </c>
      <c r="AN59" s="62">
        <f ca="1">AVERAGE(OFFSET($AM$3,0,0,'Données projet'!$E$10+1,1))-AVERAGE(OFFSET($H$3,0,0,'Données projet'!$E$10+1,1))</f>
        <v>272.66985936980086</v>
      </c>
      <c r="AO59" s="62">
        <f t="shared" si="36"/>
        <v>320.12040114313697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26.475055638228962</v>
      </c>
      <c r="AV59" s="23">
        <f>EXP(-LN(2)/25)*AV58+(1-EXP(-LN(2)/25))/(LN(2)/25)*Calculateur!AQ59*Calculateur!AS59*VLOOKUP('Données projet'!$B$10,Paramètres!$A$1:$I$88,3,0)*0.475*44/12</f>
        <v>57.506057719520882</v>
      </c>
      <c r="AW59" s="23">
        <f>EXP(-LN(2)/2)*AW58+(1-EXP(-LN(2)/2))/(LN(2)/2)*AQ59*AT59*VLOOKUP('Données projet'!$B$10,Paramètres!$A$1:$I$88,3,0)*0.475*44/12</f>
        <v>5.4267270533930825</v>
      </c>
      <c r="AX59" s="23">
        <f t="shared" si="6"/>
        <v>89.407840411142928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9.5</v>
      </c>
      <c r="BD59" s="13">
        <f>IF('Données projet'!$A$88&gt;35,BD58+BC59-BL58,IF(A59&lt;'Données projet'!$A$88,$BA$205^A59,IF(A59='Données projet'!$A$88,'Données projet'!$B$88,BD58+BC59-BL58)))</f>
        <v>322</v>
      </c>
      <c r="BE59" s="14">
        <f>BD59*VLOOKUP('Données projet'!$B$11,Paramètres!$A$1:$I$88,3,0)*VLOOKUP('Données projet'!$B$11,Paramètres!$A$1:$I$88,5,0)</f>
        <v>150.696</v>
      </c>
      <c r="BF59" s="14">
        <f t="shared" si="37"/>
        <v>38.736711478840633</v>
      </c>
      <c r="BG59" s="22">
        <f t="shared" si="7"/>
        <v>329.92863915898073</v>
      </c>
      <c r="BH59" s="62">
        <f t="shared" si="8"/>
        <v>623.26197249231404</v>
      </c>
      <c r="BI59" s="62">
        <f ca="1">AVERAGE(OFFSET($BH$3,0,0,'Données projet'!$E$11+1,1))-AVERAGE(OFFSET($H$3,0,0,'Données projet'!$E$11+1,1))</f>
        <v>164.93326103756453</v>
      </c>
      <c r="BJ59" s="62">
        <f t="shared" si="38"/>
        <v>115.86489547584461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3.8090278916374953</v>
      </c>
      <c r="BQ59" s="23">
        <f>EXP(-LN(2)/25)*BQ58+(1-EXP(-LN(2)/25))/(LN(2)/25)*Calculateur!BL59*Calculateur!BN59*VLOOKUP('Données projet'!$B$11,Paramètres!$A$1:$I$88,3,0)*0.475*44/12</f>
        <v>11.486810643934701</v>
      </c>
      <c r="BR59" s="23">
        <f>EXP(-LN(2)/2)*BR58+(1-EXP(-LN(2)/2))/(LN(2)/2)*BL59*BO59*VLOOKUP('Données projet'!$B$11,Paramètres!$A$1:$I$88,3,0)*0.475*44/12</f>
        <v>0.72972990765118495</v>
      </c>
      <c r="BS59" s="24">
        <f t="shared" si="9"/>
        <v>16.025568443223381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407.3685557544236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12.2</v>
      </c>
      <c r="N60" s="14">
        <f>IF('Données projet'!$A$36&gt;35,N59+M60-V59,IF(A60&lt;'Données projet'!$A$36,$K$205^A60,IF(A60='Données projet'!$A$36,'Données projet'!$B$36,N59+M60-V59)))</f>
        <v>717.39999999999952</v>
      </c>
      <c r="O60" s="14">
        <f>N60*VLOOKUP('Données projet'!$B$9,Paramètres!$A$1:$I$88,3,0)*VLOOKUP('Données projet'!$B$9,Paramètres!$A$1:$I$88,5,0)</f>
        <v>401.02659999999975</v>
      </c>
      <c r="P60" s="14">
        <f t="shared" si="33"/>
        <v>91.984761558101539</v>
      </c>
      <c r="Q60" s="22">
        <f t="shared" si="53"/>
        <v>858.66145471369293</v>
      </c>
      <c r="R60" s="62">
        <f t="shared" si="0"/>
        <v>1151.9947880470263</v>
      </c>
      <c r="S60" s="62">
        <f ca="1">AVERAGE(OFFSET($R$3,0,0,'Données projet'!$E$9+1,1))-AVERAGE(OFFSET($H$3,0,0,'Données projet'!$E$9+1,1))</f>
        <v>461.42631729930201</v>
      </c>
      <c r="T60" s="62">
        <f t="shared" si="34"/>
        <v>570.46734160592086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36.141760730625677</v>
      </c>
      <c r="AA60" s="23">
        <f>EXP(-LN(2)/25)*AA59+(1-EXP(-LN(2)/25))/(LN(2)/25)*Calculateur!V60*Calculateur!X60*VLOOKUP('Données projet'!$B$9,Paramètres!$A$1:$I$88,3,0)*0.475*44/12</f>
        <v>51.873830998836695</v>
      </c>
      <c r="AB60" s="23">
        <f>EXP(-LN(2)/2)*AB59+(1-EXP(-LN(2)/2))/(LN(2)/2)*V60*Y60*VLOOKUP('Données projet'!$B$9,Paramètres!$A$1:$I$88,3,0)*0.475*44/12</f>
        <v>3.7024760383877373</v>
      </c>
      <c r="AC60" s="24">
        <f t="shared" si="3"/>
        <v>91.718067767850116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12.233333333333329</v>
      </c>
      <c r="AI60" s="14">
        <f>IF('Données projet'!$A$62&gt;35,AI59+AH60-AQ59,IF(A60&lt;'Données projet'!$A$62,$AF$205^A60,IF(A60='Données projet'!$A$62,'Données projet'!$B$62,AI59+AH60-AQ59)))</f>
        <v>365.30000000000018</v>
      </c>
      <c r="AJ60" s="14">
        <f>AI60*VLOOKUP('Données projet'!$B$10,Paramètres!$A$1:$I$88,3,0)*VLOOKUP('Données projet'!$B$10,Paramètres!$A$1:$I$88,5,0)</f>
        <v>227.94720000000012</v>
      </c>
      <c r="AK60" s="14">
        <f t="shared" si="35"/>
        <v>55.838586843467112</v>
      </c>
      <c r="AL60" s="22">
        <f t="shared" si="4"/>
        <v>494.26024541903877</v>
      </c>
      <c r="AM60" s="62">
        <f t="shared" si="5"/>
        <v>787.59357875237208</v>
      </c>
      <c r="AN60" s="62">
        <f ca="1">AVERAGE(OFFSET($AM$3,0,0,'Données projet'!$E$10+1,1))-AVERAGE(OFFSET($H$3,0,0,'Données projet'!$E$10+1,1))</f>
        <v>272.66985936980086</v>
      </c>
      <c r="AO60" s="62">
        <f t="shared" si="36"/>
        <v>320.12040114313697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25.955895945352729</v>
      </c>
      <c r="AV60" s="23">
        <f>EXP(-LN(2)/25)*AV59+(1-EXP(-LN(2)/25))/(LN(2)/25)*Calculateur!AQ60*Calculateur!AS60*VLOOKUP('Données projet'!$B$10,Paramètres!$A$1:$I$88,3,0)*0.475*44/12</f>
        <v>55.93355154706844</v>
      </c>
      <c r="AW60" s="23">
        <f>EXP(-LN(2)/2)*AW59+(1-EXP(-LN(2)/2))/(LN(2)/2)*AQ60*AT60*VLOOKUP('Données projet'!$B$10,Paramètres!$A$1:$I$88,3,0)*0.475*44/12</f>
        <v>3.8372754991027405</v>
      </c>
      <c r="AX60" s="23">
        <f t="shared" si="6"/>
        <v>85.726722991523914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9.5</v>
      </c>
      <c r="BD60" s="13">
        <f>IF('Données projet'!$A$88&gt;35,BD59+BC60-BL59,IF(A60&lt;'Données projet'!$A$88,$BA$205^A60,IF(A60='Données projet'!$A$88,'Données projet'!$B$88,BD59+BC60-BL59)))</f>
        <v>331.5</v>
      </c>
      <c r="BE60" s="14">
        <f>BD60*VLOOKUP('Données projet'!$B$11,Paramètres!$A$1:$I$88,3,0)*VLOOKUP('Données projet'!$B$11,Paramètres!$A$1:$I$88,5,0)</f>
        <v>155.142</v>
      </c>
      <c r="BF60" s="14">
        <f t="shared" si="37"/>
        <v>39.744821439017343</v>
      </c>
      <c r="BG60" s="22">
        <f t="shared" si="7"/>
        <v>339.42788067295515</v>
      </c>
      <c r="BH60" s="62">
        <f t="shared" si="8"/>
        <v>632.76121400628847</v>
      </c>
      <c r="BI60" s="62">
        <f ca="1">AVERAGE(OFFSET($BH$3,0,0,'Données projet'!$E$11+1,1))-AVERAGE(OFFSET($H$3,0,0,'Données projet'!$E$11+1,1))</f>
        <v>164.93326103756453</v>
      </c>
      <c r="BJ60" s="62">
        <f t="shared" si="38"/>
        <v>115.86489547584461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3.7343351779600935</v>
      </c>
      <c r="BQ60" s="23">
        <f>EXP(-LN(2)/25)*BQ59+(1-EXP(-LN(2)/25))/(LN(2)/25)*Calculateur!BL60*Calculateur!BN60*VLOOKUP('Données projet'!$B$11,Paramètres!$A$1:$I$88,3,0)*0.475*44/12</f>
        <v>11.172703202811189</v>
      </c>
      <c r="BR60" s="23">
        <f>EXP(-LN(2)/2)*BR59+(1-EXP(-LN(2)/2))/(LN(2)/2)*BL60*BO60*VLOOKUP('Données projet'!$B$11,Paramètres!$A$1:$I$88,3,0)*0.475*44/12</f>
        <v>0.51599696613478596</v>
      </c>
      <c r="BS60" s="24">
        <f t="shared" si="9"/>
        <v>15.423035346906069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409.31616418689623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12.2</v>
      </c>
      <c r="N61" s="14">
        <f>IF('Données projet'!$A$36&gt;35,N60+M61-V60,IF(A61&lt;'Données projet'!$A$36,$K$205^A61,IF(A61='Données projet'!$A$36,'Données projet'!$B$36,N60+M61-V60)))</f>
        <v>729.59999999999957</v>
      </c>
      <c r="O61" s="14">
        <f>N61*VLOOKUP('Données projet'!$B$9,Paramètres!$A$1:$I$88,3,0)*VLOOKUP('Données projet'!$B$9,Paramètres!$A$1:$I$88,5,0)</f>
        <v>407.84639999999973</v>
      </c>
      <c r="P61" s="14">
        <f t="shared" si="33"/>
        <v>93.365599460181741</v>
      </c>
      <c r="Q61" s="22">
        <f t="shared" si="53"/>
        <v>872.94423239314926</v>
      </c>
      <c r="R61" s="62">
        <f t="shared" si="0"/>
        <v>1166.2775657264826</v>
      </c>
      <c r="S61" s="62">
        <f ca="1">AVERAGE(OFFSET($R$3,0,0,'Données projet'!$E$9+1,1))-AVERAGE(OFFSET($H$3,0,0,'Données projet'!$E$9+1,1))</f>
        <v>461.42631729930201</v>
      </c>
      <c r="T61" s="62">
        <f t="shared" si="34"/>
        <v>570.46734160592086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35.433042846995463</v>
      </c>
      <c r="AA61" s="23">
        <f>EXP(-LN(2)/25)*AA60+(1-EXP(-LN(2)/25))/(LN(2)/25)*Calculateur!V61*Calculateur!X61*VLOOKUP('Données projet'!$B$9,Paramètres!$A$1:$I$88,3,0)*0.475*44/12</f>
        <v>50.455338362247289</v>
      </c>
      <c r="AB61" s="23">
        <f>EXP(-LN(2)/2)*AB60+(1-EXP(-LN(2)/2))/(LN(2)/2)*V61*Y61*VLOOKUP('Données projet'!$B$9,Paramètres!$A$1:$I$88,3,0)*0.475*44/12</f>
        <v>2.6180459139246732</v>
      </c>
      <c r="AC61" s="24">
        <f t="shared" si="3"/>
        <v>88.506427123167427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12.233333333333329</v>
      </c>
      <c r="AI61" s="14">
        <f>IF('Données projet'!$A$62&gt;35,AI60+AH61-AQ60,IF(A61&lt;'Données projet'!$A$62,$AF$205^A61,IF(A61='Données projet'!$A$62,'Données projet'!$B$62,AI60+AH61-AQ60)))</f>
        <v>377.53333333333353</v>
      </c>
      <c r="AJ61" s="14">
        <f>AI61*VLOOKUP('Données projet'!$B$10,Paramètres!$A$1:$I$88,3,0)*VLOOKUP('Données projet'!$B$10,Paramètres!$A$1:$I$88,5,0)</f>
        <v>235.58080000000012</v>
      </c>
      <c r="AK61" s="14">
        <f t="shared" si="35"/>
        <v>57.487692079902182</v>
      </c>
      <c r="AL61" s="22">
        <f t="shared" si="4"/>
        <v>510.42762370582977</v>
      </c>
      <c r="AM61" s="62">
        <f t="shared" si="5"/>
        <v>803.76095703916303</v>
      </c>
      <c r="AN61" s="62">
        <f ca="1">AVERAGE(OFFSET($AM$3,0,0,'Données projet'!$E$10+1,1))-AVERAGE(OFFSET($H$3,0,0,'Données projet'!$E$10+1,1))</f>
        <v>272.66985936980086</v>
      </c>
      <c r="AO61" s="62">
        <f t="shared" si="36"/>
        <v>320.12040114313697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25.446916657397654</v>
      </c>
      <c r="AV61" s="23">
        <f>EXP(-LN(2)/25)*AV60+(1-EXP(-LN(2)/25))/(LN(2)/25)*Calculateur!AQ61*Calculateur!AS61*VLOOKUP('Données projet'!$B$10,Paramètres!$A$1:$I$88,3,0)*0.475*44/12</f>
        <v>54.404045638596216</v>
      </c>
      <c r="AW61" s="23">
        <f>EXP(-LN(2)/2)*AW60+(1-EXP(-LN(2)/2))/(LN(2)/2)*AQ61*AT61*VLOOKUP('Données projet'!$B$10,Paramètres!$A$1:$I$88,3,0)*0.475*44/12</f>
        <v>2.7133635266965417</v>
      </c>
      <c r="AX61" s="23">
        <f t="shared" si="6"/>
        <v>82.564325822690407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9.5</v>
      </c>
      <c r="BD61" s="13">
        <f>IF('Données projet'!$A$88&gt;35,BD60+BC61-BL60,IF(A61&lt;'Données projet'!$A$88,$BA$205^A61,IF(A61='Données projet'!$A$88,'Données projet'!$B$88,BD60+BC61-BL60)))</f>
        <v>341</v>
      </c>
      <c r="BE61" s="14">
        <f>BD61*VLOOKUP('Données projet'!$B$11,Paramètres!$A$1:$I$88,3,0)*VLOOKUP('Données projet'!$B$11,Paramètres!$A$1:$I$88,5,0)</f>
        <v>159.58799999999999</v>
      </c>
      <c r="BF61" s="14">
        <f t="shared" si="37"/>
        <v>40.74957371668588</v>
      </c>
      <c r="BG61" s="22">
        <f t="shared" si="7"/>
        <v>348.92127422322784</v>
      </c>
      <c r="BH61" s="62">
        <f t="shared" si="8"/>
        <v>642.25460755656115</v>
      </c>
      <c r="BI61" s="62">
        <f ca="1">AVERAGE(OFFSET($BH$3,0,0,'Données projet'!$E$11+1,1))-AVERAGE(OFFSET($H$3,0,0,'Données projet'!$E$11+1,1))</f>
        <v>164.93326103756453</v>
      </c>
      <c r="BJ61" s="62">
        <f t="shared" si="38"/>
        <v>115.86489547584461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3.6611071428398487</v>
      </c>
      <c r="BQ61" s="23">
        <f>EXP(-LN(2)/25)*BQ60+(1-EXP(-LN(2)/25))/(LN(2)/25)*Calculateur!BL61*Calculateur!BN61*VLOOKUP('Données projet'!$B$11,Paramètres!$A$1:$I$88,3,0)*0.475*44/12</f>
        <v>10.867185046183391</v>
      </c>
      <c r="BR61" s="23">
        <f>EXP(-LN(2)/2)*BR60+(1-EXP(-LN(2)/2))/(LN(2)/2)*BL61*BO61*VLOOKUP('Données projet'!$B$11,Paramètres!$A$1:$I$88,3,0)*0.475*44/12</f>
        <v>0.36486495382559248</v>
      </c>
      <c r="BS61" s="24">
        <f t="shared" si="9"/>
        <v>14.893157142848832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411.26297279225986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12.2</v>
      </c>
      <c r="N62" s="14">
        <f>IF('Données projet'!$A$36&gt;35,N61+M62-V61,IF(A62&lt;'Données projet'!$A$36,$K$205^A62,IF(A62='Données projet'!$A$36,'Données projet'!$B$36,N61+M62-V61)))</f>
        <v>741.79999999999961</v>
      </c>
      <c r="O62" s="14">
        <f>N62*VLOOKUP('Données projet'!$B$9,Paramètres!$A$1:$I$88,3,0)*VLOOKUP('Données projet'!$B$9,Paramètres!$A$1:$I$88,5,0)</f>
        <v>414.66619999999978</v>
      </c>
      <c r="P62" s="14">
        <f t="shared" si="33"/>
        <v>94.743752206399009</v>
      </c>
      <c r="Q62" s="22">
        <f t="shared" si="53"/>
        <v>887.22233342614447</v>
      </c>
      <c r="R62" s="62">
        <f t="shared" si="0"/>
        <v>1180.5556667594778</v>
      </c>
      <c r="S62" s="62">
        <f ca="1">AVERAGE(OFFSET($R$3,0,0,'Données projet'!$E$9+1,1))-AVERAGE(OFFSET($H$3,0,0,'Données projet'!$E$9+1,1))</f>
        <v>461.42631729930201</v>
      </c>
      <c r="T62" s="62">
        <f t="shared" si="34"/>
        <v>570.46734160592086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34.738222488788011</v>
      </c>
      <c r="AA62" s="23">
        <f>EXP(-LN(2)/25)*AA61+(1-EXP(-LN(2)/25))/(LN(2)/25)*Calculateur!V62*Calculateur!X62*VLOOKUP('Données projet'!$B$9,Paramètres!$A$1:$I$88,3,0)*0.475*44/12</f>
        <v>49.075634481400712</v>
      </c>
      <c r="AB62" s="23">
        <f>EXP(-LN(2)/2)*AB61+(1-EXP(-LN(2)/2))/(LN(2)/2)*V62*Y62*VLOOKUP('Données projet'!$B$9,Paramètres!$A$1:$I$88,3,0)*0.475*44/12</f>
        <v>1.8512380191938689</v>
      </c>
      <c r="AC62" s="24">
        <f t="shared" si="3"/>
        <v>85.665094989382595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12.233333333333329</v>
      </c>
      <c r="AI62" s="14">
        <f>IF('Données projet'!$A$62&gt;35,AI61+AH62-AQ61,IF(A62&lt;'Données projet'!$A$62,$AF$205^A62,IF(A62='Données projet'!$A$62,'Données projet'!$B$62,AI61+AH62-AQ61)))</f>
        <v>389.76666666666688</v>
      </c>
      <c r="AJ62" s="14">
        <f>AI62*VLOOKUP('Données projet'!$B$10,Paramètres!$A$1:$I$88,3,0)*VLOOKUP('Données projet'!$B$10,Paramètres!$A$1:$I$88,5,0)</f>
        <v>243.21440000000015</v>
      </c>
      <c r="AK62" s="14">
        <f t="shared" si="35"/>
        <v>59.130587876976094</v>
      </c>
      <c r="AL62" s="22">
        <f t="shared" si="4"/>
        <v>526.58418721906685</v>
      </c>
      <c r="AM62" s="62">
        <f t="shared" si="5"/>
        <v>819.91752055240022</v>
      </c>
      <c r="AN62" s="62">
        <f ca="1">AVERAGE(OFFSET($AM$3,0,0,'Données projet'!$E$10+1,1))-AVERAGE(OFFSET($H$3,0,0,'Données projet'!$E$10+1,1))</f>
        <v>272.66985936980086</v>
      </c>
      <c r="AO62" s="62">
        <f t="shared" si="36"/>
        <v>320.12040114313697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24.947918142832666</v>
      </c>
      <c r="AV62" s="23">
        <f>EXP(-LN(2)/25)*AV61+(1-EXP(-LN(2)/25))/(LN(2)/25)*Calculateur!AQ62*Calculateur!AS62*VLOOKUP('Données projet'!$B$10,Paramètres!$A$1:$I$88,3,0)*0.475*44/12</f>
        <v>52.916364149624386</v>
      </c>
      <c r="AW62" s="23">
        <f>EXP(-LN(2)/2)*AW61+(1-EXP(-LN(2)/2))/(LN(2)/2)*AQ62*AT62*VLOOKUP('Données projet'!$B$10,Paramètres!$A$1:$I$88,3,0)*0.475*44/12</f>
        <v>1.9186377495513705</v>
      </c>
      <c r="AX62" s="23">
        <f t="shared" si="6"/>
        <v>79.782920042008413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9.5</v>
      </c>
      <c r="BD62" s="13">
        <f>IF('Données projet'!$A$88&gt;35,BD61+BC62-BL61,IF(A62&lt;'Données projet'!$A$88,$BA$205^A62,IF(A62='Données projet'!$A$88,'Données projet'!$B$88,BD61+BC62-BL61)))</f>
        <v>350.5</v>
      </c>
      <c r="BE62" s="14">
        <f>BD62*VLOOKUP('Données projet'!$B$11,Paramètres!$A$1:$I$88,3,0)*VLOOKUP('Données projet'!$B$11,Paramètres!$A$1:$I$88,5,0)</f>
        <v>164.03399999999999</v>
      </c>
      <c r="BF62" s="14">
        <f t="shared" si="37"/>
        <v>41.751072600851387</v>
      </c>
      <c r="BG62" s="22">
        <f t="shared" si="7"/>
        <v>358.40900144648282</v>
      </c>
      <c r="BH62" s="62">
        <f t="shared" si="8"/>
        <v>651.74233477981613</v>
      </c>
      <c r="BI62" s="62">
        <f ca="1">AVERAGE(OFFSET($BH$3,0,0,'Données projet'!$E$11+1,1))-AVERAGE(OFFSET($H$3,0,0,'Données projet'!$E$11+1,1))</f>
        <v>164.93326103756453</v>
      </c>
      <c r="BJ62" s="62">
        <f t="shared" si="38"/>
        <v>115.86489547584461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3.5893150648236207</v>
      </c>
      <c r="BQ62" s="23">
        <f>EXP(-LN(2)/25)*BQ61+(1-EXP(-LN(2)/25))/(LN(2)/25)*Calculateur!BL62*Calculateur!BN62*VLOOKUP('Données projet'!$B$11,Paramètres!$A$1:$I$88,3,0)*0.475*44/12</f>
        <v>10.570021299615082</v>
      </c>
      <c r="BR62" s="23">
        <f>EXP(-LN(2)/2)*BR61+(1-EXP(-LN(2)/2))/(LN(2)/2)*BL62*BO62*VLOOKUP('Données projet'!$B$11,Paramètres!$A$1:$I$88,3,0)*0.475*44/12</f>
        <v>0.25799848306739298</v>
      </c>
      <c r="BS62" s="24">
        <f t="shared" si="9"/>
        <v>14.417334847506096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413.20899669140988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754</v>
      </c>
      <c r="L63" s="13">
        <f>VLOOKUP(A63,'Données projet'!$A$35:$I$55,9,0)</f>
        <v>12.2</v>
      </c>
      <c r="M63" s="13">
        <f t="array" ref="M63">INDEX(L:L,MIN(IF(ISNUMBER(L63:L259),ROW(L63:L259),"")))</f>
        <v>12.2</v>
      </c>
      <c r="N63" s="14">
        <f>IF('Données projet'!$A$36&gt;35,N62+M63-V62,IF(A63&lt;'Données projet'!$A$36,$K$205^A63,IF(A63='Données projet'!$A$36,'Données projet'!$B$36,N62+M63-V62)))</f>
        <v>753.99999999999966</v>
      </c>
      <c r="O63" s="14">
        <f>N63*VLOOKUP('Données projet'!$B$9,Paramètres!$A$1:$I$88,3,0)*VLOOKUP('Données projet'!$B$9,Paramètres!$A$1:$I$88,5,0)</f>
        <v>421.48599999999982</v>
      </c>
      <c r="P63" s="14">
        <f t="shared" si="33"/>
        <v>96.119269055816147</v>
      </c>
      <c r="Q63" s="22">
        <f t="shared" si="53"/>
        <v>901.49584360554616</v>
      </c>
      <c r="R63" s="62">
        <f t="shared" si="0"/>
        <v>1194.8291769388795</v>
      </c>
      <c r="S63" s="62">
        <f ca="1">AVERAGE(OFFSET($R$3,0,0,'Données projet'!$E$9+1,1))-AVERAGE(OFFSET($H$3,0,0,'Données projet'!$E$9+1,1))</f>
        <v>461.42631729930201</v>
      </c>
      <c r="T63" s="62">
        <f t="shared" si="34"/>
        <v>570.46734160592086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35</v>
      </c>
      <c r="W63" s="17">
        <f>IF(ISNA(VLOOKUP(A63,'Données projet'!$A$35:$I$55,5,0)),0%,VLOOKUP(A63,'Données projet'!$A$35:$I$55,5,0)*VLOOKUP('Données projet'!$B$9,Paramètres!$A$1:$I$88,7,0))</f>
        <v>0.33</v>
      </c>
      <c r="X63" s="17">
        <f>IF(ISNA(VLOOKUP(A63,'Données projet'!$A$35:$I$55,6,0)),0%,VLOOKUP(A63,'Données projet'!$A$35:$I$55,6,0)*VLOOKUP('Données projet'!$B$9,Paramètres!$A$1:$I$88,7,0))</f>
        <v>0.12320000000000003</v>
      </c>
      <c r="Y63" s="17">
        <f>IF(ISNA(VLOOKUP(A63,'Données projet'!$A$35:$I$55,7,0)),0%,VLOOKUP(A63,'Données projet'!$A$35:$I$55,7,0))</f>
        <v>0.17600000000000002</v>
      </c>
      <c r="Z63" s="23">
        <f>EXP(-LN(2)/35)*Z62+(1-EXP(-LN(2)/35))/(LN(2)/35)*V63*W63*VLOOKUP('Données projet'!$B$9,Paramètres!$A$1:$I$88,3,0)*0.475*44/12</f>
        <v>42.621924212329056</v>
      </c>
      <c r="AA63" s="23">
        <f>EXP(-LN(2)/25)*AA62+(1-EXP(-LN(2)/25))/(LN(2)/25)*Calculateur!V63*Calculateur!X63*VLOOKUP('Données projet'!$B$9,Paramètres!$A$1:$I$88,3,0)*0.475*44/12</f>
        <v>50.918630233347642</v>
      </c>
      <c r="AB63" s="23">
        <f>EXP(-LN(2)/2)*AB62+(1-EXP(-LN(2)/2))/(LN(2)/2)*V63*Y63*VLOOKUP('Données projet'!$B$9,Paramètres!$A$1:$I$88,3,0)*0.475*44/12</f>
        <v>5.2077969395568706</v>
      </c>
      <c r="AC63" s="24">
        <f t="shared" si="3"/>
        <v>98.748351385233562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402</v>
      </c>
      <c r="AG63" s="13">
        <f>VLOOKUP(A63,'Données projet'!$A$61:$I$81,9,0)</f>
        <v>12.233333333333329</v>
      </c>
      <c r="AH63" s="13">
        <f t="array" ref="AH63">INDEX(AG:AG,MIN(IF(ISNUMBER(AG63:AG259),ROW(AG63:AG259),"")))</f>
        <v>12.233333333333329</v>
      </c>
      <c r="AI63" s="14">
        <f>IF('Données projet'!$A$62&gt;35,AI62+AH63-AQ62,IF(A63&lt;'Données projet'!$A$62,$AF$205^A63,IF(A63='Données projet'!$A$62,'Données projet'!$B$62,AI62+AH63-AQ62)))</f>
        <v>402.00000000000023</v>
      </c>
      <c r="AJ63" s="14">
        <f>AI63*VLOOKUP('Données projet'!$B$10,Paramètres!$A$1:$I$88,3,0)*VLOOKUP('Données projet'!$B$10,Paramètres!$A$1:$I$88,5,0)</f>
        <v>250.84800000000013</v>
      </c>
      <c r="AK63" s="14">
        <f t="shared" si="35"/>
        <v>60.767491486783598</v>
      </c>
      <c r="AL63" s="22">
        <f t="shared" si="4"/>
        <v>542.73031433948165</v>
      </c>
      <c r="AM63" s="62">
        <f t="shared" si="5"/>
        <v>836.06364767281502</v>
      </c>
      <c r="AN63" s="62">
        <f ca="1">AVERAGE(OFFSET($AM$3,0,0,'Données projet'!$E$10+1,1))-AVERAGE(OFFSET($H$3,0,0,'Données projet'!$E$10+1,1))</f>
        <v>272.66985936980086</v>
      </c>
      <c r="AO63" s="62">
        <f t="shared" si="36"/>
        <v>320.12040114313697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45.2</v>
      </c>
      <c r="AR63" s="17">
        <f>IF(ISNA(VLOOKUP(A63,'Données projet'!$A$61:$I$81,5,0)),0%,VLOOKUP(A63,'Données projet'!$A$61:$I$81,5,0)*VLOOKUP('Données projet'!$B$10,Paramètres!$A$1:$I$88,7,0))</f>
        <v>0.36</v>
      </c>
      <c r="AS63" s="17">
        <f>IF(ISNA(VLOOKUP(A63,'Données projet'!$A$61:$I$81,6,0)),0%,VLOOKUP(A63,'Données projet'!$A$61:$I$81,6,0)*VLOOKUP('Données projet'!$B$10,Paramètres!$A$1:$I$88,7,0))</f>
        <v>0.13440000000000002</v>
      </c>
      <c r="AT63" s="17">
        <f>IF(ISNA(VLOOKUP(A63,'Données projet'!$A$61:$I$81,7,0)),0%,VLOOKUP(A63,'Données projet'!$A$61:$I$81,7,0))</f>
        <v>0.17600000000000002</v>
      </c>
      <c r="AU63" s="23">
        <f>EXP(-LN(2)/35)*AU62+(1-EXP(-LN(2)/35))/(LN(2)/35)*AQ63*AR63*VLOOKUP('Données projet'!$B$10,Paramètres!$A$1:$I$88,3,0)*0.475*44/12</f>
        <v>37.928279339780467</v>
      </c>
      <c r="AV63" s="23">
        <f>EXP(-LN(2)/25)*AV62+(1-EXP(-LN(2)/25))/(LN(2)/25)*Calculateur!AQ63*Calculateur!AS63*VLOOKUP('Données projet'!$B$10,Paramètres!$A$1:$I$88,3,0)*0.475*44/12</f>
        <v>56.478204917251276</v>
      </c>
      <c r="AW63" s="23">
        <f>EXP(-LN(2)/2)*AW62+(1-EXP(-LN(2)/2))/(LN(2)/2)*AQ63*AT63*VLOOKUP('Données projet'!$B$10,Paramètres!$A$1:$I$88,3,0)*0.475*44/12</f>
        <v>6.9771336122765764</v>
      </c>
      <c r="AX63" s="23">
        <f t="shared" si="6"/>
        <v>101.38361786930831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360</v>
      </c>
      <c r="BB63" s="13">
        <f>VLOOKUP(A63,'Données projet'!$A$87:$I$107,9,0)</f>
        <v>9.5</v>
      </c>
      <c r="BC63" s="13">
        <f t="array" ref="BC63">INDEX(BB:BB,MIN(IF(ISNUMBER(BB63:BB259),ROW(BB63:BB259),"")))</f>
        <v>9.5</v>
      </c>
      <c r="BD63" s="13">
        <f>IF('Données projet'!$A$88&gt;35,BD62+BC63-BL62,IF(A63&lt;'Données projet'!$A$88,$BA$205^A63,IF(A63='Données projet'!$A$88,'Données projet'!$B$88,BD62+BC63-BL62)))</f>
        <v>360</v>
      </c>
      <c r="BE63" s="14">
        <f>BD63*VLOOKUP('Données projet'!$B$11,Paramètres!$A$1:$I$88,3,0)*VLOOKUP('Données projet'!$B$11,Paramètres!$A$1:$I$88,5,0)</f>
        <v>168.48</v>
      </c>
      <c r="BF63" s="14">
        <f t="shared" si="37"/>
        <v>42.74941640538534</v>
      </c>
      <c r="BG63" s="22">
        <f t="shared" si="7"/>
        <v>367.89123357271274</v>
      </c>
      <c r="BH63" s="62">
        <f t="shared" si="8"/>
        <v>661.22456690604599</v>
      </c>
      <c r="BI63" s="62">
        <f ca="1">AVERAGE(OFFSET($BH$3,0,0,'Données projet'!$E$11+1,1))-AVERAGE(OFFSET($H$3,0,0,'Données projet'!$E$11+1,1))</f>
        <v>164.93326103756453</v>
      </c>
      <c r="BJ63" s="62">
        <f t="shared" si="38"/>
        <v>115.86489547584461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30</v>
      </c>
      <c r="BM63" s="17">
        <f>IF(ISNA(VLOOKUP(A63,'Données projet'!$A$87:$I$107,5,0)),0%,VLOOKUP(A63,'Données projet'!$A$87:$I$107,5,0)*VLOOKUP('Données projet'!$B$11,Paramètres!$A$1:$I$88,7,0))</f>
        <v>0.22000000000000003</v>
      </c>
      <c r="BN63" s="17">
        <f>IF(ISNA(VLOOKUP(A63,'Données projet'!$A$87:$I$107,6,0)),0%,VLOOKUP(A63,'Données projet'!$A$87:$I$107,6,0)*VLOOKUP('Données projet'!$B$11,Paramètres!$A$1:$I$88,7,0))</f>
        <v>0.18480000000000002</v>
      </c>
      <c r="BO63" s="17">
        <f>IF(ISNA(VLOOKUP(A63,'Données projet'!$A$87:$I$107,7,0)),0%,VLOOKUP(A63,'Données projet'!$A$87:$I$107,7,0))</f>
        <v>0.26400000000000001</v>
      </c>
      <c r="BP63" s="23">
        <f>EXP(-LN(2)/35)*BP62+(1-EXP(-LN(2)/35))/(LN(2)/35)*BL63*BM63*VLOOKUP('Données projet'!$B$11,Paramètres!$A$1:$I$88,3,0)*0.475*44/12</f>
        <v>7.6164230756300988</v>
      </c>
      <c r="BQ63" s="23">
        <f>EXP(-LN(2)/25)*BQ62+(1-EXP(-LN(2)/25))/(LN(2)/25)*Calculateur!BL63*Calculateur!BN63*VLOOKUP('Données projet'!$B$11,Paramètres!$A$1:$I$88,3,0)*0.475*44/12</f>
        <v>13.709324988625095</v>
      </c>
      <c r="BR63" s="23">
        <f>EXP(-LN(2)/2)*BR62+(1-EXP(-LN(2)/2))/(LN(2)/2)*BL63*BO63*VLOOKUP('Données projet'!$B$11,Paramètres!$A$1:$I$88,3,0)*0.475*44/12</f>
        <v>4.3791194216324927</v>
      </c>
      <c r="BS63" s="24">
        <f t="shared" si="9"/>
        <v>25.704867485887686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415.15425047232054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10</v>
      </c>
      <c r="N64" s="14">
        <f>IF('Données projet'!$A$36&gt;35,N63+M64-V63,IF(A64&lt;'Données projet'!$A$36,$K$205^A64,IF(A64='Données projet'!$A$36,'Données projet'!$B$36,N63+M64-V63)))</f>
        <v>728.99999999999966</v>
      </c>
      <c r="O64" s="14">
        <f>N64*VLOOKUP('Données projet'!$B$9,Paramètres!$A$1:$I$88,3,0)*VLOOKUP('Données projet'!$B$9,Paramètres!$A$1:$I$88,5,0)</f>
        <v>407.51099999999985</v>
      </c>
      <c r="P64" s="14">
        <f t="shared" si="33"/>
        <v>93.297752590617137</v>
      </c>
      <c r="Q64" s="22">
        <f t="shared" si="53"/>
        <v>872.24191076199133</v>
      </c>
      <c r="R64" s="62">
        <f t="shared" si="0"/>
        <v>1165.5752440953247</v>
      </c>
      <c r="S64" s="62">
        <f ca="1">AVERAGE(OFFSET($R$3,0,0,'Données projet'!$E$9+1,1))-AVERAGE(OFFSET($H$3,0,0,'Données projet'!$E$9+1,1))</f>
        <v>461.42631729930201</v>
      </c>
      <c r="T64" s="62">
        <f t="shared" si="34"/>
        <v>570.46734160592086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41.786134275332081</v>
      </c>
      <c r="AA64" s="23">
        <f>EXP(-LN(2)/25)*AA63+(1-EXP(-LN(2)/25))/(LN(2)/25)*Calculateur!V64*Calculateur!X64*VLOOKUP('Données projet'!$B$9,Paramètres!$A$1:$I$88,3,0)*0.475*44/12</f>
        <v>49.526257611922361</v>
      </c>
      <c r="AB64" s="23">
        <f>EXP(-LN(2)/2)*AB63+(1-EXP(-LN(2)/2))/(LN(2)/2)*V64*Y64*VLOOKUP('Données projet'!$B$9,Paramètres!$A$1:$I$88,3,0)*0.475*44/12</f>
        <v>3.6824685310032121</v>
      </c>
      <c r="AC64" s="24">
        <f t="shared" si="3"/>
        <v>94.994860418257659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12.199999999999998</v>
      </c>
      <c r="AI64" s="14">
        <f>IF('Données projet'!$A$62&gt;35,AI63+AH64-AQ63,IF(A64&lt;'Données projet'!$A$62,$AF$205^A64,IF(A64='Données projet'!$A$62,'Données projet'!$B$62,AI63+AH64-AQ63)))</f>
        <v>369.00000000000023</v>
      </c>
      <c r="AJ64" s="14">
        <f>AI64*VLOOKUP('Données projet'!$B$10,Paramètres!$A$1:$I$88,3,0)*VLOOKUP('Données projet'!$B$10,Paramètres!$A$1:$I$88,5,0)</f>
        <v>230.25600000000011</v>
      </c>
      <c r="AK64" s="14">
        <f t="shared" si="35"/>
        <v>56.338031132175168</v>
      </c>
      <c r="AL64" s="22">
        <f t="shared" si="4"/>
        <v>499.15127088853865</v>
      </c>
      <c r="AM64" s="62">
        <f t="shared" si="5"/>
        <v>792.4846042218719</v>
      </c>
      <c r="AN64" s="62">
        <f ca="1">AVERAGE(OFFSET($AM$3,0,0,'Données projet'!$E$10+1,1))-AVERAGE(OFFSET($H$3,0,0,'Données projet'!$E$10+1,1))</f>
        <v>272.66985936980086</v>
      </c>
      <c r="AO64" s="62">
        <f t="shared" si="36"/>
        <v>320.12040114313697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37.18452891589348</v>
      </c>
      <c r="AV64" s="23">
        <f>EXP(-LN(2)/25)*AV63+(1-EXP(-LN(2)/25))/(LN(2)/25)*Calculateur!AQ64*Calculateur!AS64*VLOOKUP('Données projet'!$B$10,Paramètres!$A$1:$I$88,3,0)*0.475*44/12</f>
        <v>54.933805433729326</v>
      </c>
      <c r="AW64" s="23">
        <f>EXP(-LN(2)/2)*AW63+(1-EXP(-LN(2)/2))/(LN(2)/2)*AQ64*AT64*VLOOKUP('Données projet'!$B$10,Paramètres!$A$1:$I$88,3,0)*0.475*44/12</f>
        <v>4.9335784904853597</v>
      </c>
      <c r="AX64" s="23">
        <f t="shared" si="6"/>
        <v>97.051912840108173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9</v>
      </c>
      <c r="BD64" s="13">
        <f>IF('Données projet'!$A$88&gt;35,BD63+BC64-BL63,IF(A64&lt;'Données projet'!$A$88,$BA$205^A64,IF(A64='Données projet'!$A$88,'Données projet'!$B$88,BD63+BC64-BL63)))</f>
        <v>339</v>
      </c>
      <c r="BE64" s="14">
        <f>BD64*VLOOKUP('Données projet'!$B$11,Paramètres!$A$1:$I$88,3,0)*VLOOKUP('Données projet'!$B$11,Paramètres!$A$1:$I$88,5,0)</f>
        <v>158.65199999999999</v>
      </c>
      <c r="BF64" s="14">
        <f t="shared" si="37"/>
        <v>40.538320690487296</v>
      </c>
      <c r="BG64" s="22">
        <f t="shared" si="7"/>
        <v>346.92314186926529</v>
      </c>
      <c r="BH64" s="62">
        <f t="shared" si="8"/>
        <v>640.25647520259861</v>
      </c>
      <c r="BI64" s="62">
        <f ca="1">AVERAGE(OFFSET($BH$3,0,0,'Données projet'!$E$11+1,1))-AVERAGE(OFFSET($H$3,0,0,'Données projet'!$E$11+1,1))</f>
        <v>164.93326103756453</v>
      </c>
      <c r="BJ64" s="62">
        <f t="shared" si="38"/>
        <v>115.86489547584461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7.4670696646763579</v>
      </c>
      <c r="BQ64" s="23">
        <f>EXP(-LN(2)/25)*BQ63+(1-EXP(-LN(2)/25))/(LN(2)/25)*Calculateur!BL64*Calculateur!BN64*VLOOKUP('Données projet'!$B$11,Paramètres!$A$1:$I$88,3,0)*0.475*44/12</f>
        <v>13.334442775869073</v>
      </c>
      <c r="BR64" s="23">
        <f>EXP(-LN(2)/2)*BR63+(1-EXP(-LN(2)/2))/(LN(2)/2)*BL64*BO64*VLOOKUP('Données projet'!$B$11,Paramètres!$A$1:$I$88,3,0)*0.475*44/12</f>
        <v>3.0965050386620478</v>
      </c>
      <c r="BS64" s="24">
        <f t="shared" si="9"/>
        <v>23.898017479207478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417.09874821725015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10</v>
      </c>
      <c r="N65" s="14">
        <f>IF('Données projet'!$A$36&gt;35,N64+M65-V64,IF(A65&lt;'Données projet'!$A$36,$K$205^A65,IF(A65='Données projet'!$A$36,'Données projet'!$B$36,N64+M65-V64)))</f>
        <v>738.99999999999966</v>
      </c>
      <c r="O65" s="14">
        <f>N65*VLOOKUP('Données projet'!$B$9,Paramètres!$A$1:$I$88,3,0)*VLOOKUP('Données projet'!$B$9,Paramètres!$A$1:$I$88,5,0)</f>
        <v>413.10099999999983</v>
      </c>
      <c r="P65" s="14">
        <f t="shared" si="33"/>
        <v>94.427689670462357</v>
      </c>
      <c r="Q65" s="22">
        <f t="shared" si="53"/>
        <v>883.94580117605494</v>
      </c>
      <c r="R65" s="62">
        <f t="shared" si="0"/>
        <v>1177.2791345093883</v>
      </c>
      <c r="S65" s="62">
        <f ca="1">AVERAGE(OFFSET($R$3,0,0,'Données projet'!$E$9+1,1))-AVERAGE(OFFSET($H$3,0,0,'Données projet'!$E$9+1,1))</f>
        <v>461.42631729930201</v>
      </c>
      <c r="T65" s="62">
        <f t="shared" si="34"/>
        <v>570.46734160592086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40.966733669218094</v>
      </c>
      <c r="AA65" s="23">
        <f>EXP(-LN(2)/25)*AA64+(1-EXP(-LN(2)/25))/(LN(2)/25)*Calculateur!V65*Calculateur!X65*VLOOKUP('Données projet'!$B$9,Paramètres!$A$1:$I$88,3,0)*0.475*44/12</f>
        <v>48.171959493051652</v>
      </c>
      <c r="AB65" s="23">
        <f>EXP(-LN(2)/2)*AB64+(1-EXP(-LN(2)/2))/(LN(2)/2)*V65*Y65*VLOOKUP('Données projet'!$B$9,Paramètres!$A$1:$I$88,3,0)*0.475*44/12</f>
        <v>2.6038984697784358</v>
      </c>
      <c r="AC65" s="24">
        <f t="shared" si="3"/>
        <v>91.742591632048175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12.199999999999998</v>
      </c>
      <c r="AI65" s="14">
        <f>IF('Données projet'!$A$62&gt;35,AI64+AH65-AQ64,IF(A65&lt;'Données projet'!$A$62,$AF$205^A65,IF(A65='Données projet'!$A$62,'Données projet'!$B$62,AI64+AH65-AQ64)))</f>
        <v>381.20000000000022</v>
      </c>
      <c r="AJ65" s="14">
        <f>AI65*VLOOKUP('Données projet'!$B$10,Paramètres!$A$1:$I$88,3,0)*VLOOKUP('Données projet'!$B$10,Paramètres!$A$1:$I$88,5,0)</f>
        <v>237.86880000000011</v>
      </c>
      <c r="AK65" s="14">
        <f t="shared" si="35"/>
        <v>57.980754653686795</v>
      </c>
      <c r="AL65" s="22">
        <f t="shared" si="4"/>
        <v>515.27130768850463</v>
      </c>
      <c r="AM65" s="62">
        <f t="shared" si="5"/>
        <v>808.60464102183801</v>
      </c>
      <c r="AN65" s="62">
        <f ca="1">AVERAGE(OFFSET($AM$3,0,0,'Données projet'!$E$10+1,1))-AVERAGE(OFFSET($H$3,0,0,'Données projet'!$E$10+1,1))</f>
        <v>272.66985936980086</v>
      </c>
      <c r="AO65" s="62">
        <f t="shared" si="36"/>
        <v>320.12040114313697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36.455362984175949</v>
      </c>
      <c r="AV65" s="23">
        <f>EXP(-LN(2)/25)*AV64+(1-EXP(-LN(2)/25))/(LN(2)/25)*Calculateur!AQ65*Calculateur!AS65*VLOOKUP('Données projet'!$B$10,Paramètres!$A$1:$I$88,3,0)*0.475*44/12</f>
        <v>53.431637635300724</v>
      </c>
      <c r="AW65" s="23">
        <f>EXP(-LN(2)/2)*AW64+(1-EXP(-LN(2)/2))/(LN(2)/2)*AQ65*AT65*VLOOKUP('Données projet'!$B$10,Paramètres!$A$1:$I$88,3,0)*0.475*44/12</f>
        <v>3.4885668061382891</v>
      </c>
      <c r="AX65" s="23">
        <f t="shared" si="6"/>
        <v>93.375567425614975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9</v>
      </c>
      <c r="BD65" s="13">
        <f>IF('Données projet'!$A$88&gt;35,BD64+BC65-BL64,IF(A65&lt;'Données projet'!$A$88,$BA$205^A65,IF(A65='Données projet'!$A$88,'Données projet'!$B$88,BD64+BC65-BL64)))</f>
        <v>348</v>
      </c>
      <c r="BE65" s="14">
        <f>BD65*VLOOKUP('Données projet'!$B$11,Paramètres!$A$1:$I$88,3,0)*VLOOKUP('Données projet'!$B$11,Paramètres!$A$1:$I$88,5,0)</f>
        <v>162.864</v>
      </c>
      <c r="BF65" s="14">
        <f t="shared" si="37"/>
        <v>41.487830069509123</v>
      </c>
      <c r="BG65" s="22">
        <f t="shared" si="7"/>
        <v>355.91277070439509</v>
      </c>
      <c r="BH65" s="62">
        <f t="shared" si="8"/>
        <v>649.2461040377284</v>
      </c>
      <c r="BI65" s="62">
        <f ca="1">AVERAGE(OFFSET($BH$3,0,0,'Données projet'!$E$11+1,1))-AVERAGE(OFFSET($H$3,0,0,'Données projet'!$E$11+1,1))</f>
        <v>164.93326103756453</v>
      </c>
      <c r="BJ65" s="62">
        <f t="shared" si="38"/>
        <v>115.86489547584461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7.3206449830148346</v>
      </c>
      <c r="BQ65" s="23">
        <f>EXP(-LN(2)/25)*BQ64+(1-EXP(-LN(2)/25))/(LN(2)/25)*Calculateur!BL65*Calculateur!BN65*VLOOKUP('Données projet'!$B$11,Paramètres!$A$1:$I$88,3,0)*0.475*44/12</f>
        <v>12.969811736935064</v>
      </c>
      <c r="BR65" s="23">
        <f>EXP(-LN(2)/2)*BR64+(1-EXP(-LN(2)/2))/(LN(2)/2)*BL65*BO65*VLOOKUP('Données projet'!$B$11,Paramètres!$A$1:$I$88,3,0)*0.475*44/12</f>
        <v>2.1895597108162468</v>
      </c>
      <c r="BS65" s="24">
        <f t="shared" si="9"/>
        <v>22.480016430766145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419.04250352814091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10</v>
      </c>
      <c r="N66" s="14">
        <f>IF('Données projet'!$A$36&gt;35,N65+M66-V65,IF(A66&lt;'Données projet'!$A$36,$K$205^A66,IF(A66='Données projet'!$A$36,'Données projet'!$B$36,N65+M66-V65)))</f>
        <v>748.99999999999966</v>
      </c>
      <c r="O66" s="14">
        <f>N66*VLOOKUP('Données projet'!$B$9,Paramètres!$A$1:$I$88,3,0)*VLOOKUP('Données projet'!$B$9,Paramètres!$A$1:$I$88,5,0)</f>
        <v>418.6909999999998</v>
      </c>
      <c r="P66" s="14">
        <f t="shared" si="33"/>
        <v>95.555848328260851</v>
      </c>
      <c r="Q66" s="22">
        <f t="shared" si="53"/>
        <v>895.64659417172061</v>
      </c>
      <c r="R66" s="62">
        <f t="shared" si="0"/>
        <v>1188.9799275050539</v>
      </c>
      <c r="S66" s="62">
        <f ca="1">AVERAGE(OFFSET($R$3,0,0,'Données projet'!$E$9+1,1))-AVERAGE(OFFSET($H$3,0,0,'Données projet'!$E$9+1,1))</f>
        <v>461.42631729930201</v>
      </c>
      <c r="T66" s="62">
        <f t="shared" si="34"/>
        <v>570.46734160592086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40.163401009204982</v>
      </c>
      <c r="AA66" s="23">
        <f>EXP(-LN(2)/25)*AA65+(1-EXP(-LN(2)/25))/(LN(2)/25)*Calculateur!V66*Calculateur!X66*VLOOKUP('Données projet'!$B$9,Paramètres!$A$1:$I$88,3,0)*0.475*44/12</f>
        <v>46.854694727460902</v>
      </c>
      <c r="AB66" s="23">
        <f>EXP(-LN(2)/2)*AB65+(1-EXP(-LN(2)/2))/(LN(2)/2)*V66*Y66*VLOOKUP('Données projet'!$B$9,Paramètres!$A$1:$I$88,3,0)*0.475*44/12</f>
        <v>1.8412342655016065</v>
      </c>
      <c r="AC66" s="24">
        <f t="shared" si="3"/>
        <v>88.859330002167496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12.199999999999998</v>
      </c>
      <c r="AI66" s="14">
        <f>IF('Données projet'!$A$62&gt;35,AI65+AH66-AQ65,IF(A66&lt;'Données projet'!$A$62,$AF$205^A66,IF(A66='Données projet'!$A$62,'Données projet'!$B$62,AI65+AH66-AQ65)))</f>
        <v>393.4000000000002</v>
      </c>
      <c r="AJ66" s="14">
        <f>AI66*VLOOKUP('Données projet'!$B$10,Paramètres!$A$1:$I$88,3,0)*VLOOKUP('Données projet'!$B$10,Paramètres!$A$1:$I$88,5,0)</f>
        <v>245.4816000000001</v>
      </c>
      <c r="AK66" s="14">
        <f t="shared" si="35"/>
        <v>59.617368838733263</v>
      </c>
      <c r="AL66" s="22">
        <f t="shared" si="4"/>
        <v>531.38070406079385</v>
      </c>
      <c r="AM66" s="62">
        <f t="shared" si="5"/>
        <v>824.71403739412722</v>
      </c>
      <c r="AN66" s="62">
        <f ca="1">AVERAGE(OFFSET($AM$3,0,0,'Données projet'!$E$10+1,1))-AVERAGE(OFFSET($H$3,0,0,'Données projet'!$E$10+1,1))</f>
        <v>272.66985936980086</v>
      </c>
      <c r="AO66" s="62">
        <f t="shared" si="36"/>
        <v>320.12040114313697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35.740495551632101</v>
      </c>
      <c r="AV66" s="23">
        <f>EXP(-LN(2)/25)*AV65+(1-EXP(-LN(2)/25))/(LN(2)/25)*Calculateur!AQ66*Calculateur!AS66*VLOOKUP('Données projet'!$B$10,Paramètres!$A$1:$I$88,3,0)*0.475*44/12</f>
        <v>51.970546694315722</v>
      </c>
      <c r="AW66" s="23">
        <f>EXP(-LN(2)/2)*AW65+(1-EXP(-LN(2)/2))/(LN(2)/2)*AQ66*AT66*VLOOKUP('Données projet'!$B$10,Paramètres!$A$1:$I$88,3,0)*0.475*44/12</f>
        <v>2.4667892452426803</v>
      </c>
      <c r="AX66" s="23">
        <f t="shared" si="6"/>
        <v>90.177831491190503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9</v>
      </c>
      <c r="BD66" s="13">
        <f>IF('Données projet'!$A$88&gt;35,BD65+BC66-BL65,IF(A66&lt;'Données projet'!$A$88,$BA$205^A66,IF(A66='Données projet'!$A$88,'Données projet'!$B$88,BD65+BC66-BL65)))</f>
        <v>357</v>
      </c>
      <c r="BE66" s="14">
        <f>BD66*VLOOKUP('Données projet'!$B$11,Paramètres!$A$1:$I$88,3,0)*VLOOKUP('Données projet'!$B$11,Paramètres!$A$1:$I$88,5,0)</f>
        <v>167.07599999999999</v>
      </c>
      <c r="BF66" s="14">
        <f t="shared" si="37"/>
        <v>42.434485059621672</v>
      </c>
      <c r="BG66" s="22">
        <f t="shared" si="7"/>
        <v>364.89742814550772</v>
      </c>
      <c r="BH66" s="62">
        <f t="shared" si="8"/>
        <v>658.23076147884103</v>
      </c>
      <c r="BI66" s="62">
        <f ca="1">AVERAGE(OFFSET($BH$3,0,0,'Données projet'!$E$11+1,1))-AVERAGE(OFFSET($H$3,0,0,'Données projet'!$E$11+1,1))</f>
        <v>164.93326103756453</v>
      </c>
      <c r="BJ66" s="62">
        <f t="shared" si="38"/>
        <v>115.86489547584461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7.1770916000504563</v>
      </c>
      <c r="BQ66" s="23">
        <f>EXP(-LN(2)/25)*BQ65+(1-EXP(-LN(2)/25))/(LN(2)/25)*Calculateur!BL66*Calculateur!BN66*VLOOKUP('Données projet'!$B$11,Paramètres!$A$1:$I$88,3,0)*0.475*44/12</f>
        <v>12.615151552935819</v>
      </c>
      <c r="BR66" s="23">
        <f>EXP(-LN(2)/2)*BR65+(1-EXP(-LN(2)/2))/(LN(2)/2)*BL66*BO66*VLOOKUP('Données projet'!$B$11,Paramètres!$A$1:$I$88,3,0)*0.475*44/12</f>
        <v>1.5482525193310241</v>
      </c>
      <c r="BS66" s="24">
        <f t="shared" si="9"/>
        <v>21.340495672317296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420.98552955036087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10</v>
      </c>
      <c r="N67" s="14">
        <f>IF('Données projet'!$A$36&gt;35,N66+M67-V66,IF(A67&lt;'Données projet'!$A$36,$K$205^A67,IF(A67='Données projet'!$A$36,'Données projet'!$B$36,N66+M67-V66)))</f>
        <v>758.99999999999966</v>
      </c>
      <c r="O67" s="14">
        <f>N67*VLOOKUP('Données projet'!$B$9,Paramètres!$A$1:$I$88,3,0)*VLOOKUP('Données projet'!$B$9,Paramètres!$A$1:$I$88,5,0)</f>
        <v>424.28099999999978</v>
      </c>
      <c r="P67" s="14">
        <f t="shared" si="33"/>
        <v>96.682255052757768</v>
      </c>
      <c r="Q67" s="22">
        <f t="shared" ref="Q67:Q98" si="54">(O67+P67)*0.475*44/12</f>
        <v>907.34433588355262</v>
      </c>
      <c r="R67" s="62">
        <f t="shared" ref="R67:R130" si="55">Q67+(I67+J67)*44/12</f>
        <v>1200.677669216886</v>
      </c>
      <c r="S67" s="62">
        <f ca="1">AVERAGE(OFFSET($R$3,0,0,'Données projet'!$E$9+1,1))-AVERAGE(OFFSET($H$3,0,0,'Données projet'!$E$9+1,1))</f>
        <v>461.42631729930201</v>
      </c>
      <c r="T67" s="62">
        <f t="shared" si="34"/>
        <v>570.46734160592086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39.375821212670182</v>
      </c>
      <c r="AA67" s="23">
        <f>EXP(-LN(2)/25)*AA66+(1-EXP(-LN(2)/25))/(LN(2)/25)*Calculateur!V67*Calculateur!X67*VLOOKUP('Données projet'!$B$9,Paramètres!$A$1:$I$88,3,0)*0.475*44/12</f>
        <v>45.573450636157176</v>
      </c>
      <c r="AB67" s="23">
        <f>EXP(-LN(2)/2)*AB66+(1-EXP(-LN(2)/2))/(LN(2)/2)*V67*Y67*VLOOKUP('Données projet'!$B$9,Paramètres!$A$1:$I$88,3,0)*0.475*44/12</f>
        <v>1.3019492348892181</v>
      </c>
      <c r="AC67" s="24">
        <f t="shared" si="3"/>
        <v>86.251221083716572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12.199999999999998</v>
      </c>
      <c r="AI67" s="14">
        <f>IF('Données projet'!$A$62&gt;35,AI66+AH67-AQ66,IF(A67&lt;'Données projet'!$A$62,$AF$205^A67,IF(A67='Données projet'!$A$62,'Données projet'!$B$62,AI66+AH67-AQ66)))</f>
        <v>405.60000000000019</v>
      </c>
      <c r="AJ67" s="14">
        <f>AI67*VLOOKUP('Données projet'!$B$10,Paramètres!$A$1:$I$88,3,0)*VLOOKUP('Données projet'!$B$10,Paramètres!$A$1:$I$88,5,0)</f>
        <v>253.09440000000009</v>
      </c>
      <c r="AK67" s="14">
        <f t="shared" si="35"/>
        <v>61.248084888810205</v>
      </c>
      <c r="AL67" s="22">
        <f t="shared" si="4"/>
        <v>547.47982784801127</v>
      </c>
      <c r="AM67" s="62">
        <f t="shared" si="5"/>
        <v>840.81316118134464</v>
      </c>
      <c r="AN67" s="62">
        <f ca="1">AVERAGE(OFFSET($AM$3,0,0,'Données projet'!$E$10+1,1))-AVERAGE(OFFSET($H$3,0,0,'Données projet'!$E$10+1,1))</f>
        <v>272.66985936980086</v>
      </c>
      <c r="AO67" s="62">
        <f t="shared" si="36"/>
        <v>320.12040114313697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35.039646233414352</v>
      </c>
      <c r="AV67" s="23">
        <f>EXP(-LN(2)/25)*AV66+(1-EXP(-LN(2)/25))/(LN(2)/25)*Calculateur!AQ67*Calculateur!AS67*VLOOKUP('Données projet'!$B$10,Paramètres!$A$1:$I$88,3,0)*0.475*44/12</f>
        <v>50.54940936194739</v>
      </c>
      <c r="AW67" s="23">
        <f>EXP(-LN(2)/2)*AW66+(1-EXP(-LN(2)/2))/(LN(2)/2)*AQ67*AT67*VLOOKUP('Données projet'!$B$10,Paramètres!$A$1:$I$88,3,0)*0.475*44/12</f>
        <v>1.7442834030691448</v>
      </c>
      <c r="AX67" s="23">
        <f t="shared" si="6"/>
        <v>87.333338998430889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</v>
      </c>
      <c r="BD67" s="13">
        <f>IF('Données projet'!$A$88&gt;35,BD66+BC67-BL66,IF(A67&lt;'Données projet'!$A$88,$BA$205^A67,IF(A67='Données projet'!$A$88,'Données projet'!$B$88,BD66+BC67-BL66)))</f>
        <v>366</v>
      </c>
      <c r="BE67" s="14">
        <f>BD67*VLOOKUP('Données projet'!$B$11,Paramètres!$A$1:$I$88,3,0)*VLOOKUP('Données projet'!$B$11,Paramètres!$A$1:$I$88,5,0)</f>
        <v>171.28799999999998</v>
      </c>
      <c r="BF67" s="14">
        <f t="shared" si="37"/>
        <v>43.37836589572138</v>
      </c>
      <c r="BG67" s="22">
        <f t="shared" si="7"/>
        <v>373.87725393504803</v>
      </c>
      <c r="BH67" s="62">
        <f t="shared" si="8"/>
        <v>667.21058726838135</v>
      </c>
      <c r="BI67" s="62">
        <f ca="1">AVERAGE(OFFSET($BH$3,0,0,'Données projet'!$E$11+1,1))-AVERAGE(OFFSET($H$3,0,0,'Données projet'!$E$11+1,1))</f>
        <v>164.93326103756453</v>
      </c>
      <c r="BJ67" s="62">
        <f t="shared" si="38"/>
        <v>115.86489547584461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7.036353211367091</v>
      </c>
      <c r="BQ67" s="23">
        <f>EXP(-LN(2)/25)*BQ66+(1-EXP(-LN(2)/25))/(LN(2)/25)*Calculateur!BL67*Calculateur!BN67*VLOOKUP('Données projet'!$B$11,Paramètres!$A$1:$I$88,3,0)*0.475*44/12</f>
        <v>12.2701895703188</v>
      </c>
      <c r="BR67" s="23">
        <f>EXP(-LN(2)/2)*BR66+(1-EXP(-LN(2)/2))/(LN(2)/2)*BL67*BO67*VLOOKUP('Données projet'!$B$11,Paramètres!$A$1:$I$88,3,0)*0.475*44/12</f>
        <v>1.0947798554081236</v>
      </c>
      <c r="BS67" s="24">
        <f t="shared" si="9"/>
        <v>20.401322637094015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422.92783899491928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769</v>
      </c>
      <c r="L68" s="13">
        <f>VLOOKUP(A68,'Données projet'!$A$35:$I$55,9,0)</f>
        <v>10</v>
      </c>
      <c r="M68" s="13">
        <f t="array" ref="M68">INDEX(L:L,MIN(IF(ISNUMBER(L68:L264),ROW(L68:L264),"")))</f>
        <v>10</v>
      </c>
      <c r="N68" s="14">
        <f>IF('Données projet'!$A$36&gt;35,N67+M68-V67,IF(A68&lt;'Données projet'!$A$36,$K$205^A68,IF(A68='Données projet'!$A$36,'Données projet'!$B$36,N67+M68-V67)))</f>
        <v>768.99999999999966</v>
      </c>
      <c r="O68" s="14">
        <f>N68*VLOOKUP('Données projet'!$B$9,Paramètres!$A$1:$I$88,3,0)*VLOOKUP('Données projet'!$B$9,Paramètres!$A$1:$I$88,5,0)</f>
        <v>429.87099999999981</v>
      </c>
      <c r="P68" s="14">
        <f t="shared" si="33"/>
        <v>97.806935594587088</v>
      </c>
      <c r="Q68" s="22">
        <f t="shared" si="54"/>
        <v>919.03907116057201</v>
      </c>
      <c r="R68" s="62">
        <f t="shared" si="55"/>
        <v>1212.3724044939054</v>
      </c>
      <c r="S68" s="62">
        <f ca="1">AVERAGE(OFFSET($R$3,0,0,'Données projet'!$E$9+1,1))-AVERAGE(OFFSET($H$3,0,0,'Données projet'!$E$9+1,1))</f>
        <v>461.42631729930201</v>
      </c>
      <c r="T68" s="62">
        <f t="shared" si="34"/>
        <v>570.46734160592086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769</v>
      </c>
      <c r="W68" s="17">
        <f>IF(ISNA(VLOOKUP(A68,'Données projet'!$A$35:$I$55,5,0)),0%,VLOOKUP(A68,'Données projet'!$A$35:$I$55,5,0)*VLOOKUP('Données projet'!$B$9,Paramètres!$A$1:$I$88,7,0))</f>
        <v>0.44000000000000006</v>
      </c>
      <c r="X68" s="17">
        <f>IF(ISNA(VLOOKUP(A68,'Données projet'!$A$35:$I$55,6,0)),0%,VLOOKUP(A68,'Données projet'!$A$35:$I$55,6,0)*VLOOKUP('Données projet'!$B$9,Paramètres!$A$1:$I$88,7,0))</f>
        <v>6.0500000000000005E-2</v>
      </c>
      <c r="Y68" s="17">
        <f>IF(ISNA(VLOOKUP(A68,'Données projet'!$A$35:$I$55,7,0)),0%,VLOOKUP(A68,'Données projet'!$A$35:$I$55,7,0))</f>
        <v>0.09</v>
      </c>
      <c r="Z68" s="23">
        <f>EXP(-LN(2)/35)*Z67+(1-EXP(-LN(2)/35))/(LN(2)/35)*V68*W68*VLOOKUP('Données projet'!$B$9,Paramètres!$A$1:$I$88,3,0)*0.475*44/12</f>
        <v>289.51438454623951</v>
      </c>
      <c r="AA68" s="23">
        <f>EXP(-LN(2)/25)*AA67+(1-EXP(-LN(2)/25))/(LN(2)/25)*Calculateur!V68*Calculateur!X68*VLOOKUP('Données projet'!$B$9,Paramètres!$A$1:$I$88,3,0)*0.475*44/12</f>
        <v>78.69162285164785</v>
      </c>
      <c r="AB68" s="23">
        <f>EXP(-LN(2)/2)*AB67+(1-EXP(-LN(2)/2))/(LN(2)/2)*V68*Y68*VLOOKUP('Données projet'!$B$9,Paramètres!$A$1:$I$88,3,0)*0.475*44/12</f>
        <v>44.724861830050749</v>
      </c>
      <c r="AC68" s="24">
        <f t="shared" ref="AC68:AC131" si="57">SUM(Z68:AB68)</f>
        <v>412.9308692279381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12.199999999999998</v>
      </c>
      <c r="AI68" s="14">
        <f>IF('Données projet'!$A$62&gt;35,AI67+AH68-AQ67,IF(A68&lt;'Données projet'!$A$62,$AF$205^A68,IF(A68='Données projet'!$A$62,'Données projet'!$B$62,AI67+AH68-AQ67)))</f>
        <v>417.80000000000018</v>
      </c>
      <c r="AJ68" s="14">
        <f>AI68*VLOOKUP('Données projet'!$B$10,Paramètres!$A$1:$I$88,3,0)*VLOOKUP('Données projet'!$B$10,Paramètres!$A$1:$I$88,5,0)</f>
        <v>260.70720000000011</v>
      </c>
      <c r="AK68" s="14">
        <f t="shared" si="35"/>
        <v>62.873100577915942</v>
      </c>
      <c r="AL68" s="22">
        <f t="shared" ref="AL68:AL131" si="58">(AJ68+AK68)*0.475*44/12</f>
        <v>563.56902350653706</v>
      </c>
      <c r="AM68" s="62">
        <f t="shared" ref="AM68:AM131" si="59">AL68+(AD68+AE68)*44/12</f>
        <v>856.90235683987044</v>
      </c>
      <c r="AN68" s="62">
        <f ca="1">AVERAGE(OFFSET($AM$3,0,0,'Données projet'!$E$10+1,1))-AVERAGE(OFFSET($H$3,0,0,'Données projet'!$E$10+1,1))</f>
        <v>272.66985936980086</v>
      </c>
      <c r="AO68" s="62">
        <f t="shared" si="36"/>
        <v>320.12040114313697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34.352540142850984</v>
      </c>
      <c r="AV68" s="23">
        <f>EXP(-LN(2)/25)*AV67+(1-EXP(-LN(2)/25))/(LN(2)/25)*Calculateur!AQ68*Calculateur!AS68*VLOOKUP('Données projet'!$B$10,Paramètres!$A$1:$I$88,3,0)*0.475*44/12</f>
        <v>49.16713310466703</v>
      </c>
      <c r="AW68" s="23">
        <f>EXP(-LN(2)/2)*AW67+(1-EXP(-LN(2)/2))/(LN(2)/2)*AQ68*AT68*VLOOKUP('Données projet'!$B$10,Paramètres!$A$1:$I$88,3,0)*0.475*44/12</f>
        <v>1.2333946226213404</v>
      </c>
      <c r="AX68" s="23">
        <f t="shared" ref="AX68:AX131" si="60">SUM(AU68:AW68)</f>
        <v>84.753067870139361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9</v>
      </c>
      <c r="BD68" s="13">
        <f>IF('Données projet'!$A$88&gt;35,BD67+BC68-BL67,IF(A68&lt;'Données projet'!$A$88,$BA$205^A68,IF(A68='Données projet'!$A$88,'Données projet'!$B$88,BD67+BC68-BL67)))</f>
        <v>375</v>
      </c>
      <c r="BE68" s="14">
        <f>BD68*VLOOKUP('Données projet'!$B$11,Paramètres!$A$1:$I$88,3,0)*VLOOKUP('Données projet'!$B$11,Paramètres!$A$1:$I$88,5,0)</f>
        <v>175.5</v>
      </c>
      <c r="BF68" s="14">
        <f t="shared" si="37"/>
        <v>44.319548641773906</v>
      </c>
      <c r="BG68" s="22">
        <f t="shared" ref="BG68:BG131" si="61">(BE68+BF68)*0.475*44/12</f>
        <v>382.85238055108954</v>
      </c>
      <c r="BH68" s="62">
        <f t="shared" ref="BH68:BH131" si="62">BG68+(AY68+AZ68)*44/12</f>
        <v>676.18571388442285</v>
      </c>
      <c r="BI68" s="62">
        <f ca="1">AVERAGE(OFFSET($BH$3,0,0,'Données projet'!$E$11+1,1))-AVERAGE(OFFSET($H$3,0,0,'Données projet'!$E$11+1,1))</f>
        <v>164.93326103756453</v>
      </c>
      <c r="BJ68" s="62">
        <f t="shared" si="38"/>
        <v>115.86489547584461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6.8983746166438662</v>
      </c>
      <c r="BQ68" s="23">
        <f>EXP(-LN(2)/25)*BQ67+(1-EXP(-LN(2)/25))/(LN(2)/25)*Calculateur!BL68*Calculateur!BN68*VLOOKUP('Données projet'!$B$11,Paramètres!$A$1:$I$88,3,0)*0.475*44/12</f>
        <v>11.934660591257208</v>
      </c>
      <c r="BR68" s="23">
        <f>EXP(-LN(2)/2)*BR67+(1-EXP(-LN(2)/2))/(LN(2)/2)*BL68*BO68*VLOOKUP('Données projet'!$B$11,Paramètres!$A$1:$I$88,3,0)*0.475*44/12</f>
        <v>0.7741262596655123</v>
      </c>
      <c r="BS68" s="24">
        <f t="shared" ref="BS68:BS131" si="63">SUM(BP68:BR68)</f>
        <v>19.607161467566584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424.86944415927678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-3.4106051316484809E-13</v>
      </c>
      <c r="O69" s="14">
        <f>N69*VLOOKUP('Données projet'!$B$9,Paramètres!$A$1:$I$88,3,0)*VLOOKUP('Données projet'!$B$9,Paramètres!$A$1:$I$88,5,0)</f>
        <v>-1.9065282685915009E-13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461.42631729930201</v>
      </c>
      <c r="T69" s="62">
        <f t="shared" ref="T69:T132" si="88">$T$3</f>
        <v>570.46734160592086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283.83718405162585</v>
      </c>
      <c r="AA69" s="23">
        <f>EXP(-LN(2)/25)*AA68+(1-EXP(-LN(2)/25))/(LN(2)/25)*Calculateur!V69*Calculateur!X69*VLOOKUP('Données projet'!$B$9,Paramètres!$A$1:$I$88,3,0)*0.475*44/12</f>
        <v>76.53979628655695</v>
      </c>
      <c r="AB69" s="23">
        <f>EXP(-LN(2)/2)*AB68+(1-EXP(-LN(2)/2))/(LN(2)/2)*V69*Y69*VLOOKUP('Données projet'!$B$9,Paramètres!$A$1:$I$88,3,0)*0.475*44/12</f>
        <v>31.625253087660269</v>
      </c>
      <c r="AC69" s="24">
        <f t="shared" si="57"/>
        <v>392.00223342584309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430</v>
      </c>
      <c r="AG69" s="13">
        <f>VLOOKUP(A69,'Données projet'!$A$61:$I$81,9,0)</f>
        <v>12.199999999999998</v>
      </c>
      <c r="AH69" s="13">
        <f t="array" ref="AH69">INDEX(AG:AG,MIN(IF(ISNUMBER(AG69:AG265),ROW(AG69:AG265),"")))</f>
        <v>12.199999999999998</v>
      </c>
      <c r="AI69" s="14">
        <f>IF('Données projet'!$A$62&gt;35,AI68+AH69-AQ68,IF(A69&lt;'Données projet'!$A$62,$AF$205^A69,IF(A69='Données projet'!$A$62,'Données projet'!$B$62,AI68+AH69-AQ68)))</f>
        <v>430.00000000000017</v>
      </c>
      <c r="AJ69" s="14">
        <f>AI69*VLOOKUP('Données projet'!$B$10,Paramètres!$A$1:$I$88,3,0)*VLOOKUP('Données projet'!$B$10,Paramètres!$A$1:$I$88,5,0)</f>
        <v>268.32000000000011</v>
      </c>
      <c r="AK69" s="14">
        <f t="shared" ref="AK69:AK132" si="89">EXP(-1.0587+0.8836*LN(AJ69)+0.284)</f>
        <v>64.492601473092478</v>
      </c>
      <c r="AL69" s="22">
        <f t="shared" si="58"/>
        <v>579.64861423230298</v>
      </c>
      <c r="AM69" s="62">
        <f t="shared" si="59"/>
        <v>872.98194756563635</v>
      </c>
      <c r="AN69" s="62">
        <f ca="1">AVERAGE(OFFSET($AM$3,0,0,'Données projet'!$E$10+1,1))-AVERAGE(OFFSET($H$3,0,0,'Données projet'!$E$10+1,1))</f>
        <v>272.66985936980086</v>
      </c>
      <c r="AO69" s="62">
        <f t="shared" ref="AO69:AO132" si="90">$AO$3</f>
        <v>320.12040114313697</v>
      </c>
      <c r="AP69" s="16">
        <f>IF(ISNA(VLOOKUP(A69,'Données projet'!$A$61:$I$81,3,0)),0,VLOOKUP(A69,'Données projet'!$A$61:$I$81,3,0))</f>
        <v>10</v>
      </c>
      <c r="AQ69" s="16">
        <f>IF(ISNA(VLOOKUP(A69,'Données projet'!$A$61:$I$81,4,0)),0,VLOOKUP(A69,'Données projet'!$A$61:$I$81,4,0))</f>
        <v>45.5</v>
      </c>
      <c r="AR69" s="17">
        <f>IF(ISNA(VLOOKUP(A69,'Données projet'!$A$61:$I$81,5,0)),0%,VLOOKUP(A69,'Données projet'!$A$61:$I$81,5,0)*VLOOKUP('Données projet'!$B$10,Paramètres!$A$1:$I$88,7,0))</f>
        <v>0.36</v>
      </c>
      <c r="AS69" s="17">
        <f>IF(ISNA(VLOOKUP(A69,'Données projet'!$A$61:$I$81,6,0)),0%,VLOOKUP(A69,'Données projet'!$A$61:$I$81,6,0)*VLOOKUP('Données projet'!$B$10,Paramètres!$A$1:$I$88,7,0))</f>
        <v>0.13440000000000002</v>
      </c>
      <c r="AT69" s="17">
        <f>IF(ISNA(VLOOKUP(A69,'Données projet'!$A$61:$I$81,7,0)),0%,VLOOKUP(A69,'Données projet'!$A$61:$I$81,7,0))</f>
        <v>0.17600000000000002</v>
      </c>
      <c r="AU69" s="23">
        <f>EXP(-LN(2)/35)*AU68+(1-EXP(-LN(2)/35))/(LN(2)/35)*AQ69*AR69*VLOOKUP('Données projet'!$B$10,Paramètres!$A$1:$I$88,3,0)*0.475*44/12</f>
        <v>47.237882270412427</v>
      </c>
      <c r="AV69" s="23">
        <f>EXP(-LN(2)/25)*AV68+(1-EXP(-LN(2)/25))/(LN(2)/25)*Calculateur!AQ69*Calculateur!AS69*VLOOKUP('Données projet'!$B$10,Paramètres!$A$1:$I$88,3,0)*0.475*44/12</f>
        <v>52.864741315798028</v>
      </c>
      <c r="AW69" s="23">
        <f>EXP(-LN(2)/2)*AW68+(1-EXP(-LN(2)/2))/(LN(2)/2)*AQ69*AT69*VLOOKUP('Données projet'!$B$10,Paramètres!$A$1:$I$88,3,0)*0.475*44/12</f>
        <v>6.5298974344159424</v>
      </c>
      <c r="AX69" s="23">
        <f t="shared" si="60"/>
        <v>106.6325210206264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9</v>
      </c>
      <c r="BD69" s="13">
        <f>IF('Données projet'!$A$88&gt;35,BD68+BC69-BL68,IF(A69&lt;'Données projet'!$A$88,$BA$205^A69,IF(A69='Données projet'!$A$88,'Données projet'!$B$88,BD68+BC69-BL68)))</f>
        <v>384</v>
      </c>
      <c r="BE69" s="14">
        <f>BD69*VLOOKUP('Données projet'!$B$11,Paramètres!$A$1:$I$88,3,0)*VLOOKUP('Données projet'!$B$11,Paramètres!$A$1:$I$88,5,0)</f>
        <v>179.71200000000002</v>
      </c>
      <c r="BF69" s="14">
        <f t="shared" ref="BF69:BF132" si="91">EXP(-1.0587+0.8836*LN(BE69)+0.284)</f>
        <v>45.258105502458051</v>
      </c>
      <c r="BG69" s="22">
        <f t="shared" si="61"/>
        <v>391.82293375011449</v>
      </c>
      <c r="BH69" s="62">
        <f t="shared" si="62"/>
        <v>685.1562670834478</v>
      </c>
      <c r="BI69" s="62">
        <f ca="1">AVERAGE(OFFSET($BH$3,0,0,'Données projet'!$E$11+1,1))-AVERAGE(OFFSET($H$3,0,0,'Données projet'!$E$11+1,1))</f>
        <v>164.93326103756453</v>
      </c>
      <c r="BJ69" s="62">
        <f t="shared" ref="BJ69:BJ132" si="92">$BJ$3</f>
        <v>115.86489547584461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6.7631016980045304</v>
      </c>
      <c r="BQ69" s="23">
        <f>EXP(-LN(2)/25)*BQ68+(1-EXP(-LN(2)/25))/(LN(2)/25)*Calculateur!BL69*Calculateur!BN69*VLOOKUP('Données projet'!$B$11,Paramètres!$A$1:$I$88,3,0)*0.475*44/12</f>
        <v>11.608306669772755</v>
      </c>
      <c r="BR69" s="23">
        <f>EXP(-LN(2)/2)*BR68+(1-EXP(-LN(2)/2))/(LN(2)/2)*BL69*BO69*VLOOKUP('Données projet'!$B$11,Paramètres!$A$1:$I$88,3,0)*0.475*44/12</f>
        <v>0.54738992770406192</v>
      </c>
      <c r="BS69" s="24">
        <f t="shared" si="63"/>
        <v>18.918798295481345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426.81035694685789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-3.4106051316484809E-13</v>
      </c>
      <c r="O70" s="14">
        <f>N70*VLOOKUP('Données projet'!$B$9,Paramètres!$A$1:$I$88,3,0)*VLOOKUP('Données projet'!$B$9,Paramètres!$A$1:$I$88,5,0)</f>
        <v>-1.9065282685915009E-13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461.42631729930201</v>
      </c>
      <c r="T70" s="62">
        <f t="shared" si="88"/>
        <v>570.46734160592086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278.27130999596119</v>
      </c>
      <c r="AA70" s="23">
        <f>EXP(-LN(2)/25)*AA69+(1-EXP(-LN(2)/25))/(LN(2)/25)*Calculateur!V70*Calculateur!X70*VLOOKUP('Données projet'!$B$9,Paramètres!$A$1:$I$88,3,0)*0.475*44/12</f>
        <v>74.446811532048102</v>
      </c>
      <c r="AB70" s="23">
        <f>EXP(-LN(2)/2)*AB69+(1-EXP(-LN(2)/2))/(LN(2)/2)*V70*Y70*VLOOKUP('Données projet'!$B$9,Paramètres!$A$1:$I$88,3,0)*0.475*44/12</f>
        <v>22.362430915025378</v>
      </c>
      <c r="AC70" s="24">
        <f t="shared" si="57"/>
        <v>375.08055244303466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10.416666666666666</v>
      </c>
      <c r="AI70" s="14">
        <f>IF('Données projet'!$A$62&gt;35,AI69+AH70-AQ69,IF(A70&lt;'Données projet'!$A$62,$AF$205^A70,IF(A70='Données projet'!$A$62,'Données projet'!$B$62,AI69+AH70-AQ69)))</f>
        <v>394.91666666666686</v>
      </c>
      <c r="AJ70" s="14">
        <f>AI70*VLOOKUP('Données projet'!$B$10,Paramètres!$A$1:$I$88,3,0)*VLOOKUP('Données projet'!$B$10,Paramètres!$A$1:$I$88,5,0)</f>
        <v>246.42800000000011</v>
      </c>
      <c r="AK70" s="14">
        <f t="shared" si="89"/>
        <v>59.820411352369689</v>
      </c>
      <c r="AL70" s="22">
        <f t="shared" si="58"/>
        <v>533.38264977204392</v>
      </c>
      <c r="AM70" s="62">
        <f t="shared" si="59"/>
        <v>826.71598310537729</v>
      </c>
      <c r="AN70" s="62">
        <f ca="1">AVERAGE(OFFSET($AM$3,0,0,'Données projet'!$E$10+1,1))-AVERAGE(OFFSET($H$3,0,0,'Données projet'!$E$10+1,1))</f>
        <v>272.66985936980086</v>
      </c>
      <c r="AO70" s="62">
        <f t="shared" si="90"/>
        <v>320.12040114313697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46.31157621135285</v>
      </c>
      <c r="AV70" s="23">
        <f>EXP(-LN(2)/25)*AV69+(1-EXP(-LN(2)/25))/(LN(2)/25)*Calculateur!AQ70*Calculateur!AS70*VLOOKUP('Données projet'!$B$10,Paramètres!$A$1:$I$88,3,0)*0.475*44/12</f>
        <v>51.419152184481611</v>
      </c>
      <c r="AW70" s="23">
        <f>EXP(-LN(2)/2)*AW69+(1-EXP(-LN(2)/2))/(LN(2)/2)*AQ70*AT70*VLOOKUP('Données projet'!$B$10,Paramètres!$A$1:$I$88,3,0)*0.475*44/12</f>
        <v>4.6173347563281517</v>
      </c>
      <c r="AX70" s="23">
        <f t="shared" si="60"/>
        <v>102.34806315216261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9</v>
      </c>
      <c r="BD70" s="13">
        <f>IF('Données projet'!$A$88&gt;35,BD69+BC70-BL69,IF(A70&lt;'Données projet'!$A$88,$BA$205^A70,IF(A70='Données projet'!$A$88,'Données projet'!$B$88,BD69+BC70-BL69)))</f>
        <v>393</v>
      </c>
      <c r="BE70" s="14">
        <f>BD70*VLOOKUP('Données projet'!$B$11,Paramètres!$A$1:$I$88,3,0)*VLOOKUP('Données projet'!$B$11,Paramètres!$A$1:$I$88,5,0)</f>
        <v>183.92400000000001</v>
      </c>
      <c r="BF70" s="14">
        <f t="shared" si="91"/>
        <v>46.194105104770117</v>
      </c>
      <c r="BG70" s="22">
        <f t="shared" si="61"/>
        <v>400.78903305747463</v>
      </c>
      <c r="BH70" s="62">
        <f t="shared" si="62"/>
        <v>694.12236639080788</v>
      </c>
      <c r="BI70" s="62">
        <f ca="1">AVERAGE(OFFSET($BH$3,0,0,'Données projet'!$E$11+1,1))-AVERAGE(OFFSET($H$3,0,0,'Données projet'!$E$11+1,1))</f>
        <v>164.93326103756453</v>
      </c>
      <c r="BJ70" s="62">
        <f t="shared" si="92"/>
        <v>115.86489547584461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6.6304813987913791</v>
      </c>
      <c r="BQ70" s="23">
        <f>EXP(-LN(2)/25)*BQ69+(1-EXP(-LN(2)/25))/(LN(2)/25)*Calculateur!BL70*Calculateur!BN70*VLOOKUP('Données projet'!$B$11,Paramètres!$A$1:$I$88,3,0)*0.475*44/12</f>
        <v>11.290876913433502</v>
      </c>
      <c r="BR70" s="23">
        <f>EXP(-LN(2)/2)*BR69+(1-EXP(-LN(2)/2))/(LN(2)/2)*BL70*BO70*VLOOKUP('Données projet'!$B$11,Paramètres!$A$1:$I$88,3,0)*0.475*44/12</f>
        <v>0.3870631298327562</v>
      </c>
      <c r="BS70" s="24">
        <f t="shared" si="63"/>
        <v>18.308421442057639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428.75058888536569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-3.4106051316484809E-13</v>
      </c>
      <c r="O71" s="14">
        <f>N71*VLOOKUP('Données projet'!$B$9,Paramètres!$A$1:$I$88,3,0)*VLOOKUP('Données projet'!$B$9,Paramètres!$A$1:$I$88,5,0)</f>
        <v>-1.9065282685915009E-13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461.42631729930201</v>
      </c>
      <c r="T71" s="62">
        <f t="shared" si="88"/>
        <v>570.46734160592086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272.81457933568015</v>
      </c>
      <c r="AA71" s="23">
        <f>EXP(-LN(2)/25)*AA70+(1-EXP(-LN(2)/25))/(LN(2)/25)*Calculateur!V71*Calculateur!X71*VLOOKUP('Données projet'!$B$9,Paramètres!$A$1:$I$88,3,0)*0.475*44/12</f>
        <v>72.411059555716577</v>
      </c>
      <c r="AB71" s="23">
        <f>EXP(-LN(2)/2)*AB70+(1-EXP(-LN(2)/2))/(LN(2)/2)*V71*Y71*VLOOKUP('Données projet'!$B$9,Paramètres!$A$1:$I$88,3,0)*0.475*44/12</f>
        <v>15.812626543830136</v>
      </c>
      <c r="AC71" s="24">
        <f t="shared" si="57"/>
        <v>361.03826543522689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10.416666666666666</v>
      </c>
      <c r="AI71" s="14">
        <f>IF('Données projet'!$A$62&gt;35,AI70+AH71-AQ70,IF(A71&lt;'Données projet'!$A$62,$AF$205^A71,IF(A71='Données projet'!$A$62,'Données projet'!$B$62,AI70+AH71-AQ70)))</f>
        <v>405.33333333333354</v>
      </c>
      <c r="AJ71" s="14">
        <f>AI71*VLOOKUP('Données projet'!$B$10,Paramètres!$A$1:$I$88,3,0)*VLOOKUP('Données projet'!$B$10,Paramètres!$A$1:$I$88,5,0)</f>
        <v>252.92800000000011</v>
      </c>
      <c r="AK71" s="14">
        <f t="shared" si="89"/>
        <v>61.212502456770224</v>
      </c>
      <c r="AL71" s="22">
        <f t="shared" si="58"/>
        <v>547.12804177887494</v>
      </c>
      <c r="AM71" s="62">
        <f t="shared" si="59"/>
        <v>840.46137511220832</v>
      </c>
      <c r="AN71" s="62">
        <f ca="1">AVERAGE(OFFSET($AM$3,0,0,'Données projet'!$E$10+1,1))-AVERAGE(OFFSET($H$3,0,0,'Données projet'!$E$10+1,1))</f>
        <v>272.66985936980086</v>
      </c>
      <c r="AO71" s="62">
        <f t="shared" si="90"/>
        <v>320.12040114313697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45.403434449120525</v>
      </c>
      <c r="AV71" s="23">
        <f>EXP(-LN(2)/25)*AV70+(1-EXP(-LN(2)/25))/(LN(2)/25)*Calculateur!AQ71*Calculateur!AS71*VLOOKUP('Données projet'!$B$10,Paramètres!$A$1:$I$88,3,0)*0.475*44/12</f>
        <v>50.01309276398127</v>
      </c>
      <c r="AW71" s="23">
        <f>EXP(-LN(2)/2)*AW70+(1-EXP(-LN(2)/2))/(LN(2)/2)*AQ71*AT71*VLOOKUP('Données projet'!$B$10,Paramètres!$A$1:$I$88,3,0)*0.475*44/12</f>
        <v>3.2649487172079712</v>
      </c>
      <c r="AX71" s="23">
        <f t="shared" si="60"/>
        <v>98.681475930309773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9</v>
      </c>
      <c r="BD71" s="13">
        <f>IF('Données projet'!$A$88&gt;35,BD70+BC71-BL70,IF(A71&lt;'Données projet'!$A$88,$BA$205^A71,IF(A71='Données projet'!$A$88,'Données projet'!$B$88,BD70+BC71-BL70)))</f>
        <v>402</v>
      </c>
      <c r="BE71" s="14">
        <f>BD71*VLOOKUP('Données projet'!$B$11,Paramètres!$A$1:$I$88,3,0)*VLOOKUP('Données projet'!$B$11,Paramètres!$A$1:$I$88,5,0)</f>
        <v>188.136</v>
      </c>
      <c r="BF71" s="14">
        <f t="shared" si="91"/>
        <v>47.127612753105289</v>
      </c>
      <c r="BG71" s="22">
        <f t="shared" si="61"/>
        <v>409.75079221165839</v>
      </c>
      <c r="BH71" s="62">
        <f t="shared" si="62"/>
        <v>703.08412554499171</v>
      </c>
      <c r="BI71" s="62">
        <f ca="1">AVERAGE(OFFSET($BH$3,0,0,'Données projet'!$E$11+1,1))-AVERAGE(OFFSET($H$3,0,0,'Données projet'!$E$11+1,1))</f>
        <v>164.93326103756453</v>
      </c>
      <c r="BJ71" s="62">
        <f t="shared" si="92"/>
        <v>115.86489547584461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6.5004617027554028</v>
      </c>
      <c r="BQ71" s="23">
        <f>EXP(-LN(2)/25)*BQ70+(1-EXP(-LN(2)/25))/(LN(2)/25)*Calculateur!BL71*Calculateur!BN71*VLOOKUP('Données projet'!$B$11,Paramètres!$A$1:$I$88,3,0)*0.475*44/12</f>
        <v>10.982127290474251</v>
      </c>
      <c r="BR71" s="23">
        <f>EXP(-LN(2)/2)*BR70+(1-EXP(-LN(2)/2))/(LN(2)/2)*BL71*BO71*VLOOKUP('Données projet'!$B$11,Paramètres!$A$1:$I$88,3,0)*0.475*44/12</f>
        <v>0.27369496385203101</v>
      </c>
      <c r="BS71" s="24">
        <f t="shared" si="63"/>
        <v>17.756283957081685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430.69015114398906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-3.4106051316484809E-13</v>
      </c>
      <c r="O72" s="14">
        <f>N72*VLOOKUP('Données projet'!$B$9,Paramètres!$A$1:$I$88,3,0)*VLOOKUP('Données projet'!$B$9,Paramètres!$A$1:$I$88,5,0)</f>
        <v>-1.9065282685915009E-13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461.42631729930201</v>
      </c>
      <c r="T72" s="62">
        <f t="shared" si="88"/>
        <v>570.46734160592086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267.46485183537015</v>
      </c>
      <c r="AA72" s="23">
        <f>EXP(-LN(2)/25)*AA71+(1-EXP(-LN(2)/25))/(LN(2)/25)*Calculateur!V72*Calculateur!X72*VLOOKUP('Données projet'!$B$9,Paramètres!$A$1:$I$88,3,0)*0.475*44/12</f>
        <v>70.430975324233387</v>
      </c>
      <c r="AB72" s="23">
        <f>EXP(-LN(2)/2)*AB71+(1-EXP(-LN(2)/2))/(LN(2)/2)*V72*Y72*VLOOKUP('Données projet'!$B$9,Paramètres!$A$1:$I$88,3,0)*0.475*44/12</f>
        <v>11.181215457512691</v>
      </c>
      <c r="AC72" s="24">
        <f t="shared" si="57"/>
        <v>349.07704261711621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10.416666666666666</v>
      </c>
      <c r="AI72" s="14">
        <f>IF('Données projet'!$A$62&gt;35,AI71+AH72-AQ71,IF(A72&lt;'Données projet'!$A$62,$AF$205^A72,IF(A72='Données projet'!$A$62,'Données projet'!$B$62,AI71+AH72-AQ71)))</f>
        <v>415.75000000000023</v>
      </c>
      <c r="AJ72" s="14">
        <f>AI72*VLOOKUP('Données projet'!$B$10,Paramètres!$A$1:$I$88,3,0)*VLOOKUP('Données projet'!$B$10,Paramètres!$A$1:$I$88,5,0)</f>
        <v>259.42800000000017</v>
      </c>
      <c r="AK72" s="14">
        <f t="shared" si="89"/>
        <v>62.600435046840602</v>
      </c>
      <c r="AL72" s="22">
        <f t="shared" si="58"/>
        <v>560.86619103991427</v>
      </c>
      <c r="AM72" s="62">
        <f t="shared" si="59"/>
        <v>854.19952437324764</v>
      </c>
      <c r="AN72" s="62">
        <f ca="1">AVERAGE(OFFSET($AM$3,0,0,'Données projet'!$E$10+1,1))-AVERAGE(OFFSET($H$3,0,0,'Données projet'!$E$10+1,1))</f>
        <v>272.66985936980086</v>
      </c>
      <c r="AO72" s="62">
        <f t="shared" si="90"/>
        <v>320.12040114313697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44.513100792933791</v>
      </c>
      <c r="AV72" s="23">
        <f>EXP(-LN(2)/25)*AV71+(1-EXP(-LN(2)/25))/(LN(2)/25)*Calculateur!AQ72*Calculateur!AS72*VLOOKUP('Données projet'!$B$10,Paramètres!$A$1:$I$88,3,0)*0.475*44/12</f>
        <v>48.645482112275957</v>
      </c>
      <c r="AW72" s="23">
        <f>EXP(-LN(2)/2)*AW71+(1-EXP(-LN(2)/2))/(LN(2)/2)*AQ72*AT72*VLOOKUP('Données projet'!$B$10,Paramètres!$A$1:$I$88,3,0)*0.475*44/12</f>
        <v>2.3086673781640759</v>
      </c>
      <c r="AX72" s="23">
        <f t="shared" si="60"/>
        <v>95.467250283373829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9</v>
      </c>
      <c r="BD72" s="13">
        <f>IF('Données projet'!$A$88&gt;35,BD71+BC72-BL71,IF(A72&lt;'Données projet'!$A$88,$BA$205^A72,IF(A72='Données projet'!$A$88,'Données projet'!$B$88,BD71+BC72-BL71)))</f>
        <v>411</v>
      </c>
      <c r="BE72" s="14">
        <f>BD72*VLOOKUP('Données projet'!$B$11,Paramètres!$A$1:$I$88,3,0)*VLOOKUP('Données projet'!$B$11,Paramètres!$A$1:$I$88,5,0)</f>
        <v>192.34800000000001</v>
      </c>
      <c r="BF72" s="14">
        <f t="shared" si="91"/>
        <v>48.058690660851909</v>
      </c>
      <c r="BG72" s="22">
        <f t="shared" si="61"/>
        <v>418.70831956765045</v>
      </c>
      <c r="BH72" s="62">
        <f t="shared" si="62"/>
        <v>712.04165290098376</v>
      </c>
      <c r="BI72" s="62">
        <f ca="1">AVERAGE(OFFSET($BH$3,0,0,'Données projet'!$E$11+1,1))-AVERAGE(OFFSET($H$3,0,0,'Données projet'!$E$11+1,1))</f>
        <v>164.93326103756453</v>
      </c>
      <c r="BJ72" s="62">
        <f t="shared" si="92"/>
        <v>115.86489547584461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6.3729916136545075</v>
      </c>
      <c r="BQ72" s="23">
        <f>EXP(-LN(2)/25)*BQ71+(1-EXP(-LN(2)/25))/(LN(2)/25)*Calculateur!BL72*Calculateur!BN72*VLOOKUP('Données projet'!$B$11,Paramètres!$A$1:$I$88,3,0)*0.475*44/12</f>
        <v>10.681820442191258</v>
      </c>
      <c r="BR72" s="23">
        <f>EXP(-LN(2)/2)*BR71+(1-EXP(-LN(2)/2))/(LN(2)/2)*BL72*BO72*VLOOKUP('Données projet'!$B$11,Paramètres!$A$1:$I$88,3,0)*0.475*44/12</f>
        <v>0.19353156491637813</v>
      </c>
      <c r="BS72" s="24">
        <f t="shared" si="63"/>
        <v>17.248343620762142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432.62905454958332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-3.4106051316484809E-13</v>
      </c>
      <c r="O73" s="14">
        <f>N73*VLOOKUP('Données projet'!$B$9,Paramètres!$A$1:$I$88,3,0)*VLOOKUP('Données projet'!$B$9,Paramètres!$A$1:$I$88,5,0)</f>
        <v>-1.9065282685915009E-13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461.42631729930201</v>
      </c>
      <c r="T73" s="62">
        <f t="shared" si="88"/>
        <v>570.46734160592086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262.22002922832968</v>
      </c>
      <c r="AA73" s="23">
        <f>EXP(-LN(2)/25)*AA72+(1-EXP(-LN(2)/25))/(LN(2)/25)*Calculateur!V73*Calculateur!X73*VLOOKUP('Données projet'!$B$9,Paramètres!$A$1:$I$88,3,0)*0.475*44/12</f>
        <v>68.505036600188205</v>
      </c>
      <c r="AB73" s="23">
        <f>EXP(-LN(2)/2)*AB72+(1-EXP(-LN(2)/2))/(LN(2)/2)*V73*Y73*VLOOKUP('Données projet'!$B$9,Paramètres!$A$1:$I$88,3,0)*0.475*44/12</f>
        <v>7.9063132719150699</v>
      </c>
      <c r="AC73" s="24">
        <f t="shared" si="57"/>
        <v>338.63137910043292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10.416666666666666</v>
      </c>
      <c r="AI73" s="14">
        <f>IF('Données projet'!$A$62&gt;35,AI72+AH73-AQ72,IF(A73&lt;'Données projet'!$A$62,$AF$205^A73,IF(A73='Données projet'!$A$62,'Données projet'!$B$62,AI72+AH73-AQ72)))</f>
        <v>426.16666666666691</v>
      </c>
      <c r="AJ73" s="14">
        <f>AI73*VLOOKUP('Données projet'!$B$10,Paramètres!$A$1:$I$88,3,0)*VLOOKUP('Données projet'!$B$10,Paramètres!$A$1:$I$88,5,0)</f>
        <v>265.92800000000017</v>
      </c>
      <c r="AK73" s="14">
        <f t="shared" si="89"/>
        <v>63.984325297756314</v>
      </c>
      <c r="AL73" s="22">
        <f t="shared" si="58"/>
        <v>574.59729989359255</v>
      </c>
      <c r="AM73" s="62">
        <f t="shared" si="59"/>
        <v>867.93063322692592</v>
      </c>
      <c r="AN73" s="62">
        <f ca="1">AVERAGE(OFFSET($AM$3,0,0,'Données projet'!$E$10+1,1))-AVERAGE(OFFSET($H$3,0,0,'Données projet'!$E$10+1,1))</f>
        <v>272.66985936980086</v>
      </c>
      <c r="AO73" s="62">
        <f t="shared" si="90"/>
        <v>320.12040114313697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43.640226036694976</v>
      </c>
      <c r="AV73" s="23">
        <f>EXP(-LN(2)/25)*AV72+(1-EXP(-LN(2)/25))/(LN(2)/25)*Calculateur!AQ73*Calculateur!AS73*VLOOKUP('Données projet'!$B$10,Paramètres!$A$1:$I$88,3,0)*0.475*44/12</f>
        <v>47.315268845761047</v>
      </c>
      <c r="AW73" s="23">
        <f>EXP(-LN(2)/2)*AW72+(1-EXP(-LN(2)/2))/(LN(2)/2)*AQ73*AT73*VLOOKUP('Données projet'!$B$10,Paramètres!$A$1:$I$88,3,0)*0.475*44/12</f>
        <v>1.6324743586039856</v>
      </c>
      <c r="AX73" s="23">
        <f t="shared" si="60"/>
        <v>92.587969241060009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420</v>
      </c>
      <c r="BB73" s="13">
        <f>VLOOKUP(A73,'Données projet'!$A$87:$I$107,9,0)</f>
        <v>9</v>
      </c>
      <c r="BC73" s="13">
        <f t="array" ref="BC73">INDEX(BB:BB,MIN(IF(ISNUMBER(BB73:BB269),ROW(BB73:BB269),"")))</f>
        <v>9</v>
      </c>
      <c r="BD73" s="13">
        <f>IF('Données projet'!$A$88&gt;35,BD72+BC73-BL72,IF(A73&lt;'Données projet'!$A$88,$BA$205^A73,IF(A73='Données projet'!$A$88,'Données projet'!$B$88,BD72+BC73-BL72)))</f>
        <v>420</v>
      </c>
      <c r="BE73" s="14">
        <f>BD73*VLOOKUP('Données projet'!$B$11,Paramètres!$A$1:$I$88,3,0)*VLOOKUP('Données projet'!$B$11,Paramètres!$A$1:$I$88,5,0)</f>
        <v>196.56</v>
      </c>
      <c r="BF73" s="14">
        <f t="shared" si="91"/>
        <v>48.987398161128091</v>
      </c>
      <c r="BG73" s="22">
        <f t="shared" si="61"/>
        <v>427.66171846396475</v>
      </c>
      <c r="BH73" s="62">
        <f t="shared" si="62"/>
        <v>720.99505179729806</v>
      </c>
      <c r="BI73" s="62">
        <f ca="1">AVERAGE(OFFSET($BH$3,0,0,'Données projet'!$E$11+1,1))-AVERAGE(OFFSET($H$3,0,0,'Données projet'!$E$11+1,1))</f>
        <v>164.93326103756453</v>
      </c>
      <c r="BJ73" s="62">
        <f t="shared" si="92"/>
        <v>115.86489547584461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30</v>
      </c>
      <c r="BM73" s="17">
        <f>IF(ISNA(VLOOKUP(A73,'Données projet'!$A$87:$I$107,5,0)),0%,VLOOKUP(A73,'Données projet'!$A$87:$I$107,5,0)*VLOOKUP('Données projet'!$B$11,Paramètres!$A$1:$I$88,7,0))</f>
        <v>0.22000000000000003</v>
      </c>
      <c r="BN73" s="17">
        <f>IF(ISNA(VLOOKUP(A73,'Données projet'!$A$87:$I$107,6,0)),0%,VLOOKUP(A73,'Données projet'!$A$87:$I$107,6,0)*VLOOKUP('Données projet'!$B$11,Paramètres!$A$1:$I$88,7,0))</f>
        <v>0.18480000000000002</v>
      </c>
      <c r="BO73" s="17">
        <f>IF(ISNA(VLOOKUP(A73,'Données projet'!$A$87:$I$107,7,0)),0%,VLOOKUP(A73,'Données projet'!$A$87:$I$107,7,0))</f>
        <v>0.26400000000000001</v>
      </c>
      <c r="BP73" s="23">
        <f>EXP(-LN(2)/35)*BP72+(1-EXP(-LN(2)/35))/(LN(2)/35)*BL73*BM73*VLOOKUP('Données projet'!$B$11,Paramètres!$A$1:$I$88,3,0)*0.475*44/12</f>
        <v>10.345513425213456</v>
      </c>
      <c r="BQ73" s="23">
        <f>EXP(-LN(2)/25)*BQ72+(1-EXP(-LN(2)/25))/(LN(2)/25)*Calculateur!BL73*Calculateur!BN73*VLOOKUP('Données projet'!$B$11,Paramètres!$A$1:$I$88,3,0)*0.475*44/12</f>
        <v>13.818066977768265</v>
      </c>
      <c r="BR73" s="23">
        <f>EXP(-LN(2)/2)*BR72+(1-EXP(-LN(2)/2))/(LN(2)/2)*BL73*BO73*VLOOKUP('Données projet'!$B$11,Paramètres!$A$1:$I$88,3,0)*0.475*44/12</f>
        <v>4.3335344266457128</v>
      </c>
      <c r="BS73" s="24">
        <f t="shared" si="63"/>
        <v>28.497114829627435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434.56730960190009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-3.4106051316484809E-13</v>
      </c>
      <c r="O74" s="14">
        <f>N74*VLOOKUP('Données projet'!$B$9,Paramètres!$A$1:$I$88,3,0)*VLOOKUP('Données projet'!$B$9,Paramètres!$A$1:$I$88,5,0)</f>
        <v>-1.9065282685915009E-13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461.42631729930201</v>
      </c>
      <c r="T74" s="62">
        <f t="shared" si="88"/>
        <v>570.46734160592086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257.07805439358737</v>
      </c>
      <c r="AA74" s="23">
        <f>EXP(-LN(2)/25)*AA73+(1-EXP(-LN(2)/25))/(LN(2)/25)*Calculateur!V74*Calculateur!X74*VLOOKUP('Données projet'!$B$9,Paramètres!$A$1:$I$88,3,0)*0.475*44/12</f>
        <v>66.631762771832754</v>
      </c>
      <c r="AB74" s="23">
        <f>EXP(-LN(2)/2)*AB73+(1-EXP(-LN(2)/2))/(LN(2)/2)*V74*Y74*VLOOKUP('Données projet'!$B$9,Paramètres!$A$1:$I$88,3,0)*0.475*44/12</f>
        <v>5.5906077287563463</v>
      </c>
      <c r="AC74" s="24">
        <f t="shared" si="57"/>
        <v>329.3004248941765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10.416666666666666</v>
      </c>
      <c r="AI74" s="14">
        <f>IF('Données projet'!$A$62&gt;35,AI73+AH74-AQ73,IF(A74&lt;'Données projet'!$A$62,$AF$205^A74,IF(A74='Données projet'!$A$62,'Données projet'!$B$62,AI73+AH74-AQ73)))</f>
        <v>436.5833333333336</v>
      </c>
      <c r="AJ74" s="14">
        <f>AI74*VLOOKUP('Données projet'!$B$10,Paramètres!$A$1:$I$88,3,0)*VLOOKUP('Données projet'!$B$10,Paramètres!$A$1:$I$88,5,0)</f>
        <v>272.42800000000017</v>
      </c>
      <c r="AK74" s="14">
        <f t="shared" si="89"/>
        <v>65.364283381628056</v>
      </c>
      <c r="AL74" s="22">
        <f t="shared" si="58"/>
        <v>588.32156022300251</v>
      </c>
      <c r="AM74" s="62">
        <f t="shared" si="59"/>
        <v>881.65489355633576</v>
      </c>
      <c r="AN74" s="62">
        <f ca="1">AVERAGE(OFFSET($AM$3,0,0,'Données projet'!$E$10+1,1))-AVERAGE(OFFSET($H$3,0,0,'Données projet'!$E$10+1,1))</f>
        <v>272.66985936980086</v>
      </c>
      <c r="AO74" s="62">
        <f t="shared" si="90"/>
        <v>320.12040114313697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42.784467822024972</v>
      </c>
      <c r="AV74" s="23">
        <f>EXP(-LN(2)/25)*AV73+(1-EXP(-LN(2)/25))/(LN(2)/25)*Calculateur!AQ74*Calculateur!AS74*VLOOKUP('Données projet'!$B$10,Paramètres!$A$1:$I$88,3,0)*0.475*44/12</f>
        <v>46.02143033097186</v>
      </c>
      <c r="AW74" s="23">
        <f>EXP(-LN(2)/2)*AW73+(1-EXP(-LN(2)/2))/(LN(2)/2)*AQ74*AT74*VLOOKUP('Données projet'!$B$10,Paramètres!$A$1:$I$88,3,0)*0.475*44/12</f>
        <v>1.1543336890820379</v>
      </c>
      <c r="AX74" s="23">
        <f t="shared" si="60"/>
        <v>89.960231842078869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8</v>
      </c>
      <c r="BD74" s="13">
        <f>IF('Données projet'!$A$88&gt;35,BD73+BC74-BL73,IF(A74&lt;'Données projet'!$A$88,$BA$205^A74,IF(A74='Données projet'!$A$88,'Données projet'!$B$88,BD73+BC74-BL73)))</f>
        <v>398</v>
      </c>
      <c r="BE74" s="14">
        <f>BD74*VLOOKUP('Données projet'!$B$11,Paramètres!$A$1:$I$88,3,0)*VLOOKUP('Données projet'!$B$11,Paramètres!$A$1:$I$88,5,0)</f>
        <v>186.26400000000001</v>
      </c>
      <c r="BF74" s="14">
        <f t="shared" si="91"/>
        <v>46.713024062159668</v>
      </c>
      <c r="BG74" s="22">
        <f t="shared" si="61"/>
        <v>405.7683169082614</v>
      </c>
      <c r="BH74" s="62">
        <f t="shared" si="62"/>
        <v>699.10165024159471</v>
      </c>
      <c r="BI74" s="62">
        <f ca="1">AVERAGE(OFFSET($BH$3,0,0,'Données projet'!$E$11+1,1))-AVERAGE(OFFSET($H$3,0,0,'Données projet'!$E$11+1,1))</f>
        <v>164.93326103756453</v>
      </c>
      <c r="BJ74" s="62">
        <f t="shared" si="92"/>
        <v>115.86489547584461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10.142644217085135</v>
      </c>
      <c r="BQ74" s="23">
        <f>EXP(-LN(2)/25)*BQ73+(1-EXP(-LN(2)/25))/(LN(2)/25)*Calculateur!BL74*Calculateur!BN74*VLOOKUP('Données projet'!$B$11,Paramètres!$A$1:$I$88,3,0)*0.475*44/12</f>
        <v>13.44021120960063</v>
      </c>
      <c r="BR74" s="23">
        <f>EXP(-LN(2)/2)*BR73+(1-EXP(-LN(2)/2))/(LN(2)/2)*BL74*BO74*VLOOKUP('Données projet'!$B$11,Paramètres!$A$1:$I$88,3,0)*0.475*44/12</f>
        <v>3.0642715795865407</v>
      </c>
      <c r="BS74" s="24">
        <f t="shared" si="63"/>
        <v>26.647127006272306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436.50492648793568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-3.4106051316484809E-13</v>
      </c>
      <c r="O75" s="14">
        <f>N75*VLOOKUP('Données projet'!$B$9,Paramètres!$A$1:$I$88,3,0)*VLOOKUP('Données projet'!$B$9,Paramètres!$A$1:$I$88,5,0)</f>
        <v>-1.9065282685915009E-13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461.42631729930201</v>
      </c>
      <c r="T75" s="62">
        <f t="shared" si="88"/>
        <v>570.46734160592086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252.03691054905937</v>
      </c>
      <c r="AA75" s="23">
        <f>EXP(-LN(2)/25)*AA74+(1-EXP(-LN(2)/25))/(LN(2)/25)*Calculateur!V75*Calculateur!X75*VLOOKUP('Données projet'!$B$9,Paramètres!$A$1:$I$88,3,0)*0.475*44/12</f>
        <v>64.809713714824866</v>
      </c>
      <c r="AB75" s="23">
        <f>EXP(-LN(2)/2)*AB74+(1-EXP(-LN(2)/2))/(LN(2)/2)*V75*Y75*VLOOKUP('Données projet'!$B$9,Paramètres!$A$1:$I$88,3,0)*0.475*44/12</f>
        <v>3.9531566359575354</v>
      </c>
      <c r="AC75" s="24">
        <f t="shared" si="57"/>
        <v>320.79978089984178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447</v>
      </c>
      <c r="AG75" s="13">
        <f>VLOOKUP(A75,'Données projet'!$A$61:$I$81,9,0)</f>
        <v>10.416666666666666</v>
      </c>
      <c r="AH75" s="13">
        <f t="array" ref="AH75">INDEX(AG:AG,MIN(IF(ISNUMBER(AG75:AG271),ROW(AG75:AG271),"")))</f>
        <v>10.416666666666666</v>
      </c>
      <c r="AI75" s="14">
        <f>IF('Données projet'!$A$62&gt;35,AI74+AH75-AQ74,IF(A75&lt;'Données projet'!$A$62,$AF$205^A75,IF(A75='Données projet'!$A$62,'Données projet'!$B$62,AI74+AH75-AQ74)))</f>
        <v>447.00000000000028</v>
      </c>
      <c r="AJ75" s="14">
        <f>AI75*VLOOKUP('Données projet'!$B$10,Paramètres!$A$1:$I$88,3,0)*VLOOKUP('Données projet'!$B$10,Paramètres!$A$1:$I$88,5,0)</f>
        <v>278.92800000000017</v>
      </c>
      <c r="AK75" s="14">
        <f t="shared" si="89"/>
        <v>66.740413913415424</v>
      </c>
      <c r="AL75" s="22">
        <f t="shared" si="58"/>
        <v>602.03915423253216</v>
      </c>
      <c r="AM75" s="62">
        <f t="shared" si="59"/>
        <v>895.37248756586541</v>
      </c>
      <c r="AN75" s="62">
        <f ca="1">AVERAGE(OFFSET($AM$3,0,0,'Données projet'!$E$10+1,1))-AVERAGE(OFFSET($H$3,0,0,'Données projet'!$E$10+1,1))</f>
        <v>272.66985936980086</v>
      </c>
      <c r="AO75" s="62">
        <f t="shared" si="90"/>
        <v>320.12040114313697</v>
      </c>
      <c r="AP75" s="16">
        <f>IF(ISNA(VLOOKUP(A75,'Données projet'!$A$61:$I$81,3,0)),0,VLOOKUP(A75,'Données projet'!$A$61:$I$81,3,0))</f>
        <v>11</v>
      </c>
      <c r="AQ75" s="16">
        <f>IF(ISNA(VLOOKUP(A75,'Données projet'!$A$61:$I$81,4,0)),0,VLOOKUP(A75,'Données projet'!$A$61:$I$81,4,0))</f>
        <v>447</v>
      </c>
      <c r="AR75" s="17">
        <f>IF(ISNA(VLOOKUP(A75,'Données projet'!$A$61:$I$81,5,0)),0%,VLOOKUP(A75,'Données projet'!$A$61:$I$81,5,0)*VLOOKUP('Données projet'!$B$10,Paramètres!$A$1:$I$88,7,0))</f>
        <v>0.48</v>
      </c>
      <c r="AS75" s="17">
        <f>IF(ISNA(VLOOKUP(A75,'Données projet'!$A$61:$I$81,6,0)),0%,VLOOKUP(A75,'Données projet'!$A$61:$I$81,6,0)*VLOOKUP('Données projet'!$B$10,Paramètres!$A$1:$I$88,7,0))</f>
        <v>6.6000000000000003E-2</v>
      </c>
      <c r="AT75" s="17">
        <f>IF(ISNA(VLOOKUP(A75,'Données projet'!$A$61:$I$81,7,0)),0%,VLOOKUP(A75,'Données projet'!$A$61:$I$81,7,0))</f>
        <v>0.09</v>
      </c>
      <c r="AU75" s="23">
        <f>EXP(-LN(2)/35)*AU74+(1-EXP(-LN(2)/35))/(LN(2)/35)*AQ75*AR75*VLOOKUP('Données projet'!$B$10,Paramètres!$A$1:$I$88,3,0)*0.475*44/12</f>
        <v>219.5531563088669</v>
      </c>
      <c r="AV75" s="23">
        <f>EXP(-LN(2)/25)*AV74+(1-EXP(-LN(2)/25))/(LN(2)/25)*Calculateur!AQ75*Calculateur!AS75*VLOOKUP('Données projet'!$B$10,Paramètres!$A$1:$I$88,3,0)*0.475*44/12</f>
        <v>69.087870951642287</v>
      </c>
      <c r="AW75" s="23">
        <f>EXP(-LN(2)/2)*AW74+(1-EXP(-LN(2)/2))/(LN(2)/2)*AQ75*AT75*VLOOKUP('Données projet'!$B$10,Paramètres!$A$1:$I$88,3,0)*0.475*44/12</f>
        <v>29.239253304903571</v>
      </c>
      <c r="AX75" s="23">
        <f t="shared" si="60"/>
        <v>317.88028056541276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8</v>
      </c>
      <c r="BD75" s="13">
        <f>IF('Données projet'!$A$88&gt;35,BD74+BC75-BL74,IF(A75&lt;'Données projet'!$A$88,$BA$205^A75,IF(A75='Données projet'!$A$88,'Données projet'!$B$88,BD74+BC75-BL74)))</f>
        <v>406</v>
      </c>
      <c r="BE75" s="14">
        <f>BD75*VLOOKUP('Données projet'!$B$11,Paramètres!$A$1:$I$88,3,0)*VLOOKUP('Données projet'!$B$11,Paramètres!$A$1:$I$88,5,0)</f>
        <v>190.00800000000001</v>
      </c>
      <c r="BF75" s="14">
        <f t="shared" si="91"/>
        <v>47.541721533308163</v>
      </c>
      <c r="BG75" s="22">
        <f t="shared" si="61"/>
        <v>413.73243167051174</v>
      </c>
      <c r="BH75" s="62">
        <f t="shared" si="62"/>
        <v>707.06576500384506</v>
      </c>
      <c r="BI75" s="62">
        <f ca="1">AVERAGE(OFFSET($BH$3,0,0,'Données projet'!$E$11+1,1))-AVERAGE(OFFSET($H$3,0,0,'Données projet'!$E$11+1,1))</f>
        <v>164.93326103756453</v>
      </c>
      <c r="BJ75" s="62">
        <f t="shared" si="92"/>
        <v>115.86489547584461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9.9437531503902115</v>
      </c>
      <c r="BQ75" s="23">
        <f>EXP(-LN(2)/25)*BQ74+(1-EXP(-LN(2)/25))/(LN(2)/25)*Calculateur!BL75*Calculateur!BN75*VLOOKUP('Données projet'!$B$11,Paramètres!$A$1:$I$88,3,0)*0.475*44/12</f>
        <v>13.072687927284111</v>
      </c>
      <c r="BR75" s="23">
        <f>EXP(-LN(2)/2)*BR74+(1-EXP(-LN(2)/2))/(LN(2)/2)*BL75*BO75*VLOOKUP('Données projet'!$B$11,Paramètres!$A$1:$I$88,3,0)*0.475*44/12</f>
        <v>2.1667672133228564</v>
      </c>
      <c r="BS75" s="24">
        <f t="shared" si="63"/>
        <v>25.183208290997179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438.44191509545817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-3.4106051316484809E-13</v>
      </c>
      <c r="O76" s="14">
        <f>N76*VLOOKUP('Données projet'!$B$9,Paramètres!$A$1:$I$88,3,0)*VLOOKUP('Données projet'!$B$9,Paramètres!$A$1:$I$88,5,0)</f>
        <v>-1.9065282685915009E-13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461.42631729930201</v>
      </c>
      <c r="T76" s="62">
        <f t="shared" si="88"/>
        <v>570.46734160592086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247.09462046052843</v>
      </c>
      <c r="AA76" s="23">
        <f>EXP(-LN(2)/25)*AA75+(1-EXP(-LN(2)/25))/(LN(2)/25)*Calculateur!V76*Calculateur!X76*VLOOKUP('Données projet'!$B$9,Paramètres!$A$1:$I$88,3,0)*0.475*44/12</f>
        <v>63.037488685098261</v>
      </c>
      <c r="AB76" s="23">
        <f>EXP(-LN(2)/2)*AB75+(1-EXP(-LN(2)/2))/(LN(2)/2)*V76*Y76*VLOOKUP('Données projet'!$B$9,Paramètres!$A$1:$I$88,3,0)*0.475*44/12</f>
        <v>2.7953038643781736</v>
      </c>
      <c r="AC76" s="24">
        <f t="shared" si="57"/>
        <v>312.9274130100049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2.8421709430404007E-13</v>
      </c>
      <c r="AJ76" s="14">
        <f>AI76*VLOOKUP('Données projet'!$B$10,Paramètres!$A$1:$I$88,3,0)*VLOOKUP('Données projet'!$B$10,Paramètres!$A$1:$I$88,5,0)</f>
        <v>1.7735146684572101E-13</v>
      </c>
      <c r="AK76" s="14">
        <f t="shared" si="89"/>
        <v>2.4924271921531257E-12</v>
      </c>
      <c r="AL76" s="22">
        <f t="shared" si="58"/>
        <v>4.6498644977563242E-12</v>
      </c>
      <c r="AM76" s="62">
        <f t="shared" si="59"/>
        <v>293.33333333333798</v>
      </c>
      <c r="AN76" s="62">
        <f ca="1">AVERAGE(OFFSET($AM$3,0,0,'Données projet'!$E$10+1,1))-AVERAGE(OFFSET($H$3,0,0,'Données projet'!$E$10+1,1))</f>
        <v>272.66985936980086</v>
      </c>
      <c r="AO76" s="62">
        <f t="shared" si="90"/>
        <v>320.12040114313697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215.24785282785245</v>
      </c>
      <c r="AV76" s="23">
        <f>EXP(-LN(2)/25)*AV75+(1-EXP(-LN(2)/25))/(LN(2)/25)*Calculateur!AQ76*Calculateur!AS76*VLOOKUP('Données projet'!$B$10,Paramètres!$A$1:$I$88,3,0)*0.475*44/12</f>
        <v>67.198659487296396</v>
      </c>
      <c r="AW76" s="23">
        <f>EXP(-LN(2)/2)*AW75+(1-EXP(-LN(2)/2))/(LN(2)/2)*AQ76*AT76*VLOOKUP('Données projet'!$B$10,Paramètres!$A$1:$I$88,3,0)*0.475*44/12</f>
        <v>20.675274288728488</v>
      </c>
      <c r="AX76" s="23">
        <f t="shared" si="60"/>
        <v>303.12178660387735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8</v>
      </c>
      <c r="BD76" s="13">
        <f>IF('Données projet'!$A$88&gt;35,BD75+BC76-BL75,IF(A76&lt;'Données projet'!$A$88,$BA$205^A76,IF(A76='Données projet'!$A$88,'Données projet'!$B$88,BD75+BC76-BL75)))</f>
        <v>414</v>
      </c>
      <c r="BE76" s="14">
        <f>BD76*VLOOKUP('Données projet'!$B$11,Paramètres!$A$1:$I$88,3,0)*VLOOKUP('Données projet'!$B$11,Paramètres!$A$1:$I$88,5,0)</f>
        <v>193.75200000000001</v>
      </c>
      <c r="BF76" s="14">
        <f t="shared" si="91"/>
        <v>48.368520355376113</v>
      </c>
      <c r="BG76" s="22">
        <f t="shared" si="61"/>
        <v>421.69323961894673</v>
      </c>
      <c r="BH76" s="62">
        <f t="shared" si="62"/>
        <v>715.02657295228005</v>
      </c>
      <c r="BI76" s="62">
        <f ca="1">AVERAGE(OFFSET($BH$3,0,0,'Données projet'!$E$11+1,1))-AVERAGE(OFFSET($H$3,0,0,'Données projet'!$E$11+1,1))</f>
        <v>164.93326103756453</v>
      </c>
      <c r="BJ76" s="62">
        <f t="shared" si="92"/>
        <v>115.86489547584461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9.7487622162016034</v>
      </c>
      <c r="BQ76" s="23">
        <f>EXP(-LN(2)/25)*BQ75+(1-EXP(-LN(2)/25))/(LN(2)/25)*Calculateur!BL76*Calculateur!BN76*VLOOKUP('Données projet'!$B$11,Paramètres!$A$1:$I$88,3,0)*0.475*44/12</f>
        <v>12.715214588449747</v>
      </c>
      <c r="BR76" s="23">
        <f>EXP(-LN(2)/2)*BR75+(1-EXP(-LN(2)/2))/(LN(2)/2)*BL76*BO76*VLOOKUP('Données projet'!$B$11,Paramètres!$A$1:$I$88,3,0)*0.475*44/12</f>
        <v>1.5321357897932704</v>
      </c>
      <c r="BS76" s="24">
        <f t="shared" si="63"/>
        <v>23.996112594444622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440.37828502577372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-3.4106051316484809E-13</v>
      </c>
      <c r="O77" s="14">
        <f>N77*VLOOKUP('Données projet'!$B$9,Paramètres!$A$1:$I$88,3,0)*VLOOKUP('Données projet'!$B$9,Paramètres!$A$1:$I$88,5,0)</f>
        <v>-1.9065282685915009E-13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461.42631729930201</v>
      </c>
      <c r="T77" s="62">
        <f t="shared" si="88"/>
        <v>570.46734160592086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242.2492456661343</v>
      </c>
      <c r="AA77" s="23">
        <f>EXP(-LN(2)/25)*AA76+(1-EXP(-LN(2)/25))/(LN(2)/25)*Calculateur!V77*Calculateur!X77*VLOOKUP('Données projet'!$B$9,Paramètres!$A$1:$I$88,3,0)*0.475*44/12</f>
        <v>61.31372524200679</v>
      </c>
      <c r="AB77" s="23">
        <f>EXP(-LN(2)/2)*AB76+(1-EXP(-LN(2)/2))/(LN(2)/2)*V77*Y77*VLOOKUP('Données projet'!$B$9,Paramètres!$A$1:$I$88,3,0)*0.475*44/12</f>
        <v>1.9765783179787679</v>
      </c>
      <c r="AC77" s="24">
        <f t="shared" si="57"/>
        <v>305.53954922611985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2.8421709430404007E-13</v>
      </c>
      <c r="AJ77" s="14">
        <f>AI77*VLOOKUP('Données projet'!$B$10,Paramètres!$A$1:$I$88,3,0)*VLOOKUP('Données projet'!$B$10,Paramètres!$A$1:$I$88,5,0)</f>
        <v>1.7735146684572101E-13</v>
      </c>
      <c r="AK77" s="14">
        <f t="shared" si="89"/>
        <v>2.4924271921531257E-12</v>
      </c>
      <c r="AL77" s="22">
        <f t="shared" si="58"/>
        <v>4.6498644977563242E-12</v>
      </c>
      <c r="AM77" s="62">
        <f t="shared" si="59"/>
        <v>293.33333333333798</v>
      </c>
      <c r="AN77" s="62">
        <f ca="1">AVERAGE(OFFSET($AM$3,0,0,'Données projet'!$E$10+1,1))-AVERAGE(OFFSET($H$3,0,0,'Données projet'!$E$10+1,1))</f>
        <v>272.66985936980086</v>
      </c>
      <c r="AO77" s="62">
        <f t="shared" si="90"/>
        <v>320.12040114313697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211.02697372212486</v>
      </c>
      <c r="AV77" s="23">
        <f>EXP(-LN(2)/25)*AV76+(1-EXP(-LN(2)/25))/(LN(2)/25)*Calculateur!AQ77*Calculateur!AS77*VLOOKUP('Données projet'!$B$10,Paramètres!$A$1:$I$88,3,0)*0.475*44/12</f>
        <v>65.361108609792353</v>
      </c>
      <c r="AW77" s="23">
        <f>EXP(-LN(2)/2)*AW76+(1-EXP(-LN(2)/2))/(LN(2)/2)*AQ77*AT77*VLOOKUP('Données projet'!$B$10,Paramètres!$A$1:$I$88,3,0)*0.475*44/12</f>
        <v>14.619626652451789</v>
      </c>
      <c r="AX77" s="23">
        <f t="shared" si="60"/>
        <v>291.007708984369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8</v>
      </c>
      <c r="BD77" s="13">
        <f>IF('Données projet'!$A$88&gt;35,BD76+BC77-BL76,IF(A77&lt;'Données projet'!$A$88,$BA$205^A77,IF(A77='Données projet'!$A$88,'Données projet'!$B$88,BD76+BC77-BL76)))</f>
        <v>422</v>
      </c>
      <c r="BE77" s="14">
        <f>BD77*VLOOKUP('Données projet'!$B$11,Paramètres!$A$1:$I$88,3,0)*VLOOKUP('Données projet'!$B$11,Paramètres!$A$1:$I$88,5,0)</f>
        <v>197.49599999999998</v>
      </c>
      <c r="BF77" s="14">
        <f t="shared" si="91"/>
        <v>49.193461446927081</v>
      </c>
      <c r="BG77" s="22">
        <f t="shared" si="61"/>
        <v>429.65081202006462</v>
      </c>
      <c r="BH77" s="62">
        <f t="shared" si="62"/>
        <v>722.98414535339793</v>
      </c>
      <c r="BI77" s="62">
        <f ca="1">AVERAGE(OFFSET($BH$3,0,0,'Données projet'!$E$11+1,1))-AVERAGE(OFFSET($H$3,0,0,'Données projet'!$E$11+1,1))</f>
        <v>164.93326103756453</v>
      </c>
      <c r="BJ77" s="62">
        <f t="shared" si="92"/>
        <v>115.86489547584461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9.5575949352997078</v>
      </c>
      <c r="BQ77" s="23">
        <f>EXP(-LN(2)/25)*BQ76+(1-EXP(-LN(2)/25))/(LN(2)/25)*Calculateur!BL77*Calculateur!BN77*VLOOKUP('Données projet'!$B$11,Paramètres!$A$1:$I$88,3,0)*0.475*44/12</f>
        <v>12.367516376864515</v>
      </c>
      <c r="BR77" s="23">
        <f>EXP(-LN(2)/2)*BR76+(1-EXP(-LN(2)/2))/(LN(2)/2)*BL77*BO77*VLOOKUP('Données projet'!$B$11,Paramètres!$A$1:$I$88,3,0)*0.475*44/12</f>
        <v>1.0833836066614282</v>
      </c>
      <c r="BS77" s="24">
        <f t="shared" si="63"/>
        <v>23.008494918825651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442.31404560578176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-3.4106051316484809E-13</v>
      </c>
      <c r="O78" s="14">
        <f>N78*VLOOKUP('Données projet'!$B$9,Paramètres!$A$1:$I$88,3,0)*VLOOKUP('Données projet'!$B$9,Paramètres!$A$1:$I$88,5,0)</f>
        <v>-1.9065282685915009E-13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461.42631729930201</v>
      </c>
      <c r="T78" s="62">
        <f t="shared" si="88"/>
        <v>570.46734160592086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237.49888571607141</v>
      </c>
      <c r="AA78" s="23">
        <f>EXP(-LN(2)/25)*AA77+(1-EXP(-LN(2)/25))/(LN(2)/25)*Calculateur!V78*Calculateur!X78*VLOOKUP('Données projet'!$B$9,Paramètres!$A$1:$I$88,3,0)*0.475*44/12</f>
        <v>59.637098200915439</v>
      </c>
      <c r="AB78" s="23">
        <f>EXP(-LN(2)/2)*AB77+(1-EXP(-LN(2)/2))/(LN(2)/2)*V78*Y78*VLOOKUP('Données projet'!$B$9,Paramètres!$A$1:$I$88,3,0)*0.475*44/12</f>
        <v>1.397651932189087</v>
      </c>
      <c r="AC78" s="24">
        <f t="shared" si="57"/>
        <v>298.53363584917594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2.8421709430404007E-13</v>
      </c>
      <c r="AJ78" s="14">
        <f>AI78*VLOOKUP('Données projet'!$B$10,Paramètres!$A$1:$I$88,3,0)*VLOOKUP('Données projet'!$B$10,Paramètres!$A$1:$I$88,5,0)</f>
        <v>1.7735146684572101E-13</v>
      </c>
      <c r="AK78" s="14">
        <f t="shared" si="89"/>
        <v>2.4924271921531257E-12</v>
      </c>
      <c r="AL78" s="22">
        <f t="shared" si="58"/>
        <v>4.6498644977563242E-12</v>
      </c>
      <c r="AM78" s="62">
        <f t="shared" si="59"/>
        <v>293.33333333333798</v>
      </c>
      <c r="AN78" s="62">
        <f ca="1">AVERAGE(OFFSET($AM$3,0,0,'Données projet'!$E$10+1,1))-AVERAGE(OFFSET($H$3,0,0,'Données projet'!$E$10+1,1))</f>
        <v>272.66985936980086</v>
      </c>
      <c r="AO78" s="62">
        <f t="shared" si="90"/>
        <v>320.12040114313697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206.88886348117853</v>
      </c>
      <c r="AV78" s="23">
        <f>EXP(-LN(2)/25)*AV77+(1-EXP(-LN(2)/25))/(LN(2)/25)*Calculateur!AQ78*Calculateur!AS78*VLOOKUP('Données projet'!$B$10,Paramètres!$A$1:$I$88,3,0)*0.475*44/12</f>
        <v>63.573805657666263</v>
      </c>
      <c r="AW78" s="23">
        <f>EXP(-LN(2)/2)*AW77+(1-EXP(-LN(2)/2))/(LN(2)/2)*AQ78*AT78*VLOOKUP('Données projet'!$B$10,Paramètres!$A$1:$I$88,3,0)*0.475*44/12</f>
        <v>10.337637144364246</v>
      </c>
      <c r="AX78" s="23">
        <f t="shared" si="60"/>
        <v>280.80030628320901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</v>
      </c>
      <c r="BD78" s="13">
        <f>IF('Données projet'!$A$88&gt;35,BD77+BC78-BL77,IF(A78&lt;'Données projet'!$A$88,$BA$205^A78,IF(A78='Données projet'!$A$88,'Données projet'!$B$88,BD77+BC78-BL77)))</f>
        <v>430</v>
      </c>
      <c r="BE78" s="14">
        <f>BD78*VLOOKUP('Données projet'!$B$11,Paramètres!$A$1:$I$88,3,0)*VLOOKUP('Données projet'!$B$11,Paramètres!$A$1:$I$88,5,0)</f>
        <v>201.23999999999998</v>
      </c>
      <c r="BF78" s="14">
        <f t="shared" si="91"/>
        <v>50.016584086333268</v>
      </c>
      <c r="BG78" s="22">
        <f t="shared" si="61"/>
        <v>437.60521728369707</v>
      </c>
      <c r="BH78" s="62">
        <f t="shared" si="62"/>
        <v>730.93855061703039</v>
      </c>
      <c r="BI78" s="62">
        <f ca="1">AVERAGE(OFFSET($BH$3,0,0,'Données projet'!$E$11+1,1))-AVERAGE(OFFSET($H$3,0,0,'Données projet'!$E$11+1,1))</f>
        <v>164.93326103756453</v>
      </c>
      <c r="BJ78" s="62">
        <f t="shared" si="92"/>
        <v>115.86489547584461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9.37017632817577</v>
      </c>
      <c r="BQ78" s="23">
        <f>EXP(-LN(2)/25)*BQ77+(1-EXP(-LN(2)/25))/(LN(2)/25)*Calculateur!BL78*Calculateur!BN78*VLOOKUP('Données projet'!$B$11,Paramètres!$A$1:$I$88,3,0)*0.475*44/12</f>
        <v>12.029325991159736</v>
      </c>
      <c r="BR78" s="23">
        <f>EXP(-LN(2)/2)*BR77+(1-EXP(-LN(2)/2))/(LN(2)/2)*BL78*BO78*VLOOKUP('Données projet'!$B$11,Paramètres!$A$1:$I$88,3,0)*0.475*44/12</f>
        <v>0.76606789489663518</v>
      </c>
      <c r="BS78" s="24">
        <f t="shared" si="63"/>
        <v>22.16557021423214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444.24920589937017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-3.4106051316484809E-13</v>
      </c>
      <c r="O79" s="14">
        <f>N79*VLOOKUP('Données projet'!$B$9,Paramètres!$A$1:$I$88,3,0)*VLOOKUP('Données projet'!$B$9,Paramètres!$A$1:$I$88,5,0)</f>
        <v>-1.9065282685915009E-13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461.42631729930201</v>
      </c>
      <c r="T79" s="62">
        <f t="shared" si="88"/>
        <v>570.46734160592086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232.8416774271958</v>
      </c>
      <c r="AA79" s="23">
        <f>EXP(-LN(2)/25)*AA78+(1-EXP(-LN(2)/25))/(LN(2)/25)*Calculateur!V79*Calculateur!X79*VLOOKUP('Données projet'!$B$9,Paramètres!$A$1:$I$88,3,0)*0.475*44/12</f>
        <v>58.006318614432715</v>
      </c>
      <c r="AB79" s="23">
        <f>EXP(-LN(2)/2)*AB78+(1-EXP(-LN(2)/2))/(LN(2)/2)*V79*Y79*VLOOKUP('Données projet'!$B$9,Paramètres!$A$1:$I$88,3,0)*0.475*44/12</f>
        <v>0.98828915898938419</v>
      </c>
      <c r="AC79" s="24">
        <f t="shared" si="57"/>
        <v>291.83628520061791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2.8421709430404007E-13</v>
      </c>
      <c r="AJ79" s="14">
        <f>AI79*VLOOKUP('Données projet'!$B$10,Paramètres!$A$1:$I$88,3,0)*VLOOKUP('Données projet'!$B$10,Paramètres!$A$1:$I$88,5,0)</f>
        <v>1.7735146684572101E-13</v>
      </c>
      <c r="AK79" s="14">
        <f t="shared" si="89"/>
        <v>2.4924271921531257E-12</v>
      </c>
      <c r="AL79" s="22">
        <f t="shared" si="58"/>
        <v>4.6498644977563242E-12</v>
      </c>
      <c r="AM79" s="62">
        <f t="shared" si="59"/>
        <v>293.33333333333798</v>
      </c>
      <c r="AN79" s="62">
        <f ca="1">AVERAGE(OFFSET($AM$3,0,0,'Données projet'!$E$10+1,1))-AVERAGE(OFFSET($H$3,0,0,'Données projet'!$E$10+1,1))</f>
        <v>272.66985936980086</v>
      </c>
      <c r="AO79" s="62">
        <f t="shared" si="90"/>
        <v>320.12040114313697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202.83189905805915</v>
      </c>
      <c r="AV79" s="23">
        <f>EXP(-LN(2)/25)*AV78+(1-EXP(-LN(2)/25))/(LN(2)/25)*Calculateur!AQ79*Calculateur!AS79*VLOOKUP('Données projet'!$B$10,Paramètres!$A$1:$I$88,3,0)*0.475*44/12</f>
        <v>61.835376598756241</v>
      </c>
      <c r="AW79" s="23">
        <f>EXP(-LN(2)/2)*AW78+(1-EXP(-LN(2)/2))/(LN(2)/2)*AQ79*AT79*VLOOKUP('Données projet'!$B$10,Paramètres!$A$1:$I$88,3,0)*0.475*44/12</f>
        <v>7.3098133262258953</v>
      </c>
      <c r="AX79" s="23">
        <f t="shared" si="60"/>
        <v>271.97708898304126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</v>
      </c>
      <c r="BD79" s="13">
        <f>IF('Données projet'!$A$88&gt;35,BD78+BC79-BL78,IF(A79&lt;'Données projet'!$A$88,$BA$205^A79,IF(A79='Données projet'!$A$88,'Données projet'!$B$88,BD78+BC79-BL78)))</f>
        <v>438</v>
      </c>
      <c r="BE79" s="14">
        <f>BD79*VLOOKUP('Données projet'!$B$11,Paramètres!$A$1:$I$88,3,0)*VLOOKUP('Données projet'!$B$11,Paramètres!$A$1:$I$88,5,0)</f>
        <v>204.98400000000001</v>
      </c>
      <c r="BF79" s="14">
        <f t="shared" si="91"/>
        <v>50.837926006791818</v>
      </c>
      <c r="BG79" s="22">
        <f t="shared" si="61"/>
        <v>445.55652112849572</v>
      </c>
      <c r="BH79" s="62">
        <f t="shared" si="62"/>
        <v>738.88985446182903</v>
      </c>
      <c r="BI79" s="62">
        <f ca="1">AVERAGE(OFFSET($BH$3,0,0,'Données projet'!$E$11+1,1))-AVERAGE(OFFSET($H$3,0,0,'Données projet'!$E$11+1,1))</f>
        <v>164.93326103756453</v>
      </c>
      <c r="BJ79" s="62">
        <f t="shared" si="92"/>
        <v>115.86489547584461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9.1864328856234696</v>
      </c>
      <c r="BQ79" s="23">
        <f>EXP(-LN(2)/25)*BQ78+(1-EXP(-LN(2)/25))/(LN(2)/25)*Calculateur!BL79*Calculateur!BN79*VLOOKUP('Données projet'!$B$11,Paramètres!$A$1:$I$88,3,0)*0.475*44/12</f>
        <v>11.700383439336711</v>
      </c>
      <c r="BR79" s="23">
        <f>EXP(-LN(2)/2)*BR78+(1-EXP(-LN(2)/2))/(LN(2)/2)*BL79*BO79*VLOOKUP('Données projet'!$B$11,Paramètres!$A$1:$I$88,3,0)*0.475*44/12</f>
        <v>0.54169180333071409</v>
      </c>
      <c r="BS79" s="24">
        <f t="shared" si="63"/>
        <v>21.428508128290893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446.18377471819281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-3.4106051316484809E-13</v>
      </c>
      <c r="O80" s="14">
        <f>N80*VLOOKUP('Données projet'!$B$9,Paramètres!$A$1:$I$88,3,0)*VLOOKUP('Données projet'!$B$9,Paramètres!$A$1:$I$88,5,0)</f>
        <v>-1.9065282685915009E-13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461.42631729930201</v>
      </c>
      <c r="T80" s="62">
        <f t="shared" si="88"/>
        <v>570.46734160592086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228.27579415224847</v>
      </c>
      <c r="AA80" s="23">
        <f>EXP(-LN(2)/25)*AA79+(1-EXP(-LN(2)/25))/(LN(2)/25)*Calculateur!V80*Calculateur!X80*VLOOKUP('Données projet'!$B$9,Paramètres!$A$1:$I$88,3,0)*0.475*44/12</f>
        <v>56.42013278150133</v>
      </c>
      <c r="AB80" s="23">
        <f>EXP(-LN(2)/2)*AB79+(1-EXP(-LN(2)/2))/(LN(2)/2)*V80*Y80*VLOOKUP('Données projet'!$B$9,Paramètres!$A$1:$I$88,3,0)*0.475*44/12</f>
        <v>0.69882596609454362</v>
      </c>
      <c r="AC80" s="24">
        <f t="shared" si="57"/>
        <v>285.39475289984432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2.8421709430404007E-13</v>
      </c>
      <c r="AJ80" s="14">
        <f>AI80*VLOOKUP('Données projet'!$B$10,Paramètres!$A$1:$I$88,3,0)*VLOOKUP('Données projet'!$B$10,Paramètres!$A$1:$I$88,5,0)</f>
        <v>1.7735146684572101E-13</v>
      </c>
      <c r="AK80" s="14">
        <f t="shared" si="89"/>
        <v>2.4924271921531257E-12</v>
      </c>
      <c r="AL80" s="22">
        <f t="shared" si="58"/>
        <v>4.6498644977563242E-12</v>
      </c>
      <c r="AM80" s="62">
        <f t="shared" si="59"/>
        <v>293.33333333333798</v>
      </c>
      <c r="AN80" s="62">
        <f ca="1">AVERAGE(OFFSET($AM$3,0,0,'Données projet'!$E$10+1,1))-AVERAGE(OFFSET($H$3,0,0,'Données projet'!$E$10+1,1))</f>
        <v>272.66985936980086</v>
      </c>
      <c r="AO80" s="62">
        <f t="shared" si="90"/>
        <v>320.12040114313697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198.85448923277318</v>
      </c>
      <c r="AV80" s="23">
        <f>EXP(-LN(2)/25)*AV79+(1-EXP(-LN(2)/25))/(LN(2)/25)*Calculateur!AQ80*Calculateur!AS80*VLOOKUP('Données projet'!$B$10,Paramètres!$A$1:$I$88,3,0)*0.475*44/12</f>
        <v>60.144484973882122</v>
      </c>
      <c r="AW80" s="23">
        <f>EXP(-LN(2)/2)*AW79+(1-EXP(-LN(2)/2))/(LN(2)/2)*AQ80*AT80*VLOOKUP('Données projet'!$B$10,Paramètres!$A$1:$I$88,3,0)*0.475*44/12</f>
        <v>5.1688185721821238</v>
      </c>
      <c r="AX80" s="23">
        <f t="shared" si="60"/>
        <v>264.16779277883745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</v>
      </c>
      <c r="BD80" s="13">
        <f>IF('Données projet'!$A$88&gt;35,BD79+BC80-BL79,IF(A80&lt;'Données projet'!$A$88,$BA$205^A80,IF(A80='Données projet'!$A$88,'Données projet'!$B$88,BD79+BC80-BL79)))</f>
        <v>446</v>
      </c>
      <c r="BE80" s="14">
        <f>BD80*VLOOKUP('Données projet'!$B$11,Paramètres!$A$1:$I$88,3,0)*VLOOKUP('Données projet'!$B$11,Paramètres!$A$1:$I$88,5,0)</f>
        <v>208.72800000000001</v>
      </c>
      <c r="BF80" s="14">
        <f t="shared" si="91"/>
        <v>51.657523484203345</v>
      </c>
      <c r="BG80" s="22">
        <f t="shared" si="61"/>
        <v>453.50478673498748</v>
      </c>
      <c r="BH80" s="62">
        <f t="shared" si="62"/>
        <v>746.83812006832079</v>
      </c>
      <c r="BI80" s="62">
        <f ca="1">AVERAGE(OFFSET($BH$3,0,0,'Données projet'!$E$11+1,1))-AVERAGE(OFFSET($H$3,0,0,'Données projet'!$E$11+1,1))</f>
        <v>164.93326103756453</v>
      </c>
      <c r="BJ80" s="62">
        <f t="shared" si="92"/>
        <v>115.86489547584461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9.0062925399071858</v>
      </c>
      <c r="BQ80" s="23">
        <f>EXP(-LN(2)/25)*BQ79+(1-EXP(-LN(2)/25))/(LN(2)/25)*Calculateur!BL80*Calculateur!BN80*VLOOKUP('Données projet'!$B$11,Paramètres!$A$1:$I$88,3,0)*0.475*44/12</f>
        <v>11.380435838891625</v>
      </c>
      <c r="BR80" s="23">
        <f>EXP(-LN(2)/2)*BR79+(1-EXP(-LN(2)/2))/(LN(2)/2)*BL80*BO80*VLOOKUP('Données projet'!$B$11,Paramètres!$A$1:$I$88,3,0)*0.475*44/12</f>
        <v>0.38303394744831759</v>
      </c>
      <c r="BS80" s="24">
        <f t="shared" si="63"/>
        <v>20.769762326247129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448.11776063187176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-3.4106051316484809E-13</v>
      </c>
      <c r="O81" s="14">
        <f>N81*VLOOKUP('Données projet'!$B$9,Paramètres!$A$1:$I$88,3,0)*VLOOKUP('Données projet'!$B$9,Paramètres!$A$1:$I$88,5,0)</f>
        <v>-1.9065282685915009E-13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461.42631729930201</v>
      </c>
      <c r="T81" s="62">
        <f t="shared" si="88"/>
        <v>570.46734160592086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223.79944506340905</v>
      </c>
      <c r="AA81" s="23">
        <f>EXP(-LN(2)/25)*AA80+(1-EXP(-LN(2)/25))/(LN(2)/25)*Calculateur!V81*Calculateur!X81*VLOOKUP('Données projet'!$B$9,Paramètres!$A$1:$I$88,3,0)*0.475*44/12</f>
        <v>54.877321283585346</v>
      </c>
      <c r="AB81" s="23">
        <f>EXP(-LN(2)/2)*AB80+(1-EXP(-LN(2)/2))/(LN(2)/2)*V81*Y81*VLOOKUP('Données projet'!$B$9,Paramètres!$A$1:$I$88,3,0)*0.475*44/12</f>
        <v>0.49414457949469215</v>
      </c>
      <c r="AC81" s="24">
        <f t="shared" si="57"/>
        <v>279.17091092648906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2.8421709430404007E-13</v>
      </c>
      <c r="AJ81" s="14">
        <f>AI81*VLOOKUP('Données projet'!$B$10,Paramètres!$A$1:$I$88,3,0)*VLOOKUP('Données projet'!$B$10,Paramètres!$A$1:$I$88,5,0)</f>
        <v>1.7735146684572101E-13</v>
      </c>
      <c r="AK81" s="14">
        <f t="shared" si="89"/>
        <v>2.4924271921531257E-12</v>
      </c>
      <c r="AL81" s="22">
        <f t="shared" si="58"/>
        <v>4.6498644977563242E-12</v>
      </c>
      <c r="AM81" s="62">
        <f t="shared" si="59"/>
        <v>293.33333333333798</v>
      </c>
      <c r="AN81" s="62">
        <f ca="1">AVERAGE(OFFSET($AM$3,0,0,'Données projet'!$E$10+1,1))-AVERAGE(OFFSET($H$3,0,0,'Données projet'!$E$10+1,1))</f>
        <v>272.66985936980086</v>
      </c>
      <c r="AO81" s="62">
        <f t="shared" si="90"/>
        <v>320.12040114313697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194.9550739881806</v>
      </c>
      <c r="AV81" s="23">
        <f>EXP(-LN(2)/25)*AV80+(1-EXP(-LN(2)/25))/(LN(2)/25)*Calculateur!AQ81*Calculateur!AS81*VLOOKUP('Données projet'!$B$10,Paramètres!$A$1:$I$88,3,0)*0.475*44/12</f>
        <v>58.49983086941031</v>
      </c>
      <c r="AW81" s="23">
        <f>EXP(-LN(2)/2)*AW80+(1-EXP(-LN(2)/2))/(LN(2)/2)*AQ81*AT81*VLOOKUP('Données projet'!$B$10,Paramètres!$A$1:$I$88,3,0)*0.475*44/12</f>
        <v>3.6549066631129481</v>
      </c>
      <c r="AX81" s="23">
        <f t="shared" si="60"/>
        <v>257.10981152070389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</v>
      </c>
      <c r="BD81" s="13">
        <f>IF('Données projet'!$A$88&gt;35,BD80+BC81-BL80,IF(A81&lt;'Données projet'!$A$88,$BA$205^A81,IF(A81='Données projet'!$A$88,'Données projet'!$B$88,BD80+BC81-BL80)))</f>
        <v>454</v>
      </c>
      <c r="BE81" s="14">
        <f>BD81*VLOOKUP('Données projet'!$B$11,Paramètres!$A$1:$I$88,3,0)*VLOOKUP('Données projet'!$B$11,Paramètres!$A$1:$I$88,5,0)</f>
        <v>212.47200000000001</v>
      </c>
      <c r="BF81" s="14">
        <f t="shared" si="91"/>
        <v>52.475411418566523</v>
      </c>
      <c r="BG81" s="22">
        <f t="shared" si="61"/>
        <v>461.45007488733671</v>
      </c>
      <c r="BH81" s="62">
        <f t="shared" si="62"/>
        <v>754.78340822067003</v>
      </c>
      <c r="BI81" s="62">
        <f ca="1">AVERAGE(OFFSET($BH$3,0,0,'Données projet'!$E$11+1,1))-AVERAGE(OFFSET($H$3,0,0,'Données projet'!$E$11+1,1))</f>
        <v>164.93326103756453</v>
      </c>
      <c r="BJ81" s="62">
        <f t="shared" si="92"/>
        <v>115.86489547584461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8.829684636495637</v>
      </c>
      <c r="BQ81" s="23">
        <f>EXP(-LN(2)/25)*BQ80+(1-EXP(-LN(2)/25))/(LN(2)/25)*Calculateur!BL81*Calculateur!BN81*VLOOKUP('Données projet'!$B$11,Paramètres!$A$1:$I$88,3,0)*0.475*44/12</f>
        <v>11.069237222406024</v>
      </c>
      <c r="BR81" s="23">
        <f>EXP(-LN(2)/2)*BR80+(1-EXP(-LN(2)/2))/(LN(2)/2)*BL81*BO81*VLOOKUP('Données projet'!$B$11,Paramètres!$A$1:$I$88,3,0)*0.475*44/12</f>
        <v>0.27084590166535705</v>
      </c>
      <c r="BS81" s="24">
        <f t="shared" si="63"/>
        <v>20.169767760567016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450.05117197766094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-3.4106051316484809E-13</v>
      </c>
      <c r="O82" s="14">
        <f>N82*VLOOKUP('Données projet'!$B$9,Paramètres!$A$1:$I$88,3,0)*VLOOKUP('Données projet'!$B$9,Paramètres!$A$1:$I$88,5,0)</f>
        <v>-1.9065282685915009E-13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461.42631729930201</v>
      </c>
      <c r="T82" s="62">
        <f t="shared" si="88"/>
        <v>570.46734160592086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219.41087444989842</v>
      </c>
      <c r="AA82" s="23">
        <f>EXP(-LN(2)/25)*AA81+(1-EXP(-LN(2)/25))/(LN(2)/25)*Calculateur!V82*Calculateur!X82*VLOOKUP('Données projet'!$B$9,Paramètres!$A$1:$I$88,3,0)*0.475*44/12</f>
        <v>53.376698047212805</v>
      </c>
      <c r="AB82" s="23">
        <f>EXP(-LN(2)/2)*AB81+(1-EXP(-LN(2)/2))/(LN(2)/2)*V82*Y82*VLOOKUP('Données projet'!$B$9,Paramètres!$A$1:$I$88,3,0)*0.475*44/12</f>
        <v>0.34941298304727186</v>
      </c>
      <c r="AC82" s="24">
        <f t="shared" si="57"/>
        <v>273.1369854801585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2.8421709430404007E-13</v>
      </c>
      <c r="AJ82" s="14">
        <f>AI82*VLOOKUP('Données projet'!$B$10,Paramètres!$A$1:$I$88,3,0)*VLOOKUP('Données projet'!$B$10,Paramètres!$A$1:$I$88,5,0)</f>
        <v>1.7735146684572101E-13</v>
      </c>
      <c r="AK82" s="14">
        <f t="shared" si="89"/>
        <v>2.4924271921531257E-12</v>
      </c>
      <c r="AL82" s="22">
        <f t="shared" si="58"/>
        <v>4.6498644977563242E-12</v>
      </c>
      <c r="AM82" s="62">
        <f t="shared" si="59"/>
        <v>293.33333333333798</v>
      </c>
      <c r="AN82" s="62">
        <f ca="1">AVERAGE(OFFSET($AM$3,0,0,'Données projet'!$E$10+1,1))-AVERAGE(OFFSET($H$3,0,0,'Données projet'!$E$10+1,1))</f>
        <v>272.66985936980086</v>
      </c>
      <c r="AO82" s="62">
        <f t="shared" si="90"/>
        <v>320.12040114313697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191.13212389812605</v>
      </c>
      <c r="AV82" s="23">
        <f>EXP(-LN(2)/25)*AV81+(1-EXP(-LN(2)/25))/(LN(2)/25)*Calculateur!AQ82*Calculateur!AS82*VLOOKUP('Données projet'!$B$10,Paramètres!$A$1:$I$88,3,0)*0.475*44/12</f>
        <v>56.900149917913886</v>
      </c>
      <c r="AW82" s="23">
        <f>EXP(-LN(2)/2)*AW81+(1-EXP(-LN(2)/2))/(LN(2)/2)*AQ82*AT82*VLOOKUP('Données projet'!$B$10,Paramètres!$A$1:$I$88,3,0)*0.475*44/12</f>
        <v>2.5844092860910624</v>
      </c>
      <c r="AX82" s="23">
        <f t="shared" si="60"/>
        <v>250.61668310213102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</v>
      </c>
      <c r="BD82" s="13">
        <f>IF('Données projet'!$A$88&gt;35,BD81+BC82-BL81,IF(A82&lt;'Données projet'!$A$88,$BA$205^A82,IF(A82='Données projet'!$A$88,'Données projet'!$B$88,BD81+BC82-BL81)))</f>
        <v>462</v>
      </c>
      <c r="BE82" s="14">
        <f>BD82*VLOOKUP('Données projet'!$B$11,Paramètres!$A$1:$I$88,3,0)*VLOOKUP('Données projet'!$B$11,Paramètres!$A$1:$I$88,5,0)</f>
        <v>216.21600000000001</v>
      </c>
      <c r="BF82" s="14">
        <f t="shared" si="91"/>
        <v>53.291623409473033</v>
      </c>
      <c r="BG82" s="22">
        <f t="shared" si="61"/>
        <v>469.39244410483212</v>
      </c>
      <c r="BH82" s="62">
        <f t="shared" si="62"/>
        <v>762.72577743816544</v>
      </c>
      <c r="BI82" s="62">
        <f ca="1">AVERAGE(OFFSET($BH$3,0,0,'Données projet'!$E$11+1,1))-AVERAGE(OFFSET($H$3,0,0,'Données projet'!$E$11+1,1))</f>
        <v>164.93326103756453</v>
      </c>
      <c r="BJ82" s="62">
        <f t="shared" si="92"/>
        <v>115.86489547584461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8.6565399063498045</v>
      </c>
      <c r="BQ82" s="23">
        <f>EXP(-LN(2)/25)*BQ81+(1-EXP(-LN(2)/25))/(LN(2)/25)*Calculateur!BL82*Calculateur!BN82*VLOOKUP('Données projet'!$B$11,Paramètres!$A$1:$I$88,3,0)*0.475*44/12</f>
        <v>10.766548348453444</v>
      </c>
      <c r="BR82" s="23">
        <f>EXP(-LN(2)/2)*BR81+(1-EXP(-LN(2)/2))/(LN(2)/2)*BL82*BO82*VLOOKUP('Données projet'!$B$11,Paramètres!$A$1:$I$88,3,0)*0.475*44/12</f>
        <v>0.1915169737241588</v>
      </c>
      <c r="BS82" s="24">
        <f t="shared" si="63"/>
        <v>19.614605228527406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451.98401686960722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-3.4106051316484809E-13</v>
      </c>
      <c r="O83" s="14">
        <f>N83*VLOOKUP('Données projet'!$B$9,Paramètres!$A$1:$I$88,3,0)*VLOOKUP('Données projet'!$B$9,Paramètres!$A$1:$I$88,5,0)</f>
        <v>-1.9065282685915009E-13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461.42631729930201</v>
      </c>
      <c r="T83" s="62">
        <f t="shared" si="88"/>
        <v>570.46734160592086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215.10836102935497</v>
      </c>
      <c r="AA83" s="23">
        <f>EXP(-LN(2)/25)*AA82+(1-EXP(-LN(2)/25))/(LN(2)/25)*Calculateur!V83*Calculateur!X83*VLOOKUP('Données projet'!$B$9,Paramètres!$A$1:$I$88,3,0)*0.475*44/12</f>
        <v>51.917109432153218</v>
      </c>
      <c r="AB83" s="23">
        <f>EXP(-LN(2)/2)*AB82+(1-EXP(-LN(2)/2))/(LN(2)/2)*V83*Y83*VLOOKUP('Données projet'!$B$9,Paramètres!$A$1:$I$88,3,0)*0.475*44/12</f>
        <v>0.24707228974734613</v>
      </c>
      <c r="AC83" s="24">
        <f t="shared" si="57"/>
        <v>267.27254275125551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2.8421709430404007E-13</v>
      </c>
      <c r="AJ83" s="14">
        <f>AI83*VLOOKUP('Données projet'!$B$10,Paramètres!$A$1:$I$88,3,0)*VLOOKUP('Données projet'!$B$10,Paramètres!$A$1:$I$88,5,0)</f>
        <v>1.7735146684572101E-13</v>
      </c>
      <c r="AK83" s="14">
        <f t="shared" si="89"/>
        <v>2.4924271921531257E-12</v>
      </c>
      <c r="AL83" s="22">
        <f t="shared" si="58"/>
        <v>4.6498644977563242E-12</v>
      </c>
      <c r="AM83" s="62">
        <f t="shared" si="59"/>
        <v>293.33333333333798</v>
      </c>
      <c r="AN83" s="62">
        <f ca="1">AVERAGE(OFFSET($AM$3,0,0,'Données projet'!$E$10+1,1))-AVERAGE(OFFSET($H$3,0,0,'Données projet'!$E$10+1,1))</f>
        <v>272.66985936980086</v>
      </c>
      <c r="AO83" s="62">
        <f t="shared" si="90"/>
        <v>320.12040114313697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187.38413952756815</v>
      </c>
      <c r="AV83" s="23">
        <f>EXP(-LN(2)/25)*AV82+(1-EXP(-LN(2)/25))/(LN(2)/25)*Calculateur!AQ83*Calculateur!AS83*VLOOKUP('Données projet'!$B$10,Paramètres!$A$1:$I$88,3,0)*0.475*44/12</f>
        <v>55.344212326159692</v>
      </c>
      <c r="AW83" s="23">
        <f>EXP(-LN(2)/2)*AW82+(1-EXP(-LN(2)/2))/(LN(2)/2)*AQ83*AT83*VLOOKUP('Données projet'!$B$10,Paramètres!$A$1:$I$88,3,0)*0.475*44/12</f>
        <v>1.8274533315564745</v>
      </c>
      <c r="AX83" s="23">
        <f t="shared" si="60"/>
        <v>244.55580518528433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470</v>
      </c>
      <c r="BB83" s="13">
        <f>VLOOKUP(A83,'Données projet'!$A$87:$I$107,9,0)</f>
        <v>8</v>
      </c>
      <c r="BC83" s="13">
        <f t="array" ref="BC83">INDEX(BB:BB,MIN(IF(ISNUMBER(BB83:BB279),ROW(BB83:BB279),"")))</f>
        <v>8</v>
      </c>
      <c r="BD83" s="13">
        <f>IF('Données projet'!$A$88&gt;35,BD82+BC83-BL82,IF(A83&lt;'Données projet'!$A$88,$BA$205^A83,IF(A83='Données projet'!$A$88,'Données projet'!$B$88,BD82+BC83-BL82)))</f>
        <v>470</v>
      </c>
      <c r="BE83" s="14">
        <f>BD83*VLOOKUP('Données projet'!$B$11,Paramètres!$A$1:$I$88,3,0)*VLOOKUP('Données projet'!$B$11,Paramètres!$A$1:$I$88,5,0)</f>
        <v>219.95999999999998</v>
      </c>
      <c r="BF83" s="14">
        <f t="shared" si="91"/>
        <v>54.106191826225746</v>
      </c>
      <c r="BG83" s="22">
        <f t="shared" si="61"/>
        <v>477.33195076400972</v>
      </c>
      <c r="BH83" s="62">
        <f t="shared" si="62"/>
        <v>770.66528409734303</v>
      </c>
      <c r="BI83" s="62">
        <f ca="1">AVERAGE(OFFSET($BH$3,0,0,'Données projet'!$E$11+1,1))-AVERAGE(OFFSET($H$3,0,0,'Données projet'!$E$11+1,1))</f>
        <v>164.93326103756453</v>
      </c>
      <c r="BJ83" s="62">
        <f t="shared" si="92"/>
        <v>115.86489547584461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30</v>
      </c>
      <c r="BM83" s="17">
        <f>IF(ISNA(VLOOKUP(A83,'Données projet'!$A$87:$I$107,5,0)),0%,VLOOKUP(A83,'Données projet'!$A$87:$I$107,5,0)*VLOOKUP('Données projet'!$B$11,Paramètres!$A$1:$I$88,7,0))</f>
        <v>0.33</v>
      </c>
      <c r="BN83" s="17">
        <f>IF(ISNA(VLOOKUP(A83,'Données projet'!$A$87:$I$107,6,0)),0%,VLOOKUP(A83,'Données projet'!$A$87:$I$107,6,0)*VLOOKUP('Données projet'!$B$11,Paramètres!$A$1:$I$88,7,0))</f>
        <v>0.12320000000000003</v>
      </c>
      <c r="BO83" s="17">
        <f>IF(ISNA(VLOOKUP(A83,'Données projet'!$A$87:$I$107,7,0)),0%,VLOOKUP(A83,'Données projet'!$A$87:$I$107,7,0))</f>
        <v>0.17600000000000002</v>
      </c>
      <c r="BP83" s="23">
        <f>EXP(-LN(2)/35)*BP82+(1-EXP(-LN(2)/35))/(LN(2)/35)*BL83*BM83*VLOOKUP('Données projet'!$B$11,Paramètres!$A$1:$I$88,3,0)*0.475*44/12</f>
        <v>14.633028873696752</v>
      </c>
      <c r="BQ83" s="23">
        <f>EXP(-LN(2)/25)*BQ82+(1-EXP(-LN(2)/25))/(LN(2)/25)*Calculateur!BL83*Calculateur!BN83*VLOOKUP('Données projet'!$B$11,Paramètres!$A$1:$I$88,3,0)*0.475*44/12</f>
        <v>12.757697502544316</v>
      </c>
      <c r="BR83" s="23">
        <f>EXP(-LN(2)/2)*BR82+(1-EXP(-LN(2)/2))/(LN(2)/2)*BL83*BO83*VLOOKUP('Données projet'!$B$11,Paramètres!$A$1:$I$88,3,0)*0.475*44/12</f>
        <v>2.9332142473124772</v>
      </c>
      <c r="BS83" s="24">
        <f t="shared" si="63"/>
        <v>30.323940623553547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453.91630320723971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-3.4106051316484809E-13</v>
      </c>
      <c r="O84" s="14">
        <f>N84*VLOOKUP('Données projet'!$B$9,Paramètres!$A$1:$I$88,3,0)*VLOOKUP('Données projet'!$B$9,Paramètres!$A$1:$I$88,5,0)</f>
        <v>-1.9065282685915009E-13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461.42631729930201</v>
      </c>
      <c r="T84" s="62">
        <f t="shared" si="88"/>
        <v>570.46734160592086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210.8902172727143</v>
      </c>
      <c r="AA84" s="23">
        <f>EXP(-LN(2)/25)*AA83+(1-EXP(-LN(2)/25))/(LN(2)/25)*Calculateur!V84*Calculateur!X84*VLOOKUP('Données projet'!$B$9,Paramètres!$A$1:$I$88,3,0)*0.475*44/12</f>
        <v>50.497433344528858</v>
      </c>
      <c r="AB84" s="23">
        <f>EXP(-LN(2)/2)*AB83+(1-EXP(-LN(2)/2))/(LN(2)/2)*V84*Y84*VLOOKUP('Données projet'!$B$9,Paramètres!$A$1:$I$88,3,0)*0.475*44/12</f>
        <v>0.17470649152363596</v>
      </c>
      <c r="AC84" s="24">
        <f t="shared" si="57"/>
        <v>261.56235710876678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2.8421709430404007E-13</v>
      </c>
      <c r="AJ84" s="14">
        <f>AI84*VLOOKUP('Données projet'!$B$10,Paramètres!$A$1:$I$88,3,0)*VLOOKUP('Données projet'!$B$10,Paramètres!$A$1:$I$88,5,0)</f>
        <v>1.7735146684572101E-13</v>
      </c>
      <c r="AK84" s="14">
        <f t="shared" si="89"/>
        <v>2.4924271921531257E-12</v>
      </c>
      <c r="AL84" s="22">
        <f t="shared" si="58"/>
        <v>4.6498644977563242E-12</v>
      </c>
      <c r="AM84" s="62">
        <f t="shared" si="59"/>
        <v>293.33333333333798</v>
      </c>
      <c r="AN84" s="62">
        <f ca="1">AVERAGE(OFFSET($AM$3,0,0,'Données projet'!$E$10+1,1))-AVERAGE(OFFSET($H$3,0,0,'Données projet'!$E$10+1,1))</f>
        <v>272.66985936980086</v>
      </c>
      <c r="AO84" s="62">
        <f t="shared" si="90"/>
        <v>320.12040114313697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183.70965084447215</v>
      </c>
      <c r="AV84" s="23">
        <f>EXP(-LN(2)/25)*AV83+(1-EXP(-LN(2)/25))/(LN(2)/25)*Calculateur!AQ84*Calculateur!AS84*VLOOKUP('Données projet'!$B$10,Paramètres!$A$1:$I$88,3,0)*0.475*44/12</f>
        <v>53.830821929675217</v>
      </c>
      <c r="AW84" s="23">
        <f>EXP(-LN(2)/2)*AW83+(1-EXP(-LN(2)/2))/(LN(2)/2)*AQ84*AT84*VLOOKUP('Données projet'!$B$10,Paramètres!$A$1:$I$88,3,0)*0.475*44/12</f>
        <v>1.2922046430455314</v>
      </c>
      <c r="AX84" s="23">
        <f t="shared" si="60"/>
        <v>238.83267741719288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</v>
      </c>
      <c r="BD84" s="13">
        <f>IF('Données projet'!$A$88&gt;35,BD83+BC84-BL83,IF(A84&lt;'Données projet'!$A$88,$BA$205^A84,IF(A84='Données projet'!$A$88,'Données projet'!$B$88,BD83+BC84-BL83)))</f>
        <v>445</v>
      </c>
      <c r="BE84" s="14">
        <f>BD84*VLOOKUP('Données projet'!$B$11,Paramètres!$A$1:$I$88,3,0)*VLOOKUP('Données projet'!$B$11,Paramètres!$A$1:$I$88,5,0)</f>
        <v>208.26</v>
      </c>
      <c r="BF84" s="14">
        <f t="shared" si="91"/>
        <v>51.555167993086684</v>
      </c>
      <c r="BG84" s="22">
        <f t="shared" si="61"/>
        <v>452.51141758795933</v>
      </c>
      <c r="BH84" s="62">
        <f t="shared" si="62"/>
        <v>745.84475092129264</v>
      </c>
      <c r="BI84" s="62">
        <f ca="1">AVERAGE(OFFSET($BH$3,0,0,'Données projet'!$E$11+1,1))-AVERAGE(OFFSET($H$3,0,0,'Données projet'!$E$11+1,1))</f>
        <v>164.93326103756453</v>
      </c>
      <c r="BJ84" s="62">
        <f t="shared" si="92"/>
        <v>115.86489547584461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14.346084102749874</v>
      </c>
      <c r="BQ84" s="23">
        <f>EXP(-LN(2)/25)*BQ83+(1-EXP(-LN(2)/25))/(LN(2)/25)*Calculateur!BL84*Calculateur!BN84*VLOOKUP('Données projet'!$B$11,Paramètres!$A$1:$I$88,3,0)*0.475*44/12</f>
        <v>12.408837593439088</v>
      </c>
      <c r="BR84" s="23">
        <f>EXP(-LN(2)/2)*BR83+(1-EXP(-LN(2)/2))/(LN(2)/2)*BL84*BO84*VLOOKUP('Données projet'!$B$11,Paramètres!$A$1:$I$88,3,0)*0.475*44/12</f>
        <v>2.0740956849476477</v>
      </c>
      <c r="BS84" s="24">
        <f t="shared" si="63"/>
        <v>28.829017381136609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455.84803868381812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-3.4106051316484809E-13</v>
      </c>
      <c r="O85" s="14">
        <f>N85*VLOOKUP('Données projet'!$B$9,Paramètres!$A$1:$I$88,3,0)*VLOOKUP('Données projet'!$B$9,Paramètres!$A$1:$I$88,5,0)</f>
        <v>-1.9065282685915009E-13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461.42631729930201</v>
      </c>
      <c r="T85" s="62">
        <f t="shared" si="88"/>
        <v>570.46734160592086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206.75478874232772</v>
      </c>
      <c r="AA85" s="23">
        <f>EXP(-LN(2)/25)*AA84+(1-EXP(-LN(2)/25))/(LN(2)/25)*Calculateur!V85*Calculateur!X85*VLOOKUP('Données projet'!$B$9,Paramètres!$A$1:$I$88,3,0)*0.475*44/12</f>
        <v>49.116578374178111</v>
      </c>
      <c r="AB85" s="23">
        <f>EXP(-LN(2)/2)*AB84+(1-EXP(-LN(2)/2))/(LN(2)/2)*V85*Y85*VLOOKUP('Données projet'!$B$9,Paramètres!$A$1:$I$88,3,0)*0.475*44/12</f>
        <v>0.12353614487367308</v>
      </c>
      <c r="AC85" s="24">
        <f t="shared" si="57"/>
        <v>255.99490326137951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2.8421709430404007E-13</v>
      </c>
      <c r="AJ85" s="14">
        <f>AI85*VLOOKUP('Données projet'!$B$10,Paramètres!$A$1:$I$88,3,0)*VLOOKUP('Données projet'!$B$10,Paramètres!$A$1:$I$88,5,0)</f>
        <v>1.7735146684572101E-13</v>
      </c>
      <c r="AK85" s="14">
        <f t="shared" si="89"/>
        <v>2.4924271921531257E-12</v>
      </c>
      <c r="AL85" s="22">
        <f t="shared" si="58"/>
        <v>4.6498644977563242E-12</v>
      </c>
      <c r="AM85" s="62">
        <f t="shared" si="59"/>
        <v>293.33333333333798</v>
      </c>
      <c r="AN85" s="62">
        <f ca="1">AVERAGE(OFFSET($AM$3,0,0,'Données projet'!$E$10+1,1))-AVERAGE(OFFSET($H$3,0,0,'Données projet'!$E$10+1,1))</f>
        <v>272.66985936980086</v>
      </c>
      <c r="AO85" s="62">
        <f t="shared" si="90"/>
        <v>320.12040114313697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180.10721664323486</v>
      </c>
      <c r="AV85" s="23">
        <f>EXP(-LN(2)/25)*AV84+(1-EXP(-LN(2)/25))/(LN(2)/25)*Calculateur!AQ85*Calculateur!AS85*VLOOKUP('Données projet'!$B$10,Paramètres!$A$1:$I$88,3,0)*0.475*44/12</f>
        <v>52.358815273168354</v>
      </c>
      <c r="AW85" s="23">
        <f>EXP(-LN(2)/2)*AW84+(1-EXP(-LN(2)/2))/(LN(2)/2)*AQ85*AT85*VLOOKUP('Données projet'!$B$10,Paramètres!$A$1:$I$88,3,0)*0.475*44/12</f>
        <v>0.91372666577823736</v>
      </c>
      <c r="AX85" s="23">
        <f t="shared" si="60"/>
        <v>233.37975858218144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</v>
      </c>
      <c r="BD85" s="13">
        <f>IF('Données projet'!$A$88&gt;35,BD84+BC85-BL84,IF(A85&lt;'Données projet'!$A$88,$BA$205^A85,IF(A85='Données projet'!$A$88,'Données projet'!$B$88,BD84+BC85-BL84)))</f>
        <v>450</v>
      </c>
      <c r="BE85" s="14">
        <f>BD85*VLOOKUP('Données projet'!$B$11,Paramètres!$A$1:$I$88,3,0)*VLOOKUP('Données projet'!$B$11,Paramètres!$A$1:$I$88,5,0)</f>
        <v>210.6</v>
      </c>
      <c r="BF85" s="14">
        <f t="shared" si="91"/>
        <v>52.066679014659961</v>
      </c>
      <c r="BG85" s="22">
        <f t="shared" si="61"/>
        <v>457.47779928386609</v>
      </c>
      <c r="BH85" s="62">
        <f t="shared" si="62"/>
        <v>750.81113261719941</v>
      </c>
      <c r="BI85" s="62">
        <f ca="1">AVERAGE(OFFSET($BH$3,0,0,'Données projet'!$E$11+1,1))-AVERAGE(OFFSET($H$3,0,0,'Données projet'!$E$11+1,1))</f>
        <v>164.93326103756453</v>
      </c>
      <c r="BJ85" s="62">
        <f t="shared" si="92"/>
        <v>115.86489547584461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14.064766143742236</v>
      </c>
      <c r="BQ85" s="23">
        <f>EXP(-LN(2)/25)*BQ84+(1-EXP(-LN(2)/25))/(LN(2)/25)*Calculateur!BL85*Calculateur!BN85*VLOOKUP('Données projet'!$B$11,Paramètres!$A$1:$I$88,3,0)*0.475*44/12</f>
        <v>12.069517276894087</v>
      </c>
      <c r="BR85" s="23">
        <f>EXP(-LN(2)/2)*BR84+(1-EXP(-LN(2)/2))/(LN(2)/2)*BL85*BO85*VLOOKUP('Données projet'!$B$11,Paramètres!$A$1:$I$88,3,0)*0.475*44/12</f>
        <v>1.4666071236562388</v>
      </c>
      <c r="BS85" s="24">
        <f t="shared" si="63"/>
        <v>27.600890544292561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457.77923079416723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-3.4106051316484809E-13</v>
      </c>
      <c r="O86" s="14">
        <f>N86*VLOOKUP('Données projet'!$B$9,Paramètres!$A$1:$I$88,3,0)*VLOOKUP('Données projet'!$B$9,Paramètres!$A$1:$I$88,5,0)</f>
        <v>-1.9065282685915009E-13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461.42631729930201</v>
      </c>
      <c r="T86" s="62">
        <f t="shared" si="88"/>
        <v>570.46734160592086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202.70045344305967</v>
      </c>
      <c r="AA86" s="23">
        <f>EXP(-LN(2)/25)*AA85+(1-EXP(-LN(2)/25))/(LN(2)/25)*Calculateur!V86*Calculateur!X86*VLOOKUP('Données projet'!$B$9,Paramètres!$A$1:$I$88,3,0)*0.475*44/12</f>
        <v>47.773482955607612</v>
      </c>
      <c r="AB86" s="23">
        <f>EXP(-LN(2)/2)*AB85+(1-EXP(-LN(2)/2))/(LN(2)/2)*V86*Y86*VLOOKUP('Données projet'!$B$9,Paramètres!$A$1:$I$88,3,0)*0.475*44/12</f>
        <v>8.7353245761817994E-2</v>
      </c>
      <c r="AC86" s="24">
        <f t="shared" si="57"/>
        <v>250.56128964442911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2.8421709430404007E-13</v>
      </c>
      <c r="AJ86" s="14">
        <f>AI86*VLOOKUP('Données projet'!$B$10,Paramètres!$A$1:$I$88,3,0)*VLOOKUP('Données projet'!$B$10,Paramètres!$A$1:$I$88,5,0)</f>
        <v>1.7735146684572101E-13</v>
      </c>
      <c r="AK86" s="14">
        <f t="shared" si="89"/>
        <v>2.4924271921531257E-12</v>
      </c>
      <c r="AL86" s="22">
        <f t="shared" si="58"/>
        <v>4.6498644977563242E-12</v>
      </c>
      <c r="AM86" s="62">
        <f t="shared" si="59"/>
        <v>293.33333333333798</v>
      </c>
      <c r="AN86" s="62">
        <f ca="1">AVERAGE(OFFSET($AM$3,0,0,'Données projet'!$E$10+1,1))-AVERAGE(OFFSET($H$3,0,0,'Données projet'!$E$10+1,1))</f>
        <v>272.66985936980086</v>
      </c>
      <c r="AO86" s="62">
        <f t="shared" si="90"/>
        <v>320.12040114313697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176.57542397941594</v>
      </c>
      <c r="AV86" s="23">
        <f>EXP(-LN(2)/25)*AV85+(1-EXP(-LN(2)/25))/(LN(2)/25)*Calculateur!AQ86*Calculateur!AS86*VLOOKUP('Données projet'!$B$10,Paramètres!$A$1:$I$88,3,0)*0.475*44/12</f>
        <v>50.927060716093138</v>
      </c>
      <c r="AW86" s="23">
        <f>EXP(-LN(2)/2)*AW85+(1-EXP(-LN(2)/2))/(LN(2)/2)*AQ86*AT86*VLOOKUP('Données projet'!$B$10,Paramètres!$A$1:$I$88,3,0)*0.475*44/12</f>
        <v>0.64610232152276581</v>
      </c>
      <c r="AX86" s="23">
        <f t="shared" si="60"/>
        <v>228.14858701703184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</v>
      </c>
      <c r="BD86" s="13">
        <f>IF('Données projet'!$A$88&gt;35,BD85+BC86-BL85,IF(A86&lt;'Données projet'!$A$88,$BA$205^A86,IF(A86='Données projet'!$A$88,'Données projet'!$B$88,BD85+BC86-BL85)))</f>
        <v>455</v>
      </c>
      <c r="BE86" s="14">
        <f>BD86*VLOOKUP('Données projet'!$B$11,Paramètres!$A$1:$I$88,3,0)*VLOOKUP('Données projet'!$B$11,Paramètres!$A$1:$I$88,5,0)</f>
        <v>212.94</v>
      </c>
      <c r="BF86" s="14">
        <f t="shared" si="91"/>
        <v>52.577528895212865</v>
      </c>
      <c r="BG86" s="22">
        <f t="shared" si="61"/>
        <v>462.44302949249573</v>
      </c>
      <c r="BH86" s="62">
        <f t="shared" si="62"/>
        <v>755.77636282582898</v>
      </c>
      <c r="BI86" s="62">
        <f ca="1">AVERAGE(OFFSET($BH$3,0,0,'Données projet'!$E$11+1,1))-AVERAGE(OFFSET($H$3,0,0,'Données projet'!$E$11+1,1))</f>
        <v>164.93326103756453</v>
      </c>
      <c r="BJ86" s="62">
        <f t="shared" si="92"/>
        <v>115.86489547584461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13.788964658323726</v>
      </c>
      <c r="BQ86" s="23">
        <f>EXP(-LN(2)/25)*BQ85+(1-EXP(-LN(2)/25))/(LN(2)/25)*Calculateur!BL86*Calculateur!BN86*VLOOKUP('Données projet'!$B$11,Paramètres!$A$1:$I$88,3,0)*0.475*44/12</f>
        <v>11.739475692249091</v>
      </c>
      <c r="BR86" s="23">
        <f>EXP(-LN(2)/2)*BR85+(1-EXP(-LN(2)/2))/(LN(2)/2)*BL86*BO86*VLOOKUP('Données projet'!$B$11,Paramètres!$A$1:$I$88,3,0)*0.475*44/12</f>
        <v>1.0370478424738239</v>
      </c>
      <c r="BS86" s="24">
        <f t="shared" si="63"/>
        <v>26.56548819304664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459.70988684212313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-3.4106051316484809E-13</v>
      </c>
      <c r="O87" s="14">
        <f>N87*VLOOKUP('Données projet'!$B$9,Paramètres!$A$1:$I$88,3,0)*VLOOKUP('Données projet'!$B$9,Paramètres!$A$1:$I$88,5,0)</f>
        <v>-1.9065282685915009E-13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461.42631729930201</v>
      </c>
      <c r="T87" s="62">
        <f t="shared" si="88"/>
        <v>570.46734160592086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198.72562118610992</v>
      </c>
      <c r="AA87" s="23">
        <f>EXP(-LN(2)/25)*AA86+(1-EXP(-LN(2)/25))/(LN(2)/25)*Calculateur!V87*Calculateur!X87*VLOOKUP('Données projet'!$B$9,Paramètres!$A$1:$I$88,3,0)*0.475*44/12</f>
        <v>46.467114551888244</v>
      </c>
      <c r="AB87" s="23">
        <f>EXP(-LN(2)/2)*AB86+(1-EXP(-LN(2)/2))/(LN(2)/2)*V87*Y87*VLOOKUP('Données projet'!$B$9,Paramètres!$A$1:$I$88,3,0)*0.475*44/12</f>
        <v>6.1768072436836553E-2</v>
      </c>
      <c r="AC87" s="24">
        <f t="shared" si="57"/>
        <v>245.25450381043501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2.8421709430404007E-13</v>
      </c>
      <c r="AJ87" s="14">
        <f>AI87*VLOOKUP('Données projet'!$B$10,Paramètres!$A$1:$I$88,3,0)*VLOOKUP('Données projet'!$B$10,Paramètres!$A$1:$I$88,5,0)</f>
        <v>1.7735146684572101E-13</v>
      </c>
      <c r="AK87" s="14">
        <f t="shared" si="89"/>
        <v>2.4924271921531257E-12</v>
      </c>
      <c r="AL87" s="22">
        <f t="shared" si="58"/>
        <v>4.6498644977563242E-12</v>
      </c>
      <c r="AM87" s="62">
        <f t="shared" si="59"/>
        <v>293.33333333333798</v>
      </c>
      <c r="AN87" s="62">
        <f ca="1">AVERAGE(OFFSET($AM$3,0,0,'Données projet'!$E$10+1,1))-AVERAGE(OFFSET($H$3,0,0,'Données projet'!$E$10+1,1))</f>
        <v>272.66985936980086</v>
      </c>
      <c r="AO87" s="62">
        <f t="shared" si="90"/>
        <v>320.12040114313697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173.11288761555369</v>
      </c>
      <c r="AV87" s="23">
        <f>EXP(-LN(2)/25)*AV86+(1-EXP(-LN(2)/25))/(LN(2)/25)*Calculateur!AQ87*Calculateur!AS87*VLOOKUP('Données projet'!$B$10,Paramètres!$A$1:$I$88,3,0)*0.475*44/12</f>
        <v>49.534457562673843</v>
      </c>
      <c r="AW87" s="23">
        <f>EXP(-LN(2)/2)*AW86+(1-EXP(-LN(2)/2))/(LN(2)/2)*AQ87*AT87*VLOOKUP('Données projet'!$B$10,Paramètres!$A$1:$I$88,3,0)*0.475*44/12</f>
        <v>0.45686333288911879</v>
      </c>
      <c r="AX87" s="23">
        <f t="shared" si="60"/>
        <v>223.10420851111667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</v>
      </c>
      <c r="BD87" s="13">
        <f>IF('Données projet'!$A$88&gt;35,BD86+BC87-BL86,IF(A87&lt;'Données projet'!$A$88,$BA$205^A87,IF(A87='Données projet'!$A$88,'Données projet'!$B$88,BD86+BC87-BL86)))</f>
        <v>460</v>
      </c>
      <c r="BE87" s="14">
        <f>BD87*VLOOKUP('Données projet'!$B$11,Paramètres!$A$1:$I$88,3,0)*VLOOKUP('Données projet'!$B$11,Paramètres!$A$1:$I$88,5,0)</f>
        <v>215.28</v>
      </c>
      <c r="BF87" s="14">
        <f t="shared" si="91"/>
        <v>53.087725740853138</v>
      </c>
      <c r="BG87" s="22">
        <f t="shared" si="61"/>
        <v>467.40712233198587</v>
      </c>
      <c r="BH87" s="62">
        <f t="shared" si="62"/>
        <v>760.74045566531913</v>
      </c>
      <c r="BI87" s="62">
        <f ca="1">AVERAGE(OFFSET($BH$3,0,0,'Données projet'!$E$11+1,1))-AVERAGE(OFFSET($H$3,0,0,'Données projet'!$E$11+1,1))</f>
        <v>164.93326103756453</v>
      </c>
      <c r="BJ87" s="62">
        <f t="shared" si="92"/>
        <v>115.86489547584461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13.518571471811978</v>
      </c>
      <c r="BQ87" s="23">
        <f>EXP(-LN(2)/25)*BQ86+(1-EXP(-LN(2)/25))/(LN(2)/25)*Calculateur!BL87*Calculateur!BN87*VLOOKUP('Données projet'!$B$11,Paramètres!$A$1:$I$88,3,0)*0.475*44/12</f>
        <v>11.418459112092343</v>
      </c>
      <c r="BR87" s="23">
        <f>EXP(-LN(2)/2)*BR86+(1-EXP(-LN(2)/2))/(LN(2)/2)*BL87*BO87*VLOOKUP('Données projet'!$B$11,Paramètres!$A$1:$I$88,3,0)*0.475*44/12</f>
        <v>0.7333035618281194</v>
      </c>
      <c r="BS87" s="24">
        <f t="shared" si="63"/>
        <v>25.67033414573244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461.64001394761442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-3.4106051316484809E-13</v>
      </c>
      <c r="O88" s="14">
        <f>N88*VLOOKUP('Données projet'!$B$9,Paramètres!$A$1:$I$88,3,0)*VLOOKUP('Données projet'!$B$9,Paramètres!$A$1:$I$88,5,0)</f>
        <v>-1.9065282685915009E-13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461.42631729930201</v>
      </c>
      <c r="T88" s="62">
        <f t="shared" si="88"/>
        <v>570.46734160592086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194.82873296531068</v>
      </c>
      <c r="AA88" s="23">
        <f>EXP(-LN(2)/25)*AA87+(1-EXP(-LN(2)/25))/(LN(2)/25)*Calculateur!V88*Calculateur!X88*VLOOKUP('Données projet'!$B$9,Paramètres!$A$1:$I$88,3,0)*0.475*44/12</f>
        <v>45.196468860867505</v>
      </c>
      <c r="AB88" s="23">
        <f>EXP(-LN(2)/2)*AB87+(1-EXP(-LN(2)/2))/(LN(2)/2)*V88*Y88*VLOOKUP('Données projet'!$B$9,Paramètres!$A$1:$I$88,3,0)*0.475*44/12</f>
        <v>4.3676622880909004E-2</v>
      </c>
      <c r="AC88" s="24">
        <f t="shared" si="57"/>
        <v>240.06887844905907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2.8421709430404007E-13</v>
      </c>
      <c r="AJ88" s="14">
        <f>AI88*VLOOKUP('Données projet'!$B$10,Paramètres!$A$1:$I$88,3,0)*VLOOKUP('Données projet'!$B$10,Paramètres!$A$1:$I$88,5,0)</f>
        <v>1.7735146684572101E-13</v>
      </c>
      <c r="AK88" s="14">
        <f t="shared" si="89"/>
        <v>2.4924271921531257E-12</v>
      </c>
      <c r="AL88" s="22">
        <f t="shared" si="58"/>
        <v>4.6498644977563242E-12</v>
      </c>
      <c r="AM88" s="62">
        <f t="shared" si="59"/>
        <v>293.33333333333798</v>
      </c>
      <c r="AN88" s="62">
        <f ca="1">AVERAGE(OFFSET($AM$3,0,0,'Données projet'!$E$10+1,1))-AVERAGE(OFFSET($H$3,0,0,'Données projet'!$E$10+1,1))</f>
        <v>272.66985936980086</v>
      </c>
      <c r="AO88" s="62">
        <f t="shared" si="90"/>
        <v>320.12040114313697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169.71824947784813</v>
      </c>
      <c r="AV88" s="23">
        <f>EXP(-LN(2)/25)*AV87+(1-EXP(-LN(2)/25))/(LN(2)/25)*Calculateur!AQ88*Calculateur!AS88*VLOOKUP('Données projet'!$B$10,Paramètres!$A$1:$I$88,3,0)*0.475*44/12</f>
        <v>48.179935215718615</v>
      </c>
      <c r="AW88" s="23">
        <f>EXP(-LN(2)/2)*AW87+(1-EXP(-LN(2)/2))/(LN(2)/2)*AQ88*AT88*VLOOKUP('Données projet'!$B$10,Paramètres!$A$1:$I$88,3,0)*0.475*44/12</f>
        <v>0.32305116076138296</v>
      </c>
      <c r="AX88" s="23">
        <f t="shared" si="60"/>
        <v>218.22123585432814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</v>
      </c>
      <c r="BD88" s="13">
        <f>IF('Données projet'!$A$88&gt;35,BD87+BC88-BL87,IF(A88&lt;'Données projet'!$A$88,$BA$205^A88,IF(A88='Données projet'!$A$88,'Données projet'!$B$88,BD87+BC88-BL87)))</f>
        <v>465</v>
      </c>
      <c r="BE88" s="14">
        <f>BD88*VLOOKUP('Données projet'!$B$11,Paramètres!$A$1:$I$88,3,0)*VLOOKUP('Données projet'!$B$11,Paramètres!$A$1:$I$88,5,0)</f>
        <v>217.62</v>
      </c>
      <c r="BF88" s="14">
        <f t="shared" si="91"/>
        <v>53.597277471320098</v>
      </c>
      <c r="BG88" s="22">
        <f t="shared" si="61"/>
        <v>472.37009159588257</v>
      </c>
      <c r="BH88" s="62">
        <f t="shared" si="62"/>
        <v>765.70342492921588</v>
      </c>
      <c r="BI88" s="62">
        <f ca="1">AVERAGE(OFFSET($BH$3,0,0,'Données projet'!$E$11+1,1))-AVERAGE(OFFSET($H$3,0,0,'Données projet'!$E$11+1,1))</f>
        <v>164.93326103756453</v>
      </c>
      <c r="BJ88" s="62">
        <f t="shared" si="92"/>
        <v>115.86489547584461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13.253480530764165</v>
      </c>
      <c r="BQ88" s="23">
        <f>EXP(-LN(2)/25)*BQ87+(1-EXP(-LN(2)/25))/(LN(2)/25)*Calculateur!BL88*Calculateur!BN88*VLOOKUP('Données projet'!$B$11,Paramètres!$A$1:$I$88,3,0)*0.475*44/12</f>
        <v>11.10622074720151</v>
      </c>
      <c r="BR88" s="23">
        <f>EXP(-LN(2)/2)*BR87+(1-EXP(-LN(2)/2))/(LN(2)/2)*BL88*BO88*VLOOKUP('Données projet'!$B$11,Paramètres!$A$1:$I$88,3,0)*0.475*44/12</f>
        <v>0.51852392123691193</v>
      </c>
      <c r="BS88" s="24">
        <f t="shared" si="63"/>
        <v>24.878225199202589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463.56961905340103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-3.4106051316484809E-13</v>
      </c>
      <c r="O89" s="14">
        <f>N89*VLOOKUP('Données projet'!$B$9,Paramètres!$A$1:$I$88,3,0)*VLOOKUP('Données projet'!$B$9,Paramètres!$A$1:$I$88,5,0)</f>
        <v>-1.9065282685915009E-13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461.42631729930201</v>
      </c>
      <c r="T89" s="62">
        <f t="shared" si="88"/>
        <v>570.46734160592086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191.00826034565418</v>
      </c>
      <c r="AA89" s="23">
        <f>EXP(-LN(2)/25)*AA88+(1-EXP(-LN(2)/25))/(LN(2)/25)*Calculateur!V89*Calculateur!X89*VLOOKUP('Données projet'!$B$9,Paramètres!$A$1:$I$88,3,0)*0.475*44/12</f>
        <v>43.960569043088086</v>
      </c>
      <c r="AB89" s="23">
        <f>EXP(-LN(2)/2)*AB88+(1-EXP(-LN(2)/2))/(LN(2)/2)*V89*Y89*VLOOKUP('Données projet'!$B$9,Paramètres!$A$1:$I$88,3,0)*0.475*44/12</f>
        <v>3.088403621841828E-2</v>
      </c>
      <c r="AC89" s="24">
        <f t="shared" si="57"/>
        <v>234.9997134249607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2.8421709430404007E-13</v>
      </c>
      <c r="AJ89" s="14">
        <f>AI89*VLOOKUP('Données projet'!$B$10,Paramètres!$A$1:$I$88,3,0)*VLOOKUP('Données projet'!$B$10,Paramètres!$A$1:$I$88,5,0)</f>
        <v>1.7735146684572101E-13</v>
      </c>
      <c r="AK89" s="14">
        <f t="shared" si="89"/>
        <v>2.4924271921531257E-12</v>
      </c>
      <c r="AL89" s="22">
        <f t="shared" si="58"/>
        <v>4.6498644977563242E-12</v>
      </c>
      <c r="AM89" s="62">
        <f t="shared" si="59"/>
        <v>293.33333333333798</v>
      </c>
      <c r="AN89" s="62">
        <f ca="1">AVERAGE(OFFSET($AM$3,0,0,'Données projet'!$E$10+1,1))-AVERAGE(OFFSET($H$3,0,0,'Données projet'!$E$10+1,1))</f>
        <v>272.66985936980086</v>
      </c>
      <c r="AO89" s="62">
        <f t="shared" si="90"/>
        <v>320.12040114313697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166.39017812349817</v>
      </c>
      <c r="AV89" s="23">
        <f>EXP(-LN(2)/25)*AV88+(1-EXP(-LN(2)/25))/(LN(2)/25)*Calculateur!AQ89*Calculateur!AS89*VLOOKUP('Données projet'!$B$10,Paramètres!$A$1:$I$88,3,0)*0.475*44/12</f>
        <v>46.862452353572117</v>
      </c>
      <c r="AW89" s="23">
        <f>EXP(-LN(2)/2)*AW88+(1-EXP(-LN(2)/2))/(LN(2)/2)*AQ89*AT89*VLOOKUP('Données projet'!$B$10,Paramètres!$A$1:$I$88,3,0)*0.475*44/12</f>
        <v>0.22843166644455942</v>
      </c>
      <c r="AX89" s="23">
        <f t="shared" si="60"/>
        <v>213.48106214351483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</v>
      </c>
      <c r="BD89" s="13">
        <f>IF('Données projet'!$A$88&gt;35,BD88+BC89-BL88,IF(A89&lt;'Données projet'!$A$88,$BA$205^A89,IF(A89='Données projet'!$A$88,'Données projet'!$B$88,BD88+BC89-BL88)))</f>
        <v>470</v>
      </c>
      <c r="BE89" s="14">
        <f>BD89*VLOOKUP('Données projet'!$B$11,Paramètres!$A$1:$I$88,3,0)*VLOOKUP('Données projet'!$B$11,Paramètres!$A$1:$I$88,5,0)</f>
        <v>219.95999999999998</v>
      </c>
      <c r="BF89" s="14">
        <f t="shared" si="91"/>
        <v>54.106191826225746</v>
      </c>
      <c r="BG89" s="22">
        <f t="shared" si="61"/>
        <v>477.33195076400972</v>
      </c>
      <c r="BH89" s="62">
        <f t="shared" si="62"/>
        <v>770.66528409734303</v>
      </c>
      <c r="BI89" s="62">
        <f ca="1">AVERAGE(OFFSET($BH$3,0,0,'Données projet'!$E$11+1,1))-AVERAGE(OFFSET($H$3,0,0,'Données projet'!$E$11+1,1))</f>
        <v>164.93326103756453</v>
      </c>
      <c r="BJ89" s="62">
        <f t="shared" si="92"/>
        <v>115.86489547584461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12.993587861380792</v>
      </c>
      <c r="BQ89" s="23">
        <f>EXP(-LN(2)/25)*BQ88+(1-EXP(-LN(2)/25))/(LN(2)/25)*Calculateur!BL89*Calculateur!BN89*VLOOKUP('Données projet'!$B$11,Paramètres!$A$1:$I$88,3,0)*0.475*44/12</f>
        <v>10.80252055681852</v>
      </c>
      <c r="BR89" s="23">
        <f>EXP(-LN(2)/2)*BR88+(1-EXP(-LN(2)/2))/(LN(2)/2)*BL89*BO89*VLOOKUP('Données projet'!$B$11,Paramètres!$A$1:$I$88,3,0)*0.475*44/12</f>
        <v>0.3666517809140597</v>
      </c>
      <c r="BS89" s="24">
        <f t="shared" si="63"/>
        <v>24.162760199113372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465.49870893149051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-3.4106051316484809E-13</v>
      </c>
      <c r="O90" s="14">
        <f>N90*VLOOKUP('Données projet'!$B$9,Paramètres!$A$1:$I$88,3,0)*VLOOKUP('Données projet'!$B$9,Paramètres!$A$1:$I$88,5,0)</f>
        <v>-1.9065282685915009E-13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461.42631729930201</v>
      </c>
      <c r="T90" s="62">
        <f t="shared" si="88"/>
        <v>570.46734160592086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187.26270486381094</v>
      </c>
      <c r="AA90" s="23">
        <f>EXP(-LN(2)/25)*AA89+(1-EXP(-LN(2)/25))/(LN(2)/25)*Calculateur!V90*Calculateur!X90*VLOOKUP('Données projet'!$B$9,Paramètres!$A$1:$I$88,3,0)*0.475*44/12</f>
        <v>42.758464970818991</v>
      </c>
      <c r="AB90" s="23">
        <f>EXP(-LN(2)/2)*AB89+(1-EXP(-LN(2)/2))/(LN(2)/2)*V90*Y90*VLOOKUP('Données projet'!$B$9,Paramètres!$A$1:$I$88,3,0)*0.475*44/12</f>
        <v>2.1838311440454505E-2</v>
      </c>
      <c r="AC90" s="24">
        <f t="shared" si="57"/>
        <v>230.04300814607038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2.8421709430404007E-13</v>
      </c>
      <c r="AJ90" s="14">
        <f>AI90*VLOOKUP('Données projet'!$B$10,Paramètres!$A$1:$I$88,3,0)*VLOOKUP('Données projet'!$B$10,Paramètres!$A$1:$I$88,5,0)</f>
        <v>1.7735146684572101E-13</v>
      </c>
      <c r="AK90" s="14">
        <f t="shared" si="89"/>
        <v>2.4924271921531257E-12</v>
      </c>
      <c r="AL90" s="22">
        <f t="shared" si="58"/>
        <v>4.6498644977563242E-12</v>
      </c>
      <c r="AM90" s="62">
        <f t="shared" si="59"/>
        <v>293.33333333333798</v>
      </c>
      <c r="AN90" s="62">
        <f ca="1">AVERAGE(OFFSET($AM$3,0,0,'Données projet'!$E$10+1,1))-AVERAGE(OFFSET($H$3,0,0,'Données projet'!$E$10+1,1))</f>
        <v>272.66985936980086</v>
      </c>
      <c r="AO90" s="62">
        <f t="shared" si="90"/>
        <v>320.12040114313697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163.12736821848392</v>
      </c>
      <c r="AV90" s="23">
        <f>EXP(-LN(2)/25)*AV89+(1-EXP(-LN(2)/25))/(LN(2)/25)*Calculateur!AQ90*Calculateur!AS90*VLOOKUP('Données projet'!$B$10,Paramètres!$A$1:$I$88,3,0)*0.475*44/12</f>
        <v>45.580996129574423</v>
      </c>
      <c r="AW90" s="23">
        <f>EXP(-LN(2)/2)*AW89+(1-EXP(-LN(2)/2))/(LN(2)/2)*AQ90*AT90*VLOOKUP('Données projet'!$B$10,Paramètres!$A$1:$I$88,3,0)*0.475*44/12</f>
        <v>0.16152558038069151</v>
      </c>
      <c r="AX90" s="23">
        <f t="shared" si="60"/>
        <v>208.86988992843905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</v>
      </c>
      <c r="BD90" s="13">
        <f>IF('Données projet'!$A$88&gt;35,BD89+BC90-BL89,IF(A90&lt;'Données projet'!$A$88,$BA$205^A90,IF(A90='Données projet'!$A$88,'Données projet'!$B$88,BD89+BC90-BL89)))</f>
        <v>475</v>
      </c>
      <c r="BE90" s="14">
        <f>BD90*VLOOKUP('Données projet'!$B$11,Paramètres!$A$1:$I$88,3,0)*VLOOKUP('Données projet'!$B$11,Paramètres!$A$1:$I$88,5,0)</f>
        <v>222.3</v>
      </c>
      <c r="BF90" s="14">
        <f t="shared" si="91"/>
        <v>54.61447637102394</v>
      </c>
      <c r="BG90" s="22">
        <f t="shared" si="61"/>
        <v>482.29271301286667</v>
      </c>
      <c r="BH90" s="62">
        <f t="shared" si="62"/>
        <v>775.62604634619993</v>
      </c>
      <c r="BI90" s="62">
        <f ca="1">AVERAGE(OFFSET($BH$3,0,0,'Données projet'!$E$11+1,1))-AVERAGE(OFFSET($H$3,0,0,'Données projet'!$E$11+1,1))</f>
        <v>164.93326103756453</v>
      </c>
      <c r="BJ90" s="62">
        <f t="shared" si="92"/>
        <v>115.86489547584461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12.738791528725152</v>
      </c>
      <c r="BQ90" s="23">
        <f>EXP(-LN(2)/25)*BQ89+(1-EXP(-LN(2)/25))/(LN(2)/25)*Calculateur!BL90*Calculateur!BN90*VLOOKUP('Données projet'!$B$11,Paramètres!$A$1:$I$88,3,0)*0.475*44/12</f>
        <v>10.507125064112451</v>
      </c>
      <c r="BR90" s="23">
        <f>EXP(-LN(2)/2)*BR89+(1-EXP(-LN(2)/2))/(LN(2)/2)*BL90*BO90*VLOOKUP('Données projet'!$B$11,Paramètres!$A$1:$I$88,3,0)*0.475*44/12</f>
        <v>0.25926196061845597</v>
      </c>
      <c r="BS90" s="24">
        <f t="shared" si="63"/>
        <v>23.505178553456059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467.42729018925121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-3.4106051316484809E-13</v>
      </c>
      <c r="O91" s="14">
        <f>N91*VLOOKUP('Données projet'!$B$9,Paramètres!$A$1:$I$88,3,0)*VLOOKUP('Données projet'!$B$9,Paramètres!$A$1:$I$88,5,0)</f>
        <v>-1.9065282685915009E-13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461.42631729930201</v>
      </c>
      <c r="T91" s="62">
        <f t="shared" si="88"/>
        <v>570.46734160592086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183.5905974404034</v>
      </c>
      <c r="AA91" s="23">
        <f>EXP(-LN(2)/25)*AA90+(1-EXP(-LN(2)/25))/(LN(2)/25)*Calculateur!V91*Calculateur!X91*VLOOKUP('Données projet'!$B$9,Paramètres!$A$1:$I$88,3,0)*0.475*44/12</f>
        <v>41.589232497622</v>
      </c>
      <c r="AB91" s="23">
        <f>EXP(-LN(2)/2)*AB90+(1-EXP(-LN(2)/2))/(LN(2)/2)*V91*Y91*VLOOKUP('Données projet'!$B$9,Paramètres!$A$1:$I$88,3,0)*0.475*44/12</f>
        <v>1.5442018109209142E-2</v>
      </c>
      <c r="AC91" s="24">
        <f t="shared" si="57"/>
        <v>225.1952719561346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2.8421709430404007E-13</v>
      </c>
      <c r="AJ91" s="14">
        <f>AI91*VLOOKUP('Données projet'!$B$10,Paramètres!$A$1:$I$88,3,0)*VLOOKUP('Données projet'!$B$10,Paramètres!$A$1:$I$88,5,0)</f>
        <v>1.7735146684572101E-13</v>
      </c>
      <c r="AK91" s="14">
        <f t="shared" si="89"/>
        <v>2.4924271921531257E-12</v>
      </c>
      <c r="AL91" s="22">
        <f t="shared" si="58"/>
        <v>4.6498644977563242E-12</v>
      </c>
      <c r="AM91" s="62">
        <f t="shared" si="59"/>
        <v>293.33333333333798</v>
      </c>
      <c r="AN91" s="62">
        <f ca="1">AVERAGE(OFFSET($AM$3,0,0,'Données projet'!$E$10+1,1))-AVERAGE(OFFSET($H$3,0,0,'Données projet'!$E$10+1,1))</f>
        <v>272.66985936980086</v>
      </c>
      <c r="AO91" s="62">
        <f t="shared" si="90"/>
        <v>320.12040114313697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159.92854002558946</v>
      </c>
      <c r="AV91" s="23">
        <f>EXP(-LN(2)/25)*AV90+(1-EXP(-LN(2)/25))/(LN(2)/25)*Calculateur!AQ91*Calculateur!AS91*VLOOKUP('Données projet'!$B$10,Paramètres!$A$1:$I$88,3,0)*0.475*44/12</f>
        <v>44.334581393410801</v>
      </c>
      <c r="AW91" s="23">
        <f>EXP(-LN(2)/2)*AW90+(1-EXP(-LN(2)/2))/(LN(2)/2)*AQ91*AT91*VLOOKUP('Données projet'!$B$10,Paramètres!$A$1:$I$88,3,0)*0.475*44/12</f>
        <v>0.11421583322227973</v>
      </c>
      <c r="AX91" s="23">
        <f t="shared" si="60"/>
        <v>204.37733725222253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</v>
      </c>
      <c r="BD91" s="13">
        <f>IF('Données projet'!$A$88&gt;35,BD90+BC91-BL90,IF(A91&lt;'Données projet'!$A$88,$BA$205^A91,IF(A91='Données projet'!$A$88,'Données projet'!$B$88,BD90+BC91-BL90)))</f>
        <v>480</v>
      </c>
      <c r="BE91" s="14">
        <f>BD91*VLOOKUP('Données projet'!$B$11,Paramètres!$A$1:$I$88,3,0)*VLOOKUP('Données projet'!$B$11,Paramètres!$A$1:$I$88,5,0)</f>
        <v>224.64</v>
      </c>
      <c r="BF91" s="14">
        <f t="shared" si="91"/>
        <v>55.122138502719949</v>
      </c>
      <c r="BG91" s="22">
        <f t="shared" si="61"/>
        <v>487.25239122557053</v>
      </c>
      <c r="BH91" s="62">
        <f t="shared" si="62"/>
        <v>780.58572455890385</v>
      </c>
      <c r="BI91" s="62">
        <f ca="1">AVERAGE(OFFSET($BH$3,0,0,'Données projet'!$E$11+1,1))-AVERAGE(OFFSET($H$3,0,0,'Données projet'!$E$11+1,1))</f>
        <v>164.93326103756453</v>
      </c>
      <c r="BJ91" s="62">
        <f t="shared" si="92"/>
        <v>115.86489547584461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12.488991596742471</v>
      </c>
      <c r="BQ91" s="23">
        <f>EXP(-LN(2)/25)*BQ90+(1-EXP(-LN(2)/25))/(LN(2)/25)*Calculateur!BL91*Calculateur!BN91*VLOOKUP('Données projet'!$B$11,Paramètres!$A$1:$I$88,3,0)*0.475*44/12</f>
        <v>10.219807176688603</v>
      </c>
      <c r="BR91" s="23">
        <f>EXP(-LN(2)/2)*BR90+(1-EXP(-LN(2)/2))/(LN(2)/2)*BL91*BO91*VLOOKUP('Données projet'!$B$11,Paramètres!$A$1:$I$88,3,0)*0.475*44/12</f>
        <v>0.18332589045702985</v>
      </c>
      <c r="BS91" s="24">
        <f t="shared" si="63"/>
        <v>22.892124663888104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469.35536927523879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-3.4106051316484809E-13</v>
      </c>
      <c r="O92" s="14">
        <f>N92*VLOOKUP('Données projet'!$B$9,Paramètres!$A$1:$I$88,3,0)*VLOOKUP('Données projet'!$B$9,Paramètres!$A$1:$I$88,5,0)</f>
        <v>-1.9065282685915009E-13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461.42631729930201</v>
      </c>
      <c r="T92" s="62">
        <f t="shared" si="88"/>
        <v>570.46734160592086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179.99049780380449</v>
      </c>
      <c r="AA92" s="23">
        <f>EXP(-LN(2)/25)*AA91+(1-EXP(-LN(2)/25))/(LN(2)/25)*Calculateur!V92*Calculateur!X92*VLOOKUP('Données projet'!$B$9,Paramètres!$A$1:$I$88,3,0)*0.475*44/12</f>
        <v>40.451972747891844</v>
      </c>
      <c r="AB92" s="23">
        <f>EXP(-LN(2)/2)*AB91+(1-EXP(-LN(2)/2))/(LN(2)/2)*V92*Y92*VLOOKUP('Données projet'!$B$9,Paramètres!$A$1:$I$88,3,0)*0.475*44/12</f>
        <v>1.0919155720227254E-2</v>
      </c>
      <c r="AC92" s="24">
        <f t="shared" si="57"/>
        <v>220.45338970741653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2.8421709430404007E-13</v>
      </c>
      <c r="AJ92" s="14">
        <f>AI92*VLOOKUP('Données projet'!$B$10,Paramètres!$A$1:$I$88,3,0)*VLOOKUP('Données projet'!$B$10,Paramètres!$A$1:$I$88,5,0)</f>
        <v>1.7735146684572101E-13</v>
      </c>
      <c r="AK92" s="14">
        <f t="shared" si="89"/>
        <v>2.4924271921531257E-12</v>
      </c>
      <c r="AL92" s="22">
        <f t="shared" si="58"/>
        <v>4.6498644977563242E-12</v>
      </c>
      <c r="AM92" s="62">
        <f t="shared" si="59"/>
        <v>293.33333333333798</v>
      </c>
      <c r="AN92" s="62">
        <f ca="1">AVERAGE(OFFSET($AM$3,0,0,'Données projet'!$E$10+1,1))-AVERAGE(OFFSET($H$3,0,0,'Données projet'!$E$10+1,1))</f>
        <v>272.66985936980086</v>
      </c>
      <c r="AO92" s="62">
        <f t="shared" si="90"/>
        <v>320.12040114313697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156.79243890246511</v>
      </c>
      <c r="AV92" s="23">
        <f>EXP(-LN(2)/25)*AV91+(1-EXP(-LN(2)/25))/(LN(2)/25)*Calculateur!AQ92*Calculateur!AS92*VLOOKUP('Données projet'!$B$10,Paramètres!$A$1:$I$88,3,0)*0.475*44/12</f>
        <v>43.122249933753672</v>
      </c>
      <c r="AW92" s="23">
        <f>EXP(-LN(2)/2)*AW91+(1-EXP(-LN(2)/2))/(LN(2)/2)*AQ92*AT92*VLOOKUP('Données projet'!$B$10,Paramètres!$A$1:$I$88,3,0)*0.475*44/12</f>
        <v>8.0762790190345754E-2</v>
      </c>
      <c r="AX92" s="23">
        <f t="shared" si="60"/>
        <v>199.99545162640911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</v>
      </c>
      <c r="BD92" s="13">
        <f>IF('Données projet'!$A$88&gt;35,BD91+BC92-BL91,IF(A92&lt;'Données projet'!$A$88,$BA$205^A92,IF(A92='Données projet'!$A$88,'Données projet'!$B$88,BD91+BC92-BL91)))</f>
        <v>485</v>
      </c>
      <c r="BE92" s="14">
        <f>BD92*VLOOKUP('Données projet'!$B$11,Paramètres!$A$1:$I$88,3,0)*VLOOKUP('Données projet'!$B$11,Paramètres!$A$1:$I$88,5,0)</f>
        <v>226.98</v>
      </c>
      <c r="BF92" s="14">
        <f t="shared" si="91"/>
        <v>55.629185455335929</v>
      </c>
      <c r="BG92" s="22">
        <f t="shared" si="61"/>
        <v>492.21099800137671</v>
      </c>
      <c r="BH92" s="62">
        <f t="shared" si="62"/>
        <v>785.54433133471002</v>
      </c>
      <c r="BI92" s="62">
        <f ca="1">AVERAGE(OFFSET($BH$3,0,0,'Données projet'!$E$11+1,1))-AVERAGE(OFFSET($H$3,0,0,'Données projet'!$E$11+1,1))</f>
        <v>164.93326103756453</v>
      </c>
      <c r="BJ92" s="62">
        <f t="shared" si="92"/>
        <v>115.86489547584461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12.244090089063056</v>
      </c>
      <c r="BQ92" s="23">
        <f>EXP(-LN(2)/25)*BQ91+(1-EXP(-LN(2)/25))/(LN(2)/25)*Calculateur!BL92*Calculateur!BN92*VLOOKUP('Données projet'!$B$11,Paramètres!$A$1:$I$88,3,0)*0.475*44/12</f>
        <v>9.940346012005751</v>
      </c>
      <c r="BR92" s="23">
        <f>EXP(-LN(2)/2)*BR91+(1-EXP(-LN(2)/2))/(LN(2)/2)*BL92*BO92*VLOOKUP('Données projet'!$B$11,Paramètres!$A$1:$I$88,3,0)*0.475*44/12</f>
        <v>0.12963098030922798</v>
      </c>
      <c r="BS92" s="24">
        <f t="shared" si="63"/>
        <v>22.314067081378031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471.2829524847545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-3.4106051316484809E-13</v>
      </c>
      <c r="O93" s="14">
        <f>N93*VLOOKUP('Données projet'!$B$9,Paramètres!$A$1:$I$88,3,0)*VLOOKUP('Données projet'!$B$9,Paramètres!$A$1:$I$88,5,0)</f>
        <v>-1.9065282685915009E-13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461.42631729930201</v>
      </c>
      <c r="T93" s="62">
        <f t="shared" si="88"/>
        <v>570.46734160592086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176.46099392523533</v>
      </c>
      <c r="AA93" s="23">
        <f>EXP(-LN(2)/25)*AA92+(1-EXP(-LN(2)/25))/(LN(2)/25)*Calculateur!V93*Calculateur!X93*VLOOKUP('Données projet'!$B$9,Paramètres!$A$1:$I$88,3,0)*0.475*44/12</f>
        <v>39.345811425823946</v>
      </c>
      <c r="AB93" s="23">
        <f>EXP(-LN(2)/2)*AB92+(1-EXP(-LN(2)/2))/(LN(2)/2)*V93*Y93*VLOOKUP('Données projet'!$B$9,Paramètres!$A$1:$I$88,3,0)*0.475*44/12</f>
        <v>7.7210090546045726E-3</v>
      </c>
      <c r="AC93" s="24">
        <f t="shared" si="57"/>
        <v>215.81452636011386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2.8421709430404007E-13</v>
      </c>
      <c r="AJ93" s="14">
        <f>AI93*VLOOKUP('Données projet'!$B$10,Paramètres!$A$1:$I$88,3,0)*VLOOKUP('Données projet'!$B$10,Paramètres!$A$1:$I$88,5,0)</f>
        <v>1.7735146684572101E-13</v>
      </c>
      <c r="AK93" s="14">
        <f t="shared" si="89"/>
        <v>2.4924271921531257E-12</v>
      </c>
      <c r="AL93" s="22">
        <f t="shared" si="58"/>
        <v>4.6498644977563242E-12</v>
      </c>
      <c r="AM93" s="62">
        <f t="shared" si="59"/>
        <v>293.33333333333798</v>
      </c>
      <c r="AN93" s="62">
        <f ca="1">AVERAGE(OFFSET($AM$3,0,0,'Données projet'!$E$10+1,1))-AVERAGE(OFFSET($H$3,0,0,'Données projet'!$E$10+1,1))</f>
        <v>272.66985936980086</v>
      </c>
      <c r="AO93" s="62">
        <f t="shared" si="90"/>
        <v>320.12040114313697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153.71783480953243</v>
      </c>
      <c r="AV93" s="23">
        <f>EXP(-LN(2)/25)*AV92+(1-EXP(-LN(2)/25))/(LN(2)/25)*Calculateur!AQ93*Calculateur!AS93*VLOOKUP('Données projet'!$B$10,Paramètres!$A$1:$I$88,3,0)*0.475*44/12</f>
        <v>41.943069741614607</v>
      </c>
      <c r="AW93" s="23">
        <f>EXP(-LN(2)/2)*AW92+(1-EXP(-LN(2)/2))/(LN(2)/2)*AQ93*AT93*VLOOKUP('Données projet'!$B$10,Paramètres!$A$1:$I$88,3,0)*0.475*44/12</f>
        <v>5.7107916611139863E-2</v>
      </c>
      <c r="AX93" s="23">
        <f t="shared" si="60"/>
        <v>195.71801246775817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490</v>
      </c>
      <c r="BB93" s="13">
        <f>VLOOKUP(A93,'Données projet'!$A$87:$I$107,9,0)</f>
        <v>5</v>
      </c>
      <c r="BC93" s="13">
        <f t="array" ref="BC93">INDEX(BB:BB,MIN(IF(ISNUMBER(BB93:BB289),ROW(BB93:BB289),"")))</f>
        <v>5</v>
      </c>
      <c r="BD93" s="13">
        <f>IF('Données projet'!$A$88&gt;35,BD92+BC93-BL92,IF(A93&lt;'Données projet'!$A$88,$BA$205^A93,IF(A93='Données projet'!$A$88,'Données projet'!$B$88,BD92+BC93-BL92)))</f>
        <v>490</v>
      </c>
      <c r="BE93" s="14">
        <f>BD93*VLOOKUP('Données projet'!$B$11,Paramètres!$A$1:$I$88,3,0)*VLOOKUP('Données projet'!$B$11,Paramètres!$A$1:$I$88,5,0)</f>
        <v>229.32000000000002</v>
      </c>
      <c r="BF93" s="14">
        <f t="shared" si="91"/>
        <v>56.135624305144624</v>
      </c>
      <c r="BG93" s="22">
        <f t="shared" si="61"/>
        <v>497.16854566479356</v>
      </c>
      <c r="BH93" s="62">
        <f t="shared" si="62"/>
        <v>790.50187899812681</v>
      </c>
      <c r="BI93" s="62">
        <f ca="1">AVERAGE(OFFSET($BH$3,0,0,'Données projet'!$E$11+1,1))-AVERAGE(OFFSET($H$3,0,0,'Données projet'!$E$11+1,1))</f>
        <v>164.93326103756453</v>
      </c>
      <c r="BJ93" s="62">
        <f t="shared" si="92"/>
        <v>115.86489547584461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30</v>
      </c>
      <c r="BM93" s="17">
        <f>IF(ISNA(VLOOKUP(A93,'Données projet'!$A$87:$I$107,5,0)),0%,VLOOKUP(A93,'Données projet'!$A$87:$I$107,5,0)*VLOOKUP('Données projet'!$B$11,Paramètres!$A$1:$I$88,7,0))</f>
        <v>0.33</v>
      </c>
      <c r="BN93" s="17">
        <f>IF(ISNA(VLOOKUP(A93,'Données projet'!$A$87:$I$107,6,0)),0%,VLOOKUP(A93,'Données projet'!$A$87:$I$107,6,0)*VLOOKUP('Données projet'!$B$11,Paramètres!$A$1:$I$88,7,0))</f>
        <v>0.12320000000000003</v>
      </c>
      <c r="BO93" s="17">
        <f>IF(ISNA(VLOOKUP(A93,'Données projet'!$A$87:$I$107,7,0)),0%,VLOOKUP(A93,'Données projet'!$A$87:$I$107,7,0))</f>
        <v>0.17600000000000002</v>
      </c>
      <c r="BP93" s="23">
        <f>EXP(-LN(2)/35)*BP92+(1-EXP(-LN(2)/35))/(LN(2)/35)*BL93*BM93*VLOOKUP('Données projet'!$B$11,Paramètres!$A$1:$I$88,3,0)*0.475*44/12</f>
        <v>18.150229385516543</v>
      </c>
      <c r="BQ93" s="23">
        <f>EXP(-LN(2)/25)*BQ92+(1-EXP(-LN(2)/25))/(LN(2)/25)*Calculateur!BL93*Calculateur!BN93*VLOOKUP('Données projet'!$B$11,Paramètres!$A$1:$I$88,3,0)*0.475*44/12</f>
        <v>11.954087712434877</v>
      </c>
      <c r="BR93" s="23">
        <f>EXP(-LN(2)/2)*BR92+(1-EXP(-LN(2)/2))/(LN(2)/2)*BL93*BO93*VLOOKUP('Données projet'!$B$11,Paramètres!$A$1:$I$88,3,0)*0.475*44/12</f>
        <v>2.8894542417083136</v>
      </c>
      <c r="BS93" s="24">
        <f t="shared" si="63"/>
        <v>32.99377133965973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473.21004596514888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-3.4106051316484809E-13</v>
      </c>
      <c r="O94" s="14">
        <f>N94*VLOOKUP('Données projet'!$B$9,Paramètres!$A$1:$I$88,3,0)*VLOOKUP('Données projet'!$B$9,Paramètres!$A$1:$I$88,5,0)</f>
        <v>-1.9065282685915009E-13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461.42631729930201</v>
      </c>
      <c r="T94" s="62">
        <f t="shared" si="88"/>
        <v>570.46734160592086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173.00070146494011</v>
      </c>
      <c r="AA94" s="23">
        <f>EXP(-LN(2)/25)*AA93+(1-EXP(-LN(2)/25))/(LN(2)/25)*Calculateur!V94*Calculateur!X94*VLOOKUP('Données projet'!$B$9,Paramètres!$A$1:$I$88,3,0)*0.475*44/12</f>
        <v>38.269898143278496</v>
      </c>
      <c r="AB94" s="23">
        <f>EXP(-LN(2)/2)*AB93+(1-EXP(-LN(2)/2))/(LN(2)/2)*V94*Y94*VLOOKUP('Données projet'!$B$9,Paramètres!$A$1:$I$88,3,0)*0.475*44/12</f>
        <v>5.4595778601136281E-3</v>
      </c>
      <c r="AC94" s="24">
        <f t="shared" si="57"/>
        <v>211.27605918607873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2.8421709430404007E-13</v>
      </c>
      <c r="AJ94" s="14">
        <f>AI94*VLOOKUP('Données projet'!$B$10,Paramètres!$A$1:$I$88,3,0)*VLOOKUP('Données projet'!$B$10,Paramètres!$A$1:$I$88,5,0)</f>
        <v>1.7735146684572101E-13</v>
      </c>
      <c r="AK94" s="14">
        <f t="shared" si="89"/>
        <v>2.4924271921531257E-12</v>
      </c>
      <c r="AL94" s="22">
        <f t="shared" si="58"/>
        <v>4.6498644977563242E-12</v>
      </c>
      <c r="AM94" s="62">
        <f t="shared" si="59"/>
        <v>293.33333333333798</v>
      </c>
      <c r="AN94" s="62">
        <f ca="1">AVERAGE(OFFSET($AM$3,0,0,'Données projet'!$E$10+1,1))-AVERAGE(OFFSET($H$3,0,0,'Données projet'!$E$10+1,1))</f>
        <v>272.66985936980086</v>
      </c>
      <c r="AO94" s="62">
        <f t="shared" si="90"/>
        <v>320.12040114313697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150.70352182753885</v>
      </c>
      <c r="AV94" s="23">
        <f>EXP(-LN(2)/25)*AV93+(1-EXP(-LN(2)/25))/(LN(2)/25)*Calculateur!AQ94*Calculateur!AS94*VLOOKUP('Données projet'!$B$10,Paramètres!$A$1:$I$88,3,0)*0.475*44/12</f>
        <v>40.796134293839984</v>
      </c>
      <c r="AW94" s="23">
        <f>EXP(-LN(2)/2)*AW93+(1-EXP(-LN(2)/2))/(LN(2)/2)*AQ94*AT94*VLOOKUP('Données projet'!$B$10,Paramètres!$A$1:$I$88,3,0)*0.475*44/12</f>
        <v>4.0381395095172877E-2</v>
      </c>
      <c r="AX94" s="23">
        <f t="shared" si="60"/>
        <v>191.54003751647403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</v>
      </c>
      <c r="BD94" s="13">
        <f>IF('Données projet'!$A$88&gt;35,BD93+BC94-BL93,IF(A94&lt;'Données projet'!$A$88,$BA$205^A94,IF(A94='Données projet'!$A$88,'Données projet'!$B$88,BD93+BC94-BL93)))</f>
        <v>463</v>
      </c>
      <c r="BE94" s="14">
        <f>BD94*VLOOKUP('Données projet'!$B$11,Paramètres!$A$1:$I$88,3,0)*VLOOKUP('Données projet'!$B$11,Paramètres!$A$1:$I$88,5,0)</f>
        <v>216.68400000000003</v>
      </c>
      <c r="BF94" s="14">
        <f t="shared" si="91"/>
        <v>53.393533693654852</v>
      </c>
      <c r="BG94" s="22">
        <f t="shared" si="61"/>
        <v>470.38503784978212</v>
      </c>
      <c r="BH94" s="62">
        <f t="shared" si="62"/>
        <v>763.71837118311544</v>
      </c>
      <c r="BI94" s="62">
        <f ca="1">AVERAGE(OFFSET($BH$3,0,0,'Données projet'!$E$11+1,1))-AVERAGE(OFFSET($H$3,0,0,'Données projet'!$E$11+1,1))</f>
        <v>164.93326103756453</v>
      </c>
      <c r="BJ94" s="62">
        <f t="shared" si="92"/>
        <v>115.86489547584461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17.794314457813364</v>
      </c>
      <c r="BQ94" s="23">
        <f>EXP(-LN(2)/25)*BQ93+(1-EXP(-LN(2)/25))/(LN(2)/25)*Calculateur!BL94*Calculateur!BN94*VLOOKUP('Données projet'!$B$11,Paramètres!$A$1:$I$88,3,0)*0.475*44/12</f>
        <v>11.627202555300194</v>
      </c>
      <c r="BR94" s="23">
        <f>EXP(-LN(2)/2)*BR93+(1-EXP(-LN(2)/2))/(LN(2)/2)*BL94*BO94*VLOOKUP('Données projet'!$B$11,Paramètres!$A$1:$I$88,3,0)*0.475*44/12</f>
        <v>2.0431526882401823</v>
      </c>
      <c r="BS94" s="24">
        <f t="shared" si="63"/>
        <v>31.464669701353742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475.1366557208853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-3.4106051316484809E-13</v>
      </c>
      <c r="O95" s="14">
        <f>N95*VLOOKUP('Données projet'!$B$9,Paramètres!$A$1:$I$88,3,0)*VLOOKUP('Données projet'!$B$9,Paramètres!$A$1:$I$88,5,0)</f>
        <v>-1.9065282685915009E-13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461.42631729930201</v>
      </c>
      <c r="T95" s="62">
        <f t="shared" si="88"/>
        <v>570.46734160592086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169.60826322922128</v>
      </c>
      <c r="AA95" s="23">
        <f>EXP(-LN(2)/25)*AA94+(1-EXP(-LN(2)/25))/(LN(2)/25)*Calculateur!V95*Calculateur!X95*VLOOKUP('Données projet'!$B$9,Paramètres!$A$1:$I$88,3,0)*0.475*44/12</f>
        <v>37.223405766024072</v>
      </c>
      <c r="AB95" s="23">
        <f>EXP(-LN(2)/2)*AB94+(1-EXP(-LN(2)/2))/(LN(2)/2)*V95*Y95*VLOOKUP('Données projet'!$B$9,Paramètres!$A$1:$I$88,3,0)*0.475*44/12</f>
        <v>3.8605045273022867E-3</v>
      </c>
      <c r="AC95" s="24">
        <f t="shared" si="57"/>
        <v>206.83552949977266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2.8421709430404007E-13</v>
      </c>
      <c r="AJ95" s="14">
        <f>AI95*VLOOKUP('Données projet'!$B$10,Paramètres!$A$1:$I$88,3,0)*VLOOKUP('Données projet'!$B$10,Paramètres!$A$1:$I$88,5,0)</f>
        <v>1.7735146684572101E-13</v>
      </c>
      <c r="AK95" s="14">
        <f t="shared" si="89"/>
        <v>2.4924271921531257E-12</v>
      </c>
      <c r="AL95" s="22">
        <f t="shared" si="58"/>
        <v>4.6498644977563242E-12</v>
      </c>
      <c r="AM95" s="62">
        <f t="shared" si="59"/>
        <v>293.33333333333798</v>
      </c>
      <c r="AN95" s="62">
        <f ca="1">AVERAGE(OFFSET($AM$3,0,0,'Données projet'!$E$10+1,1))-AVERAGE(OFFSET($H$3,0,0,'Données projet'!$E$10+1,1))</f>
        <v>272.66985936980086</v>
      </c>
      <c r="AO95" s="62">
        <f t="shared" si="90"/>
        <v>320.12040114313697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147.74831768457278</v>
      </c>
      <c r="AV95" s="23">
        <f>EXP(-LN(2)/25)*AV94+(1-EXP(-LN(2)/25))/(LN(2)/25)*Calculateur!AQ95*Calculateur!AS95*VLOOKUP('Données projet'!$B$10,Paramètres!$A$1:$I$88,3,0)*0.475*44/12</f>
        <v>39.680561856199468</v>
      </c>
      <c r="AW95" s="23">
        <f>EXP(-LN(2)/2)*AW94+(1-EXP(-LN(2)/2))/(LN(2)/2)*AQ95*AT95*VLOOKUP('Données projet'!$B$10,Paramètres!$A$1:$I$88,3,0)*0.475*44/12</f>
        <v>2.8553958305569931E-2</v>
      </c>
      <c r="AX95" s="23">
        <f t="shared" si="60"/>
        <v>187.45743349907781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</v>
      </c>
      <c r="BD95" s="13">
        <f>IF('Données projet'!$A$88&gt;35,BD94+BC95-BL94,IF(A95&lt;'Données projet'!$A$88,$BA$205^A95,IF(A95='Données projet'!$A$88,'Données projet'!$B$88,BD94+BC95-BL94)))</f>
        <v>466</v>
      </c>
      <c r="BE95" s="14">
        <f>BD95*VLOOKUP('Données projet'!$B$11,Paramètres!$A$1:$I$88,3,0)*VLOOKUP('Données projet'!$B$11,Paramètres!$A$1:$I$88,5,0)</f>
        <v>218.08799999999999</v>
      </c>
      <c r="BF95" s="14">
        <f t="shared" si="91"/>
        <v>53.699111087780629</v>
      </c>
      <c r="BG95" s="22">
        <f t="shared" si="61"/>
        <v>473.36255181121783</v>
      </c>
      <c r="BH95" s="62">
        <f t="shared" si="62"/>
        <v>766.69588514455108</v>
      </c>
      <c r="BI95" s="62">
        <f ca="1">AVERAGE(OFFSET($BH$3,0,0,'Données projet'!$E$11+1,1))-AVERAGE(OFFSET($H$3,0,0,'Données projet'!$E$11+1,1))</f>
        <v>164.93326103756453</v>
      </c>
      <c r="BJ95" s="62">
        <f t="shared" si="92"/>
        <v>115.86489547584461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17.445378804755773</v>
      </c>
      <c r="BQ95" s="23">
        <f>EXP(-LN(2)/25)*BQ94+(1-EXP(-LN(2)/25))/(LN(2)/25)*Calculateur!BL95*Calculateur!BN95*VLOOKUP('Données projet'!$B$11,Paramètres!$A$1:$I$88,3,0)*0.475*44/12</f>
        <v>11.309256089977502</v>
      </c>
      <c r="BR95" s="23">
        <f>EXP(-LN(2)/2)*BR94+(1-EXP(-LN(2)/2))/(LN(2)/2)*BL95*BO95*VLOOKUP('Données projet'!$B$11,Paramètres!$A$1:$I$88,3,0)*0.475*44/12</f>
        <v>1.444727120854157</v>
      </c>
      <c r="BS95" s="24">
        <f t="shared" si="63"/>
        <v>30.199362015587432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477.06278761837774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-3.4106051316484809E-13</v>
      </c>
      <c r="O96" s="14">
        <f>N96*VLOOKUP('Données projet'!$B$9,Paramètres!$A$1:$I$88,3,0)*VLOOKUP('Données projet'!$B$9,Paramètres!$A$1:$I$88,5,0)</f>
        <v>-1.9065282685915009E-13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461.42631729930201</v>
      </c>
      <c r="T96" s="62">
        <f t="shared" si="88"/>
        <v>570.46734160592086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166.2823486381219</v>
      </c>
      <c r="AA96" s="23">
        <f>EXP(-LN(2)/25)*AA95+(1-EXP(-LN(2)/25))/(LN(2)/25)*Calculateur!V96*Calculateur!X96*VLOOKUP('Données projet'!$B$9,Paramètres!$A$1:$I$88,3,0)*0.475*44/12</f>
        <v>36.20552977785831</v>
      </c>
      <c r="AB96" s="23">
        <f>EXP(-LN(2)/2)*AB95+(1-EXP(-LN(2)/2))/(LN(2)/2)*V96*Y96*VLOOKUP('Données projet'!$B$9,Paramètres!$A$1:$I$88,3,0)*0.475*44/12</f>
        <v>2.7297889300568145E-3</v>
      </c>
      <c r="AC96" s="24">
        <f t="shared" si="57"/>
        <v>202.49060820491027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2.8421709430404007E-13</v>
      </c>
      <c r="AJ96" s="14">
        <f>AI96*VLOOKUP('Données projet'!$B$10,Paramètres!$A$1:$I$88,3,0)*VLOOKUP('Données projet'!$B$10,Paramètres!$A$1:$I$88,5,0)</f>
        <v>1.7735146684572101E-13</v>
      </c>
      <c r="AK96" s="14">
        <f t="shared" si="89"/>
        <v>2.4924271921531257E-12</v>
      </c>
      <c r="AL96" s="22">
        <f t="shared" si="58"/>
        <v>4.6498644977563242E-12</v>
      </c>
      <c r="AM96" s="62">
        <f t="shared" si="59"/>
        <v>293.33333333333798</v>
      </c>
      <c r="AN96" s="62">
        <f ca="1">AVERAGE(OFFSET($AM$3,0,0,'Données projet'!$E$10+1,1))-AVERAGE(OFFSET($H$3,0,0,'Données projet'!$E$10+1,1))</f>
        <v>272.66985936980086</v>
      </c>
      <c r="AO96" s="62">
        <f t="shared" si="90"/>
        <v>320.12040114313697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144.85106329235373</v>
      </c>
      <c r="AV96" s="23">
        <f>EXP(-LN(2)/25)*AV95+(1-EXP(-LN(2)/25))/(LN(2)/25)*Calculateur!AQ96*Calculateur!AS96*VLOOKUP('Données projet'!$B$10,Paramètres!$A$1:$I$88,3,0)*0.475*44/12</f>
        <v>38.595494805531636</v>
      </c>
      <c r="AW96" s="23">
        <f>EXP(-LN(2)/2)*AW95+(1-EXP(-LN(2)/2))/(LN(2)/2)*AQ96*AT96*VLOOKUP('Données projet'!$B$10,Paramètres!$A$1:$I$88,3,0)*0.475*44/12</f>
        <v>2.0190697547586439E-2</v>
      </c>
      <c r="AX96" s="23">
        <f t="shared" si="60"/>
        <v>183.46674879543295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</v>
      </c>
      <c r="BD96" s="13">
        <f>IF('Données projet'!$A$88&gt;35,BD95+BC96-BL95,IF(A96&lt;'Données projet'!$A$88,$BA$205^A96,IF(A96='Données projet'!$A$88,'Données projet'!$B$88,BD95+BC96-BL95)))</f>
        <v>469</v>
      </c>
      <c r="BE96" s="14">
        <f>BD96*VLOOKUP('Données projet'!$B$11,Paramètres!$A$1:$I$88,3,0)*VLOOKUP('Données projet'!$B$11,Paramètres!$A$1:$I$88,5,0)</f>
        <v>219.49200000000002</v>
      </c>
      <c r="BF96" s="14">
        <f t="shared" si="91"/>
        <v>54.004459579686667</v>
      </c>
      <c r="BG96" s="22">
        <f t="shared" si="61"/>
        <v>476.3396671012876</v>
      </c>
      <c r="BH96" s="62">
        <f t="shared" si="62"/>
        <v>769.67300043462092</v>
      </c>
      <c r="BI96" s="62">
        <f ca="1">AVERAGE(OFFSET($BH$3,0,0,'Données projet'!$E$11+1,1))-AVERAGE(OFFSET($H$3,0,0,'Données projet'!$E$11+1,1))</f>
        <v>164.93326103756453</v>
      </c>
      <c r="BJ96" s="62">
        <f t="shared" si="92"/>
        <v>115.86489547584461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17.103285567024908</v>
      </c>
      <c r="BQ96" s="23">
        <f>EXP(-LN(2)/25)*BQ95+(1-EXP(-LN(2)/25))/(LN(2)/25)*Calculateur!BL96*Calculateur!BN96*VLOOKUP('Données projet'!$B$11,Paramètres!$A$1:$I$88,3,0)*0.475*44/12</f>
        <v>11.000003887469138</v>
      </c>
      <c r="BR96" s="23">
        <f>EXP(-LN(2)/2)*BR95+(1-EXP(-LN(2)/2))/(LN(2)/2)*BL96*BO96*VLOOKUP('Données projet'!$B$11,Paramètres!$A$1:$I$88,3,0)*0.475*44/12</f>
        <v>1.0215763441200914</v>
      </c>
      <c r="BS96" s="24">
        <f t="shared" si="63"/>
        <v>29.124865798614138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478.98844739061411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-3.4106051316484809E-13</v>
      </c>
      <c r="O97" s="14">
        <f>N97*VLOOKUP('Données projet'!$B$9,Paramètres!$A$1:$I$88,3,0)*VLOOKUP('Données projet'!$B$9,Paramètres!$A$1:$I$88,5,0)</f>
        <v>-1.9065282685915009E-13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461.42631729930201</v>
      </c>
      <c r="T97" s="62">
        <f t="shared" si="88"/>
        <v>570.46734160592086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163.02165320354638</v>
      </c>
      <c r="AA97" s="23">
        <f>EXP(-LN(2)/25)*AA96+(1-EXP(-LN(2)/25))/(LN(2)/25)*Calculateur!V97*Calculateur!X97*VLOOKUP('Données projet'!$B$9,Paramètres!$A$1:$I$88,3,0)*0.475*44/12</f>
        <v>35.215487662116715</v>
      </c>
      <c r="AB97" s="23">
        <f>EXP(-LN(2)/2)*AB96+(1-EXP(-LN(2)/2))/(LN(2)/2)*V97*Y97*VLOOKUP('Données projet'!$B$9,Paramètres!$A$1:$I$88,3,0)*0.475*44/12</f>
        <v>1.9302522636511438E-3</v>
      </c>
      <c r="AC97" s="24">
        <f t="shared" si="57"/>
        <v>198.23907111792676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2.8421709430404007E-13</v>
      </c>
      <c r="AJ97" s="14">
        <f>AI97*VLOOKUP('Données projet'!$B$10,Paramètres!$A$1:$I$88,3,0)*VLOOKUP('Données projet'!$B$10,Paramètres!$A$1:$I$88,5,0)</f>
        <v>1.7735146684572101E-13</v>
      </c>
      <c r="AK97" s="14">
        <f t="shared" si="89"/>
        <v>2.4924271921531257E-12</v>
      </c>
      <c r="AL97" s="22">
        <f t="shared" si="58"/>
        <v>4.6498644977563242E-12</v>
      </c>
      <c r="AM97" s="62">
        <f t="shared" si="59"/>
        <v>293.33333333333798</v>
      </c>
      <c r="AN97" s="62">
        <f ca="1">AVERAGE(OFFSET($AM$3,0,0,'Données projet'!$E$10+1,1))-AVERAGE(OFFSET($H$3,0,0,'Données projet'!$E$10+1,1))</f>
        <v>272.66985936980086</v>
      </c>
      <c r="AO97" s="62">
        <f t="shared" si="90"/>
        <v>320.12040114313697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142.01062229161539</v>
      </c>
      <c r="AV97" s="23">
        <f>EXP(-LN(2)/25)*AV96+(1-EXP(-LN(2)/25))/(LN(2)/25)*Calculateur!AQ97*Calculateur!AS97*VLOOKUP('Données projet'!$B$10,Paramètres!$A$1:$I$88,3,0)*0.475*44/12</f>
        <v>37.540098970425511</v>
      </c>
      <c r="AW97" s="23">
        <f>EXP(-LN(2)/2)*AW96+(1-EXP(-LN(2)/2))/(LN(2)/2)*AQ97*AT97*VLOOKUP('Données projet'!$B$10,Paramètres!$A$1:$I$88,3,0)*0.475*44/12</f>
        <v>1.4276979152784966E-2</v>
      </c>
      <c r="AX97" s="23">
        <f t="shared" si="60"/>
        <v>179.56499824119368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</v>
      </c>
      <c r="BD97" s="13">
        <f>IF('Données projet'!$A$88&gt;35,BD96+BC97-BL96,IF(A97&lt;'Données projet'!$A$88,$BA$205^A97,IF(A97='Données projet'!$A$88,'Données projet'!$B$88,BD96+BC97-BL96)))</f>
        <v>472</v>
      </c>
      <c r="BE97" s="14">
        <f>BD97*VLOOKUP('Données projet'!$B$11,Paramètres!$A$1:$I$88,3,0)*VLOOKUP('Données projet'!$B$11,Paramètres!$A$1:$I$88,5,0)</f>
        <v>220.89599999999999</v>
      </c>
      <c r="BF97" s="14">
        <f t="shared" si="91"/>
        <v>54.309580803412281</v>
      </c>
      <c r="BG97" s="22">
        <f t="shared" si="61"/>
        <v>479.31638656594299</v>
      </c>
      <c r="BH97" s="62">
        <f t="shared" si="62"/>
        <v>772.64971989927631</v>
      </c>
      <c r="BI97" s="62">
        <f ca="1">AVERAGE(OFFSET($BH$3,0,0,'Données projet'!$E$11+1,1))-AVERAGE(OFFSET($H$3,0,0,'Données projet'!$E$11+1,1))</f>
        <v>164.93326103756453</v>
      </c>
      <c r="BJ97" s="62">
        <f t="shared" si="92"/>
        <v>115.86489547584461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16.767900569029674</v>
      </c>
      <c r="BQ97" s="23">
        <f>EXP(-LN(2)/25)*BQ96+(1-EXP(-LN(2)/25))/(LN(2)/25)*Calculateur!BL97*Calculateur!BN97*VLOOKUP('Données projet'!$B$11,Paramètres!$A$1:$I$88,3,0)*0.475*44/12</f>
        <v>10.699208202701231</v>
      </c>
      <c r="BR97" s="23">
        <f>EXP(-LN(2)/2)*BR96+(1-EXP(-LN(2)/2))/(LN(2)/2)*BL97*BO97*VLOOKUP('Données projet'!$B$11,Paramètres!$A$1:$I$88,3,0)*0.475*44/12</f>
        <v>0.72236356042707861</v>
      </c>
      <c r="BS97" s="24">
        <f t="shared" si="63"/>
        <v>28.189472332157983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480.91364064157727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-3.4106051316484809E-13</v>
      </c>
      <c r="O98" s="14">
        <f>N98*VLOOKUP('Données projet'!$B$9,Paramètres!$A$1:$I$88,3,0)*VLOOKUP('Données projet'!$B$9,Paramètres!$A$1:$I$88,5,0)</f>
        <v>-1.9065282685915009E-13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461.42631729930201</v>
      </c>
      <c r="T98" s="62">
        <f t="shared" si="88"/>
        <v>570.46734160592086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159.82489801761506</v>
      </c>
      <c r="AA98" s="23">
        <f>EXP(-LN(2)/25)*AA97+(1-EXP(-LN(2)/25))/(LN(2)/25)*Calculateur!V98*Calculateur!X98*VLOOKUP('Données projet'!$B$9,Paramètres!$A$1:$I$88,3,0)*0.475*44/12</f>
        <v>34.252518300094124</v>
      </c>
      <c r="AB98" s="23">
        <f>EXP(-LN(2)/2)*AB97+(1-EXP(-LN(2)/2))/(LN(2)/2)*V98*Y98*VLOOKUP('Données projet'!$B$9,Paramètres!$A$1:$I$88,3,0)*0.475*44/12</f>
        <v>1.3648944650284075E-3</v>
      </c>
      <c r="AC98" s="24">
        <f t="shared" si="57"/>
        <v>194.07878121217422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2.8421709430404007E-13</v>
      </c>
      <c r="AJ98" s="14">
        <f>AI98*VLOOKUP('Données projet'!$B$10,Paramètres!$A$1:$I$88,3,0)*VLOOKUP('Données projet'!$B$10,Paramètres!$A$1:$I$88,5,0)</f>
        <v>1.7735146684572101E-13</v>
      </c>
      <c r="AK98" s="14">
        <f t="shared" si="89"/>
        <v>2.4924271921531257E-12</v>
      </c>
      <c r="AL98" s="22">
        <f t="shared" si="58"/>
        <v>4.6498644977563242E-12</v>
      </c>
      <c r="AM98" s="62">
        <f t="shared" si="59"/>
        <v>293.33333333333798</v>
      </c>
      <c r="AN98" s="62">
        <f ca="1">AVERAGE(OFFSET($AM$3,0,0,'Données projet'!$E$10+1,1))-AVERAGE(OFFSET($H$3,0,0,'Données projet'!$E$10+1,1))</f>
        <v>272.66985936980086</v>
      </c>
      <c r="AO98" s="62">
        <f t="shared" si="90"/>
        <v>320.12040114313697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139.22588060640359</v>
      </c>
      <c r="AV98" s="23">
        <f>EXP(-LN(2)/25)*AV97+(1-EXP(-LN(2)/25))/(LN(2)/25)*Calculateur!AQ98*Calculateur!AS98*VLOOKUP('Données projet'!$B$10,Paramètres!$A$1:$I$88,3,0)*0.475*44/12</f>
        <v>36.513562989931216</v>
      </c>
      <c r="AW98" s="23">
        <f>EXP(-LN(2)/2)*AW97+(1-EXP(-LN(2)/2))/(LN(2)/2)*AQ98*AT98*VLOOKUP('Données projet'!$B$10,Paramètres!$A$1:$I$88,3,0)*0.475*44/12</f>
        <v>1.0095348773793219E-2</v>
      </c>
      <c r="AX98" s="23">
        <f t="shared" si="60"/>
        <v>175.74953894510861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3</v>
      </c>
      <c r="BD98" s="13">
        <f>IF('Données projet'!$A$88&gt;35,BD97+BC98-BL97,IF(A98&lt;'Données projet'!$A$88,$BA$205^A98,IF(A98='Données projet'!$A$88,'Données projet'!$B$88,BD97+BC98-BL97)))</f>
        <v>475</v>
      </c>
      <c r="BE98" s="14">
        <f>BD98*VLOOKUP('Données projet'!$B$11,Paramètres!$A$1:$I$88,3,0)*VLOOKUP('Données projet'!$B$11,Paramètres!$A$1:$I$88,5,0)</f>
        <v>222.3</v>
      </c>
      <c r="BF98" s="14">
        <f t="shared" si="91"/>
        <v>54.61447637102394</v>
      </c>
      <c r="BG98" s="22">
        <f t="shared" si="61"/>
        <v>482.29271301286667</v>
      </c>
      <c r="BH98" s="62">
        <f t="shared" si="62"/>
        <v>775.62604634619993</v>
      </c>
      <c r="BI98" s="62">
        <f ca="1">AVERAGE(OFFSET($BH$3,0,0,'Données projet'!$E$11+1,1))-AVERAGE(OFFSET($H$3,0,0,'Données projet'!$E$11+1,1))</f>
        <v>164.93326103756453</v>
      </c>
      <c r="BJ98" s="62">
        <f t="shared" si="92"/>
        <v>115.86489547584461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16.439092266280475</v>
      </c>
      <c r="BQ98" s="23">
        <f>EXP(-LN(2)/25)*BQ97+(1-EXP(-LN(2)/25))/(LN(2)/25)*Calculateur!BL98*Calculateur!BN98*VLOOKUP('Données projet'!$B$11,Paramètres!$A$1:$I$88,3,0)*0.475*44/12</f>
        <v>10.406637791751459</v>
      </c>
      <c r="BR98" s="23">
        <f>EXP(-LN(2)/2)*BR97+(1-EXP(-LN(2)/2))/(LN(2)/2)*BL98*BO98*VLOOKUP('Données projet'!$B$11,Paramètres!$A$1:$I$88,3,0)*0.475*44/12</f>
        <v>0.51078817206004568</v>
      </c>
      <c r="BS98" s="24">
        <f t="shared" si="63"/>
        <v>27.356518230091979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482.83837285047491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-3.4106051316484809E-13</v>
      </c>
      <c r="O99" s="14">
        <f>N99*VLOOKUP('Données projet'!$B$9,Paramètres!$A$1:$I$88,3,0)*VLOOKUP('Données projet'!$B$9,Paramètres!$A$1:$I$88,5,0)</f>
        <v>-1.9065282685915009E-13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461.42631729930201</v>
      </c>
      <c r="T99" s="62">
        <f t="shared" si="88"/>
        <v>570.46734160592086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156.69082925105172</v>
      </c>
      <c r="AA99" s="23">
        <f>EXP(-LN(2)/25)*AA98+(1-EXP(-LN(2)/25))/(LN(2)/25)*Calculateur!V99*Calculateur!X99*VLOOKUP('Données projet'!$B$9,Paramètres!$A$1:$I$88,3,0)*0.475*44/12</f>
        <v>33.315881385916398</v>
      </c>
      <c r="AB99" s="23">
        <f>EXP(-LN(2)/2)*AB98+(1-EXP(-LN(2)/2))/(LN(2)/2)*V99*Y99*VLOOKUP('Données projet'!$B$9,Paramètres!$A$1:$I$88,3,0)*0.475*44/12</f>
        <v>9.6512613182557201E-4</v>
      </c>
      <c r="AC99" s="24">
        <f t="shared" si="57"/>
        <v>190.00767576309997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2.8421709430404007E-13</v>
      </c>
      <c r="AJ99" s="14">
        <f>AI99*VLOOKUP('Données projet'!$B$10,Paramètres!$A$1:$I$88,3,0)*VLOOKUP('Données projet'!$B$10,Paramètres!$A$1:$I$88,5,0)</f>
        <v>1.7735146684572101E-13</v>
      </c>
      <c r="AK99" s="14">
        <f t="shared" si="89"/>
        <v>2.4924271921531257E-12</v>
      </c>
      <c r="AL99" s="22">
        <f t="shared" si="58"/>
        <v>4.6498644977563242E-12</v>
      </c>
      <c r="AM99" s="62">
        <f t="shared" si="59"/>
        <v>293.33333333333798</v>
      </c>
      <c r="AN99" s="62">
        <f ca="1">AVERAGE(OFFSET($AM$3,0,0,'Données projet'!$E$10+1,1))-AVERAGE(OFFSET($H$3,0,0,'Données projet'!$E$10+1,1))</f>
        <v>272.66985936980086</v>
      </c>
      <c r="AO99" s="62">
        <f t="shared" si="90"/>
        <v>320.12040114313697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136.49574600711409</v>
      </c>
      <c r="AV99" s="23">
        <f>EXP(-LN(2)/25)*AV98+(1-EXP(-LN(2)/25))/(LN(2)/25)*Calculateur!AQ99*Calculateur!AS99*VLOOKUP('Données projet'!$B$10,Paramètres!$A$1:$I$88,3,0)*0.475*44/12</f>
        <v>35.515097689806723</v>
      </c>
      <c r="AW99" s="23">
        <f>EXP(-LN(2)/2)*AW98+(1-EXP(-LN(2)/2))/(LN(2)/2)*AQ99*AT99*VLOOKUP('Données projet'!$B$10,Paramètres!$A$1:$I$88,3,0)*0.475*44/12</f>
        <v>7.1384895763924828E-3</v>
      </c>
      <c r="AX99" s="23">
        <f t="shared" si="60"/>
        <v>172.01798218649719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</v>
      </c>
      <c r="BD99" s="13">
        <f>IF('Données projet'!$A$88&gt;35,BD98+BC99-BL98,IF(A99&lt;'Données projet'!$A$88,$BA$205^A99,IF(A99='Données projet'!$A$88,'Données projet'!$B$88,BD98+BC99-BL98)))</f>
        <v>478</v>
      </c>
      <c r="BE99" s="14">
        <f>BD99*VLOOKUP('Données projet'!$B$11,Paramètres!$A$1:$I$88,3,0)*VLOOKUP('Données projet'!$B$11,Paramètres!$A$1:$I$88,5,0)</f>
        <v>223.70399999999998</v>
      </c>
      <c r="BF99" s="14">
        <f t="shared" si="91"/>
        <v>54.919147873047578</v>
      </c>
      <c r="BG99" s="22">
        <f t="shared" si="61"/>
        <v>485.26864921222455</v>
      </c>
      <c r="BH99" s="62">
        <f t="shared" si="62"/>
        <v>778.6019825455578</v>
      </c>
      <c r="BI99" s="62">
        <f ca="1">AVERAGE(OFFSET($BH$3,0,0,'Données projet'!$E$11+1,1))-AVERAGE(OFFSET($H$3,0,0,'Données projet'!$E$11+1,1))</f>
        <v>164.93326103756453</v>
      </c>
      <c r="BJ99" s="62">
        <f t="shared" si="92"/>
        <v>115.86489547584461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16.116731693794929</v>
      </c>
      <c r="BQ99" s="23">
        <f>EXP(-LN(2)/25)*BQ98+(1-EXP(-LN(2)/25))/(LN(2)/25)*Calculateur!BL99*Calculateur!BN99*VLOOKUP('Données projet'!$B$11,Paramètres!$A$1:$I$88,3,0)*0.475*44/12</f>
        <v>10.122067734074719</v>
      </c>
      <c r="BR99" s="23">
        <f>EXP(-LN(2)/2)*BR98+(1-EXP(-LN(2)/2))/(LN(2)/2)*BL99*BO99*VLOOKUP('Données projet'!$B$11,Paramètres!$A$1:$I$88,3,0)*0.475*44/12</f>
        <v>0.36118178021353931</v>
      </c>
      <c r="BS99" s="24">
        <f t="shared" si="63"/>
        <v>26.599981208083186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484.76264937578765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-3.4106051316484809E-13</v>
      </c>
      <c r="O100" s="14">
        <f>N100*VLOOKUP('Données projet'!$B$9,Paramètres!$A$1:$I$88,3,0)*VLOOKUP('Données projet'!$B$9,Paramètres!$A$1:$I$88,5,0)</f>
        <v>-1.9065282685915009E-13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461.42631729930201</v>
      </c>
      <c r="T100" s="62">
        <f t="shared" si="88"/>
        <v>570.46734160592086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153.6182176614075</v>
      </c>
      <c r="AA100" s="23">
        <f>EXP(-LN(2)/25)*AA99+(1-EXP(-LN(2)/25))/(LN(2)/25)*Calculateur!V100*Calculateur!X100*VLOOKUP('Données projet'!$B$9,Paramètres!$A$1:$I$88,3,0)*0.475*44/12</f>
        <v>32.404856857412454</v>
      </c>
      <c r="AB100" s="23">
        <f>EXP(-LN(2)/2)*AB99+(1-EXP(-LN(2)/2))/(LN(2)/2)*V100*Y100*VLOOKUP('Données projet'!$B$9,Paramètres!$A$1:$I$88,3,0)*0.475*44/12</f>
        <v>6.8244723251420383E-4</v>
      </c>
      <c r="AC100" s="24">
        <f t="shared" si="57"/>
        <v>186.02375696605247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2.8421709430404007E-13</v>
      </c>
      <c r="AJ100" s="14">
        <f>AI100*VLOOKUP('Données projet'!$B$10,Paramètres!$A$1:$I$88,3,0)*VLOOKUP('Données projet'!$B$10,Paramètres!$A$1:$I$88,5,0)</f>
        <v>1.7735146684572101E-13</v>
      </c>
      <c r="AK100" s="14">
        <f t="shared" si="89"/>
        <v>2.4924271921531257E-12</v>
      </c>
      <c r="AL100" s="22">
        <f t="shared" si="58"/>
        <v>4.6498644977563242E-12</v>
      </c>
      <c r="AM100" s="62">
        <f t="shared" si="59"/>
        <v>293.33333333333798</v>
      </c>
      <c r="AN100" s="62">
        <f ca="1">AVERAGE(OFFSET($AM$3,0,0,'Données projet'!$E$10+1,1))-AVERAGE(OFFSET($H$3,0,0,'Données projet'!$E$10+1,1))</f>
        <v>272.66985936980086</v>
      </c>
      <c r="AO100" s="62">
        <f t="shared" si="90"/>
        <v>320.12040114313697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133.81914768209899</v>
      </c>
      <c r="AV100" s="23">
        <f>EXP(-LN(2)/25)*AV99+(1-EXP(-LN(2)/25))/(LN(2)/25)*Calculateur!AQ100*Calculateur!AS100*VLOOKUP('Données projet'!$B$10,Paramètres!$A$1:$I$88,3,0)*0.475*44/12</f>
        <v>34.543935475821144</v>
      </c>
      <c r="AW100" s="23">
        <f>EXP(-LN(2)/2)*AW99+(1-EXP(-LN(2)/2))/(LN(2)/2)*AQ100*AT100*VLOOKUP('Données projet'!$B$10,Paramètres!$A$1:$I$88,3,0)*0.475*44/12</f>
        <v>5.0476743868966096E-3</v>
      </c>
      <c r="AX100" s="23">
        <f t="shared" si="60"/>
        <v>168.36813083230703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</v>
      </c>
      <c r="BD100" s="13">
        <f>IF('Données projet'!$A$88&gt;35,BD99+BC100-BL99,IF(A100&lt;'Données projet'!$A$88,$BA$205^A100,IF(A100='Données projet'!$A$88,'Données projet'!$B$88,BD99+BC100-BL99)))</f>
        <v>481</v>
      </c>
      <c r="BE100" s="14">
        <f>BD100*VLOOKUP('Données projet'!$B$11,Paramètres!$A$1:$I$88,3,0)*VLOOKUP('Données projet'!$B$11,Paramètres!$A$1:$I$88,5,0)</f>
        <v>225.108</v>
      </c>
      <c r="BF100" s="14">
        <f t="shared" si="91"/>
        <v>55.223596878889587</v>
      </c>
      <c r="BG100" s="22">
        <f t="shared" si="61"/>
        <v>488.24419789739932</v>
      </c>
      <c r="BH100" s="62">
        <f t="shared" si="62"/>
        <v>781.57753123073257</v>
      </c>
      <c r="BI100" s="62">
        <f ca="1">AVERAGE(OFFSET($BH$3,0,0,'Données projet'!$E$11+1,1))-AVERAGE(OFFSET($H$3,0,0,'Données projet'!$E$11+1,1))</f>
        <v>164.93326103756453</v>
      </c>
      <c r="BJ100" s="62">
        <f t="shared" si="92"/>
        <v>115.86489547584461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15.800692415515288</v>
      </c>
      <c r="BQ100" s="23">
        <f>EXP(-LN(2)/25)*BQ99+(1-EXP(-LN(2)/25))/(LN(2)/25)*Calculateur!BL100*Calculateur!BN100*VLOOKUP('Données projet'!$B$11,Paramètres!$A$1:$I$88,3,0)*0.475*44/12</f>
        <v>9.845279259590038</v>
      </c>
      <c r="BR100" s="23">
        <f>EXP(-LN(2)/2)*BR99+(1-EXP(-LN(2)/2))/(LN(2)/2)*BL100*BO100*VLOOKUP('Données projet'!$B$11,Paramètres!$A$1:$I$88,3,0)*0.475*44/12</f>
        <v>0.25539408603002284</v>
      </c>
      <c r="BS100" s="24">
        <f t="shared" si="63"/>
        <v>25.901365761135349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486.68647545914564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-3.4106051316484809E-13</v>
      </c>
      <c r="O101" s="14">
        <f>N101*VLOOKUP('Données projet'!$B$9,Paramètres!$A$1:$I$88,3,0)*VLOOKUP('Données projet'!$B$9,Paramètres!$A$1:$I$88,5,0)</f>
        <v>-1.9065282685915009E-13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461.42631729930201</v>
      </c>
      <c r="T101" s="62">
        <f t="shared" si="88"/>
        <v>570.46734160592086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150.60585811092818</v>
      </c>
      <c r="AA101" s="23">
        <f>EXP(-LN(2)/25)*AA100+(1-EXP(-LN(2)/25))/(LN(2)/25)*Calculateur!V101*Calculateur!X101*VLOOKUP('Données projet'!$B$9,Paramètres!$A$1:$I$88,3,0)*0.475*44/12</f>
        <v>31.518744342549152</v>
      </c>
      <c r="AB101" s="23">
        <f>EXP(-LN(2)/2)*AB100+(1-EXP(-LN(2)/2))/(LN(2)/2)*V101*Y101*VLOOKUP('Données projet'!$B$9,Paramètres!$A$1:$I$88,3,0)*0.475*44/12</f>
        <v>4.8256306591278606E-4</v>
      </c>
      <c r="AC101" s="24">
        <f t="shared" si="57"/>
        <v>182.12508501654324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2.8421709430404007E-13</v>
      </c>
      <c r="AJ101" s="14">
        <f>AI101*VLOOKUP('Données projet'!$B$10,Paramètres!$A$1:$I$88,3,0)*VLOOKUP('Données projet'!$B$10,Paramètres!$A$1:$I$88,5,0)</f>
        <v>1.7735146684572101E-13</v>
      </c>
      <c r="AK101" s="14">
        <f t="shared" si="89"/>
        <v>2.4924271921531257E-12</v>
      </c>
      <c r="AL101" s="22">
        <f t="shared" si="58"/>
        <v>4.6498644977563242E-12</v>
      </c>
      <c r="AM101" s="62">
        <f t="shared" si="59"/>
        <v>293.33333333333798</v>
      </c>
      <c r="AN101" s="62">
        <f ca="1">AVERAGE(OFFSET($AM$3,0,0,'Données projet'!$E$10+1,1))-AVERAGE(OFFSET($H$3,0,0,'Données projet'!$E$10+1,1))</f>
        <v>272.66985936980086</v>
      </c>
      <c r="AO101" s="62">
        <f t="shared" si="90"/>
        <v>320.12040114313697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131.19503581767364</v>
      </c>
      <c r="AV101" s="23">
        <f>EXP(-LN(2)/25)*AV100+(1-EXP(-LN(2)/25))/(LN(2)/25)*Calculateur!AQ101*Calculateur!AS101*VLOOKUP('Données projet'!$B$10,Paramètres!$A$1:$I$88,3,0)*0.475*44/12</f>
        <v>33.599329743648198</v>
      </c>
      <c r="AW101" s="23">
        <f>EXP(-LN(2)/2)*AW100+(1-EXP(-LN(2)/2))/(LN(2)/2)*AQ101*AT101*VLOOKUP('Données projet'!$B$10,Paramètres!$A$1:$I$88,3,0)*0.475*44/12</f>
        <v>3.5692447881962414E-3</v>
      </c>
      <c r="AX101" s="23">
        <f t="shared" si="60"/>
        <v>164.79793480611005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</v>
      </c>
      <c r="BD101" s="13">
        <f>IF('Données projet'!$A$88&gt;35,BD100+BC101-BL100,IF(A101&lt;'Données projet'!$A$88,$BA$205^A101,IF(A101='Données projet'!$A$88,'Données projet'!$B$88,BD100+BC101-BL100)))</f>
        <v>484</v>
      </c>
      <c r="BE101" s="14">
        <f>BD101*VLOOKUP('Données projet'!$B$11,Paramètres!$A$1:$I$88,3,0)*VLOOKUP('Données projet'!$B$11,Paramètres!$A$1:$I$88,5,0)</f>
        <v>226.51199999999997</v>
      </c>
      <c r="BF101" s="14">
        <f t="shared" si="91"/>
        <v>55.527824937247544</v>
      </c>
      <c r="BG101" s="22">
        <f t="shared" si="61"/>
        <v>491.21936176570608</v>
      </c>
      <c r="BH101" s="62">
        <f t="shared" si="62"/>
        <v>784.5526950990394</v>
      </c>
      <c r="BI101" s="62">
        <f ca="1">AVERAGE(OFFSET($BH$3,0,0,'Données projet'!$E$11+1,1))-AVERAGE(OFFSET($H$3,0,0,'Données projet'!$E$11+1,1))</f>
        <v>164.93326103756453</v>
      </c>
      <c r="BJ101" s="62">
        <f t="shared" si="92"/>
        <v>115.86489547584461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15.490850474717785</v>
      </c>
      <c r="BQ101" s="23">
        <f>EXP(-LN(2)/25)*BQ100+(1-EXP(-LN(2)/25))/(LN(2)/25)*Calculateur!BL101*Calculateur!BN101*VLOOKUP('Données projet'!$B$11,Paramètres!$A$1:$I$88,3,0)*0.475*44/12</f>
        <v>9.576059580495814</v>
      </c>
      <c r="BR101" s="23">
        <f>EXP(-LN(2)/2)*BR100+(1-EXP(-LN(2)/2))/(LN(2)/2)*BL101*BO101*VLOOKUP('Données projet'!$B$11,Paramètres!$A$1:$I$88,3,0)*0.475*44/12</f>
        <v>0.18059089010676965</v>
      </c>
      <c r="BS101" s="24">
        <f t="shared" si="63"/>
        <v>25.247500945320368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488.6098562290428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-3.4106051316484809E-13</v>
      </c>
      <c r="O102" s="14">
        <f>N102*VLOOKUP('Données projet'!$B$9,Paramètres!$A$1:$I$88,3,0)*VLOOKUP('Données projet'!$B$9,Paramètres!$A$1:$I$88,5,0)</f>
        <v>-1.9065282685915009E-13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461.42631729930201</v>
      </c>
      <c r="T102" s="62">
        <f t="shared" si="88"/>
        <v>570.46734160592086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147.65256909387585</v>
      </c>
      <c r="AA102" s="23">
        <f>EXP(-LN(2)/25)*AA101+(1-EXP(-LN(2)/25))/(LN(2)/25)*Calculateur!V102*Calculateur!X102*VLOOKUP('Données projet'!$B$9,Paramètres!$A$1:$I$88,3,0)*0.475*44/12</f>
        <v>30.656862621003416</v>
      </c>
      <c r="AB102" s="23">
        <f>EXP(-LN(2)/2)*AB101+(1-EXP(-LN(2)/2))/(LN(2)/2)*V102*Y102*VLOOKUP('Données projet'!$B$9,Paramètres!$A$1:$I$88,3,0)*0.475*44/12</f>
        <v>3.4122361625710197E-4</v>
      </c>
      <c r="AC102" s="24">
        <f t="shared" si="57"/>
        <v>178.30977293849554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2.8421709430404007E-13</v>
      </c>
      <c r="AJ102" s="14">
        <f>AI102*VLOOKUP('Données projet'!$B$10,Paramètres!$A$1:$I$88,3,0)*VLOOKUP('Données projet'!$B$10,Paramètres!$A$1:$I$88,5,0)</f>
        <v>1.7735146684572101E-13</v>
      </c>
      <c r="AK102" s="14">
        <f t="shared" si="89"/>
        <v>2.4924271921531257E-12</v>
      </c>
      <c r="AL102" s="22">
        <f t="shared" si="58"/>
        <v>4.6498644977563242E-12</v>
      </c>
      <c r="AM102" s="62">
        <f t="shared" si="59"/>
        <v>293.33333333333798</v>
      </c>
      <c r="AN102" s="62">
        <f ca="1">AVERAGE(OFFSET($AM$3,0,0,'Données projet'!$E$10+1,1))-AVERAGE(OFFSET($H$3,0,0,'Données projet'!$E$10+1,1))</f>
        <v>272.66985936980086</v>
      </c>
      <c r="AO102" s="62">
        <f t="shared" si="90"/>
        <v>320.12040114313697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128.62238118635949</v>
      </c>
      <c r="AV102" s="23">
        <f>EXP(-LN(2)/25)*AV101+(1-EXP(-LN(2)/25))/(LN(2)/25)*Calculateur!AQ102*Calculateur!AS102*VLOOKUP('Données projet'!$B$10,Paramètres!$A$1:$I$88,3,0)*0.475*44/12</f>
        <v>32.680554304896177</v>
      </c>
      <c r="AW102" s="23">
        <f>EXP(-LN(2)/2)*AW101+(1-EXP(-LN(2)/2))/(LN(2)/2)*AQ102*AT102*VLOOKUP('Données projet'!$B$10,Paramètres!$A$1:$I$88,3,0)*0.475*44/12</f>
        <v>2.5238371934483048E-3</v>
      </c>
      <c r="AX102" s="23">
        <f t="shared" si="60"/>
        <v>161.3054593284491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</v>
      </c>
      <c r="BD102" s="13">
        <f>IF('Données projet'!$A$88&gt;35,BD101+BC102-BL101,IF(A102&lt;'Données projet'!$A$88,$BA$205^A102,IF(A102='Données projet'!$A$88,'Données projet'!$B$88,BD101+BC102-BL101)))</f>
        <v>487</v>
      </c>
      <c r="BE102" s="14">
        <f>BD102*VLOOKUP('Données projet'!$B$11,Paramètres!$A$1:$I$88,3,0)*VLOOKUP('Données projet'!$B$11,Paramètres!$A$1:$I$88,5,0)</f>
        <v>227.916</v>
      </c>
      <c r="BF102" s="14">
        <f t="shared" si="91"/>
        <v>55.831833576509503</v>
      </c>
      <c r="BG102" s="22">
        <f t="shared" si="61"/>
        <v>494.19414347908742</v>
      </c>
      <c r="BH102" s="62">
        <f t="shared" si="62"/>
        <v>787.52747681242067</v>
      </c>
      <c r="BI102" s="62">
        <f ca="1">AVERAGE(OFFSET($BH$3,0,0,'Données projet'!$E$11+1,1))-AVERAGE(OFFSET($H$3,0,0,'Données projet'!$E$11+1,1))</f>
        <v>164.93326103756453</v>
      </c>
      <c r="BJ102" s="62">
        <f t="shared" si="92"/>
        <v>115.86489547584461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15.187084345394398</v>
      </c>
      <c r="BQ102" s="23">
        <f>EXP(-LN(2)/25)*BQ101+(1-EXP(-LN(2)/25))/(LN(2)/25)*Calculateur!BL102*Calculateur!BN102*VLOOKUP('Données projet'!$B$11,Paramètres!$A$1:$I$88,3,0)*0.475*44/12</f>
        <v>9.3142017276840683</v>
      </c>
      <c r="BR102" s="23">
        <f>EXP(-LN(2)/2)*BR101+(1-EXP(-LN(2)/2))/(LN(2)/2)*BL102*BO102*VLOOKUP('Données projet'!$B$11,Paramètres!$A$1:$I$88,3,0)*0.475*44/12</f>
        <v>0.12769704301501142</v>
      </c>
      <c r="BS102" s="24">
        <f t="shared" si="63"/>
        <v>24.62898311609348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490.53279670439605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-3.4106051316484809E-13</v>
      </c>
      <c r="O103" s="14">
        <f>N103*VLOOKUP('Données projet'!$B$9,Paramètres!$A$1:$I$88,3,0)*VLOOKUP('Données projet'!$B$9,Paramètres!$A$1:$I$88,5,0)</f>
        <v>-1.9065282685915009E-13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461.42631729930201</v>
      </c>
      <c r="T103" s="62">
        <f t="shared" si="88"/>
        <v>570.46734160592086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144.7571922731195</v>
      </c>
      <c r="AA103" s="23">
        <f>EXP(-LN(2)/25)*AA102+(1-EXP(-LN(2)/25))/(LN(2)/25)*Calculateur!V103*Calculateur!X103*VLOOKUP('Données projet'!$B$9,Paramètres!$A$1:$I$88,3,0)*0.475*44/12</f>
        <v>29.818549100457741</v>
      </c>
      <c r="AB103" s="23">
        <f>EXP(-LN(2)/2)*AB102+(1-EXP(-LN(2)/2))/(LN(2)/2)*V103*Y103*VLOOKUP('Données projet'!$B$9,Paramètres!$A$1:$I$88,3,0)*0.475*44/12</f>
        <v>2.4128153295639308E-4</v>
      </c>
      <c r="AC103" s="24">
        <f t="shared" si="57"/>
        <v>174.57598265511021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2.8421709430404007E-13</v>
      </c>
      <c r="AJ103" s="14">
        <f>AI103*VLOOKUP('Données projet'!$B$10,Paramètres!$A$1:$I$88,3,0)*VLOOKUP('Données projet'!$B$10,Paramètres!$A$1:$I$88,5,0)</f>
        <v>1.7735146684572101E-13</v>
      </c>
      <c r="AK103" s="14">
        <f t="shared" si="89"/>
        <v>2.4924271921531257E-12</v>
      </c>
      <c r="AL103" s="22">
        <f t="shared" si="58"/>
        <v>4.6498644977563242E-12</v>
      </c>
      <c r="AM103" s="62">
        <f t="shared" si="59"/>
        <v>293.33333333333798</v>
      </c>
      <c r="AN103" s="62">
        <f ca="1">AVERAGE(OFFSET($AM$3,0,0,'Données projet'!$E$10+1,1))-AVERAGE(OFFSET($H$3,0,0,'Données projet'!$E$10+1,1))</f>
        <v>272.66985936980086</v>
      </c>
      <c r="AO103" s="62">
        <f t="shared" si="90"/>
        <v>320.12040114313697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126.10017474320102</v>
      </c>
      <c r="AV103" s="23">
        <f>EXP(-LN(2)/25)*AV102+(1-EXP(-LN(2)/25))/(LN(2)/25)*Calculateur!AQ103*Calculateur!AS103*VLOOKUP('Données projet'!$B$10,Paramètres!$A$1:$I$88,3,0)*0.475*44/12</f>
        <v>31.786902828833131</v>
      </c>
      <c r="AW103" s="23">
        <f>EXP(-LN(2)/2)*AW102+(1-EXP(-LN(2)/2))/(LN(2)/2)*AQ103*AT103*VLOOKUP('Données projet'!$B$10,Paramètres!$A$1:$I$88,3,0)*0.475*44/12</f>
        <v>1.7846223940981207E-3</v>
      </c>
      <c r="AX103" s="23">
        <f t="shared" si="60"/>
        <v>157.88886219442824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490</v>
      </c>
      <c r="BB103" s="13">
        <f>VLOOKUP(A103,'Données projet'!$A$87:$I$107,9,0)</f>
        <v>3</v>
      </c>
      <c r="BC103" s="13">
        <f t="array" ref="BC103">INDEX(BB:BB,MIN(IF(ISNUMBER(BB103:BB299),ROW(BB103:BB299),"")))</f>
        <v>3</v>
      </c>
      <c r="BD103" s="13">
        <f>IF('Données projet'!$A$88&gt;35,BD102+BC103-BL102,IF(A103&lt;'Données projet'!$A$88,$BA$205^A103,IF(A103='Données projet'!$A$88,'Données projet'!$B$88,BD102+BC103-BL102)))</f>
        <v>490</v>
      </c>
      <c r="BE103" s="14">
        <f>BD103*VLOOKUP('Données projet'!$B$11,Paramètres!$A$1:$I$88,3,0)*VLOOKUP('Données projet'!$B$11,Paramètres!$A$1:$I$88,5,0)</f>
        <v>229.32000000000002</v>
      </c>
      <c r="BF103" s="14">
        <f t="shared" si="91"/>
        <v>56.135624305144624</v>
      </c>
      <c r="BG103" s="22">
        <f t="shared" si="61"/>
        <v>497.16854566479356</v>
      </c>
      <c r="BH103" s="62">
        <f t="shared" si="62"/>
        <v>790.50187899812681</v>
      </c>
      <c r="BI103" s="62">
        <f ca="1">AVERAGE(OFFSET($BH$3,0,0,'Données projet'!$E$11+1,1))-AVERAGE(OFFSET($H$3,0,0,'Données projet'!$E$11+1,1))</f>
        <v>164.93326103756453</v>
      </c>
      <c r="BJ103" s="62">
        <f t="shared" si="92"/>
        <v>115.86489547584461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640</v>
      </c>
      <c r="BM103" s="17">
        <f>IF(ISNA(VLOOKUP(A103,'Données projet'!$A$87:$I$107,5,0)),0%,VLOOKUP(A103,'Données projet'!$A$87:$I$107,5,0)*VLOOKUP('Données projet'!$B$11,Paramètres!$A$1:$I$88,7,0))</f>
        <v>0.44000000000000006</v>
      </c>
      <c r="BN103" s="17">
        <f>IF(ISNA(VLOOKUP(A103,'Données projet'!$A$87:$I$107,6,0)),0%,VLOOKUP(A103,'Données projet'!$A$87:$I$107,6,0)*VLOOKUP('Données projet'!$B$11,Paramètres!$A$1:$I$88,7,0))</f>
        <v>6.0500000000000005E-2</v>
      </c>
      <c r="BO103" s="17">
        <f>IF(ISNA(VLOOKUP(A103,'Données projet'!$A$87:$I$107,7,0)),0%,VLOOKUP(A103,'Données projet'!$A$87:$I$107,7,0))</f>
        <v>0.09</v>
      </c>
      <c r="BP103" s="23">
        <f>EXP(-LN(2)/35)*BP102+(1-EXP(-LN(2)/35))/(LN(2)/35)*BL103*BM103*VLOOKUP('Données projet'!$B$11,Paramètres!$A$1:$I$88,3,0)*0.475*44/12</f>
        <v>189.71561258961844</v>
      </c>
      <c r="BQ103" s="23">
        <f>EXP(-LN(2)/25)*BQ102+(1-EXP(-LN(2)/25))/(LN(2)/25)*Calculateur!BL103*Calculateur!BN103*VLOOKUP('Données projet'!$B$11,Paramètres!$A$1:$I$88,3,0)*0.475*44/12</f>
        <v>33.003476614049404</v>
      </c>
      <c r="BR103" s="23">
        <f>EXP(-LN(2)/2)*BR102+(1-EXP(-LN(2)/2))/(LN(2)/2)*BL103*BO103*VLOOKUP('Données projet'!$B$11,Paramètres!$A$1:$I$88,3,0)*0.475*44/12</f>
        <v>30.611655043014821</v>
      </c>
      <c r="BS103" s="24">
        <f t="shared" si="63"/>
        <v>253.33074424668268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492.4553017979585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-3.4106051316484809E-13</v>
      </c>
      <c r="O104" s="14">
        <f>N104*VLOOKUP('Données projet'!$B$9,Paramètres!$A$1:$I$88,3,0)*VLOOKUP('Données projet'!$B$9,Paramètres!$A$1:$I$88,5,0)</f>
        <v>-1.9065282685915009E-13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461.42631729930201</v>
      </c>
      <c r="T104" s="62">
        <f t="shared" si="88"/>
        <v>570.46734160592086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141.9185920258127</v>
      </c>
      <c r="AA104" s="23">
        <f>EXP(-LN(2)/25)*AA103+(1-EXP(-LN(2)/25))/(LN(2)/25)*Calculateur!V104*Calculateur!X104*VLOOKUP('Données projet'!$B$9,Paramètres!$A$1:$I$88,3,0)*0.475*44/12</f>
        <v>29.003159307216379</v>
      </c>
      <c r="AB104" s="23">
        <f>EXP(-LN(2)/2)*AB103+(1-EXP(-LN(2)/2))/(LN(2)/2)*V104*Y104*VLOOKUP('Données projet'!$B$9,Paramètres!$A$1:$I$88,3,0)*0.475*44/12</f>
        <v>1.7061180812855101E-4</v>
      </c>
      <c r="AC104" s="24">
        <f t="shared" si="57"/>
        <v>170.92192194483721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2.8421709430404007E-13</v>
      </c>
      <c r="AJ104" s="14">
        <f>AI104*VLOOKUP('Données projet'!$B$10,Paramètres!$A$1:$I$88,3,0)*VLOOKUP('Données projet'!$B$10,Paramètres!$A$1:$I$88,5,0)</f>
        <v>1.7735146684572101E-13</v>
      </c>
      <c r="AK104" s="14">
        <f t="shared" si="89"/>
        <v>2.4924271921531257E-12</v>
      </c>
      <c r="AL104" s="22">
        <f t="shared" si="58"/>
        <v>4.6498644977563242E-12</v>
      </c>
      <c r="AM104" s="62">
        <f t="shared" si="59"/>
        <v>293.33333333333798</v>
      </c>
      <c r="AN104" s="62">
        <f ca="1">AVERAGE(OFFSET($AM$3,0,0,'Données projet'!$E$10+1,1))-AVERAGE(OFFSET($H$3,0,0,'Données projet'!$E$10+1,1))</f>
        <v>272.66985936980086</v>
      </c>
      <c r="AO104" s="62">
        <f t="shared" si="90"/>
        <v>320.12040114313697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123.62742722999887</v>
      </c>
      <c r="AV104" s="23">
        <f>EXP(-LN(2)/25)*AV103+(1-EXP(-LN(2)/25))/(LN(2)/25)*Calculateur!AQ104*Calculateur!AS104*VLOOKUP('Données projet'!$B$10,Paramètres!$A$1:$I$88,3,0)*0.475*44/12</f>
        <v>30.917688299378121</v>
      </c>
      <c r="AW104" s="23">
        <f>EXP(-LN(2)/2)*AW103+(1-EXP(-LN(2)/2))/(LN(2)/2)*AQ104*AT104*VLOOKUP('Données projet'!$B$10,Paramètres!$A$1:$I$88,3,0)*0.475*44/12</f>
        <v>1.2619185967241524E-3</v>
      </c>
      <c r="AX104" s="23">
        <f t="shared" si="60"/>
        <v>154.54637744797373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-150</v>
      </c>
      <c r="BE104" s="14">
        <f>BD104*VLOOKUP('Données projet'!$B$11,Paramètres!$A$1:$I$88,3,0)*VLOOKUP('Données projet'!$B$11,Paramètres!$A$1:$I$88,5,0)</f>
        <v>-70.2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164.93326103756453</v>
      </c>
      <c r="BJ104" s="62">
        <f t="shared" si="92"/>
        <v>115.86489547584461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185.9954051418338</v>
      </c>
      <c r="BQ104" s="23">
        <f>EXP(-LN(2)/25)*BQ103+(1-EXP(-LN(2)/25))/(LN(2)/25)*Calculateur!BL104*Calculateur!BN104*VLOOKUP('Données projet'!$B$11,Paramètres!$A$1:$I$88,3,0)*0.475*44/12</f>
        <v>32.100994810460818</v>
      </c>
      <c r="BR104" s="23">
        <f>EXP(-LN(2)/2)*BR103+(1-EXP(-LN(2)/2))/(LN(2)/2)*BL104*BO104*VLOOKUP('Données projet'!$B$11,Paramètres!$A$1:$I$88,3,0)*0.475*44/12</f>
        <v>21.645708864259156</v>
      </c>
      <c r="BS104" s="24">
        <f t="shared" si="63"/>
        <v>239.74210881655378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494.37737631959351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-3.4106051316484809E-13</v>
      </c>
      <c r="O105" s="14">
        <f>N105*VLOOKUP('Données projet'!$B$9,Paramètres!$A$1:$I$88,3,0)*VLOOKUP('Données projet'!$B$9,Paramètres!$A$1:$I$88,5,0)</f>
        <v>-1.9065282685915009E-13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461.42631729930201</v>
      </c>
      <c r="T105" s="62">
        <f t="shared" si="88"/>
        <v>570.46734160592086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139.13565499798037</v>
      </c>
      <c r="AA105" s="23">
        <f>EXP(-LN(2)/25)*AA104+(1-EXP(-LN(2)/25))/(LN(2)/25)*Calculateur!V105*Calculateur!X105*VLOOKUP('Données projet'!$B$9,Paramètres!$A$1:$I$88,3,0)*0.475*44/12</f>
        <v>28.210066390750686</v>
      </c>
      <c r="AB105" s="23">
        <f>EXP(-LN(2)/2)*AB104+(1-EXP(-LN(2)/2))/(LN(2)/2)*V105*Y105*VLOOKUP('Données projet'!$B$9,Paramètres!$A$1:$I$88,3,0)*0.475*44/12</f>
        <v>1.2064076647819656E-4</v>
      </c>
      <c r="AC105" s="24">
        <f t="shared" si="57"/>
        <v>167.34584202949753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2.8421709430404007E-13</v>
      </c>
      <c r="AJ105" s="14">
        <f>AI105*VLOOKUP('Données projet'!$B$10,Paramètres!$A$1:$I$88,3,0)*VLOOKUP('Données projet'!$B$10,Paramètres!$A$1:$I$88,5,0)</f>
        <v>1.7735146684572101E-13</v>
      </c>
      <c r="AK105" s="14">
        <f t="shared" si="89"/>
        <v>2.4924271921531257E-12</v>
      </c>
      <c r="AL105" s="22">
        <f t="shared" si="58"/>
        <v>4.6498644977563242E-12</v>
      </c>
      <c r="AM105" s="62">
        <f t="shared" si="59"/>
        <v>293.33333333333798</v>
      </c>
      <c r="AN105" s="62">
        <f ca="1">AVERAGE(OFFSET($AM$3,0,0,'Données projet'!$E$10+1,1))-AVERAGE(OFFSET($H$3,0,0,'Données projet'!$E$10+1,1))</f>
        <v>272.66985936980086</v>
      </c>
      <c r="AO105" s="62">
        <f t="shared" si="90"/>
        <v>320.12040114313697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121.20316878730355</v>
      </c>
      <c r="AV105" s="23">
        <f>EXP(-LN(2)/25)*AV104+(1-EXP(-LN(2)/25))/(LN(2)/25)*Calculateur!AQ105*Calculateur!AS105*VLOOKUP('Données projet'!$B$10,Paramètres!$A$1:$I$88,3,0)*0.475*44/12</f>
        <v>30.072242486941061</v>
      </c>
      <c r="AW105" s="23">
        <f>EXP(-LN(2)/2)*AW104+(1-EXP(-LN(2)/2))/(LN(2)/2)*AQ105*AT105*VLOOKUP('Données projet'!$B$10,Paramètres!$A$1:$I$88,3,0)*0.475*44/12</f>
        <v>8.9231119704906035E-4</v>
      </c>
      <c r="AX105" s="23">
        <f t="shared" si="60"/>
        <v>151.27630358544167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-150</v>
      </c>
      <c r="BE105" s="14">
        <f>BD105*VLOOKUP('Données projet'!$B$11,Paramètres!$A$1:$I$88,3,0)*VLOOKUP('Données projet'!$B$11,Paramètres!$A$1:$I$88,5,0)</f>
        <v>-70.2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164.93326103756453</v>
      </c>
      <c r="BJ105" s="62">
        <f t="shared" si="92"/>
        <v>115.86489547584461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182.34814869299771</v>
      </c>
      <c r="BQ105" s="23">
        <f>EXP(-LN(2)/25)*BQ104+(1-EXP(-LN(2)/25))/(LN(2)/25)*Calculateur!BL105*Calculateur!BN105*VLOOKUP('Données projet'!$B$11,Paramètres!$A$1:$I$88,3,0)*0.475*44/12</f>
        <v>31.223191419250817</v>
      </c>
      <c r="BR105" s="23">
        <f>EXP(-LN(2)/2)*BR104+(1-EXP(-LN(2)/2))/(LN(2)/2)*BL105*BO105*VLOOKUP('Données projet'!$B$11,Paramètres!$A$1:$I$88,3,0)*0.475*44/12</f>
        <v>15.305827521507412</v>
      </c>
      <c r="BS105" s="24">
        <f t="shared" si="63"/>
        <v>228.87716763375593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496.29902497941657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-3.4106051316484809E-13</v>
      </c>
      <c r="O106" s="14">
        <f>N106*VLOOKUP('Données projet'!$B$9,Paramètres!$A$1:$I$88,3,0)*VLOOKUP('Données projet'!$B$9,Paramètres!$A$1:$I$88,5,0)</f>
        <v>-1.9065282685915009E-13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461.42631729930201</v>
      </c>
      <c r="T106" s="62">
        <f t="shared" si="88"/>
        <v>570.46734160592086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136.40728966783985</v>
      </c>
      <c r="AA106" s="23">
        <f>EXP(-LN(2)/25)*AA105+(1-EXP(-LN(2)/25))/(LN(2)/25)*Calculateur!V106*Calculateur!X106*VLOOKUP('Données projet'!$B$9,Paramètres!$A$1:$I$88,3,0)*0.475*44/12</f>
        <v>27.438660641792691</v>
      </c>
      <c r="AB106" s="23">
        <f>EXP(-LN(2)/2)*AB105+(1-EXP(-LN(2)/2))/(LN(2)/2)*V106*Y106*VLOOKUP('Données projet'!$B$9,Paramètres!$A$1:$I$88,3,0)*0.475*44/12</f>
        <v>8.530590406427552E-5</v>
      </c>
      <c r="AC106" s="24">
        <f t="shared" si="57"/>
        <v>163.84603561553661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2.8421709430404007E-13</v>
      </c>
      <c r="AJ106" s="14">
        <f>AI106*VLOOKUP('Données projet'!$B$10,Paramètres!$A$1:$I$88,3,0)*VLOOKUP('Données projet'!$B$10,Paramètres!$A$1:$I$88,5,0)</f>
        <v>1.7735146684572101E-13</v>
      </c>
      <c r="AK106" s="14">
        <f t="shared" si="89"/>
        <v>2.4924271921531257E-12</v>
      </c>
      <c r="AL106" s="22">
        <f t="shared" si="58"/>
        <v>4.6498644977563242E-12</v>
      </c>
      <c r="AM106" s="62">
        <f t="shared" si="59"/>
        <v>293.33333333333798</v>
      </c>
      <c r="AN106" s="62">
        <f ca="1">AVERAGE(OFFSET($AM$3,0,0,'Données projet'!$E$10+1,1))-AVERAGE(OFFSET($H$3,0,0,'Données projet'!$E$10+1,1))</f>
        <v>272.66985936980086</v>
      </c>
      <c r="AO106" s="62">
        <f t="shared" si="90"/>
        <v>320.12040114313697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118.82644857401785</v>
      </c>
      <c r="AV106" s="23">
        <f>EXP(-LN(2)/25)*AV105+(1-EXP(-LN(2)/25))/(LN(2)/25)*Calculateur!AQ106*Calculateur!AS106*VLOOKUP('Données projet'!$B$10,Paramètres!$A$1:$I$88,3,0)*0.475*44/12</f>
        <v>29.249915434705155</v>
      </c>
      <c r="AW106" s="23">
        <f>EXP(-LN(2)/2)*AW105+(1-EXP(-LN(2)/2))/(LN(2)/2)*AQ106*AT106*VLOOKUP('Données projet'!$B$10,Paramètres!$A$1:$I$88,3,0)*0.475*44/12</f>
        <v>6.309592983620762E-4</v>
      </c>
      <c r="AX106" s="23">
        <f t="shared" si="60"/>
        <v>148.07699496802135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-150</v>
      </c>
      <c r="BE106" s="14">
        <f>BD106*VLOOKUP('Données projet'!$B$11,Paramètres!$A$1:$I$88,3,0)*VLOOKUP('Données projet'!$B$11,Paramètres!$A$1:$I$88,5,0)</f>
        <v>-70.2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164.93326103756453</v>
      </c>
      <c r="BJ106" s="62">
        <f t="shared" si="92"/>
        <v>115.86489547584461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178.77241271851653</v>
      </c>
      <c r="BQ106" s="23">
        <f>EXP(-LN(2)/25)*BQ105+(1-EXP(-LN(2)/25))/(LN(2)/25)*Calculateur!BL106*Calculateur!BN106*VLOOKUP('Données projet'!$B$11,Paramètres!$A$1:$I$88,3,0)*0.475*44/12</f>
        <v>30.369391607935128</v>
      </c>
      <c r="BR106" s="23">
        <f>EXP(-LN(2)/2)*BR105+(1-EXP(-LN(2)/2))/(LN(2)/2)*BL106*BO106*VLOOKUP('Données projet'!$B$11,Paramètres!$A$1:$I$88,3,0)*0.475*44/12</f>
        <v>10.82285443212958</v>
      </c>
      <c r="BS106" s="24">
        <f t="shared" si="63"/>
        <v>219.96465875858127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498.22025239081199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-3.4106051316484809E-13</v>
      </c>
      <c r="O107" s="14">
        <f>N107*VLOOKUP('Données projet'!$B$9,Paramètres!$A$1:$I$88,3,0)*VLOOKUP('Données projet'!$B$9,Paramètres!$A$1:$I$88,5,0)</f>
        <v>-1.9065282685915009E-13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461.42631729930201</v>
      </c>
      <c r="T107" s="62">
        <f t="shared" si="88"/>
        <v>570.46734160592086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133.73242591768488</v>
      </c>
      <c r="AA107" s="23">
        <f>EXP(-LN(2)/25)*AA106+(1-EXP(-LN(2)/25))/(LN(2)/25)*Calculateur!V107*Calculateur!X107*VLOOKUP('Données projet'!$B$9,Paramètres!$A$1:$I$88,3,0)*0.475*44/12</f>
        <v>26.688349023606417</v>
      </c>
      <c r="AB107" s="23">
        <f>EXP(-LN(2)/2)*AB106+(1-EXP(-LN(2)/2))/(LN(2)/2)*V107*Y107*VLOOKUP('Données projet'!$B$9,Paramètres!$A$1:$I$88,3,0)*0.475*44/12</f>
        <v>6.0320383239098291E-5</v>
      </c>
      <c r="AC107" s="24">
        <f t="shared" si="57"/>
        <v>160.42083526167451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2.8421709430404007E-13</v>
      </c>
      <c r="AJ107" s="14">
        <f>AI107*VLOOKUP('Données projet'!$B$10,Paramètres!$A$1:$I$88,3,0)*VLOOKUP('Données projet'!$B$10,Paramètres!$A$1:$I$88,5,0)</f>
        <v>1.7735146684572101E-13</v>
      </c>
      <c r="AK107" s="14">
        <f t="shared" si="89"/>
        <v>2.4924271921531257E-12</v>
      </c>
      <c r="AL107" s="22">
        <f t="shared" si="58"/>
        <v>4.6498644977563242E-12</v>
      </c>
      <c r="AM107" s="62">
        <f t="shared" si="59"/>
        <v>293.33333333333798</v>
      </c>
      <c r="AN107" s="62">
        <f ca="1">AVERAGE(OFFSET($AM$3,0,0,'Données projet'!$E$10+1,1))-AVERAGE(OFFSET($H$3,0,0,'Données projet'!$E$10+1,1))</f>
        <v>272.66985936980086</v>
      </c>
      <c r="AO107" s="62">
        <f t="shared" si="90"/>
        <v>320.12040114313697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116.49633439445847</v>
      </c>
      <c r="AV107" s="23">
        <f>EXP(-LN(2)/25)*AV106+(1-EXP(-LN(2)/25))/(LN(2)/25)*Calculateur!AQ107*Calculateur!AS107*VLOOKUP('Données projet'!$B$10,Paramètres!$A$1:$I$88,3,0)*0.475*44/12</f>
        <v>28.450074958956943</v>
      </c>
      <c r="AW107" s="23">
        <f>EXP(-LN(2)/2)*AW106+(1-EXP(-LN(2)/2))/(LN(2)/2)*AQ107*AT107*VLOOKUP('Données projet'!$B$10,Paramètres!$A$1:$I$88,3,0)*0.475*44/12</f>
        <v>4.4615559852453018E-4</v>
      </c>
      <c r="AX107" s="23">
        <f t="shared" si="60"/>
        <v>144.94685550901394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-150</v>
      </c>
      <c r="BE107" s="14">
        <f>BD107*VLOOKUP('Données projet'!$B$11,Paramètres!$A$1:$I$88,3,0)*VLOOKUP('Données projet'!$B$11,Paramètres!$A$1:$I$88,5,0)</f>
        <v>-70.2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164.93326103756453</v>
      </c>
      <c r="BJ107" s="62">
        <f t="shared" si="92"/>
        <v>115.86489547584461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175.26679474551133</v>
      </c>
      <c r="BQ107" s="23">
        <f>EXP(-LN(2)/25)*BQ106+(1-EXP(-LN(2)/25))/(LN(2)/25)*Calculateur!BL107*Calculateur!BN107*VLOOKUP('Données projet'!$B$11,Paramètres!$A$1:$I$88,3,0)*0.475*44/12</f>
        <v>29.538938997359249</v>
      </c>
      <c r="BR107" s="23">
        <f>EXP(-LN(2)/2)*BR106+(1-EXP(-LN(2)/2))/(LN(2)/2)*BL107*BO107*VLOOKUP('Données projet'!$B$11,Paramètres!$A$1:$I$88,3,0)*0.475*44/12</f>
        <v>7.652913760753707</v>
      </c>
      <c r="BS107" s="24">
        <f t="shared" si="63"/>
        <v>212.45864750362429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500.14106307332992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-3.4106051316484809E-13</v>
      </c>
      <c r="O108" s="14">
        <f>N108*VLOOKUP('Données projet'!$B$9,Paramètres!$A$1:$I$88,3,0)*VLOOKUP('Données projet'!$B$9,Paramètres!$A$1:$I$88,5,0)</f>
        <v>-1.9065282685915009E-13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461.42631729930201</v>
      </c>
      <c r="T108" s="62">
        <f t="shared" si="88"/>
        <v>570.46734160592086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131.11001461416464</v>
      </c>
      <c r="AA108" s="23">
        <f>EXP(-LN(2)/25)*AA107+(1-EXP(-LN(2)/25))/(LN(2)/25)*Calculateur!V108*Calculateur!X108*VLOOKUP('Données projet'!$B$9,Paramètres!$A$1:$I$88,3,0)*0.475*44/12</f>
        <v>25.95855471607662</v>
      </c>
      <c r="AB108" s="23">
        <f>EXP(-LN(2)/2)*AB107+(1-EXP(-LN(2)/2))/(LN(2)/2)*V108*Y108*VLOOKUP('Données projet'!$B$9,Paramètres!$A$1:$I$88,3,0)*0.475*44/12</f>
        <v>4.2652952032137767E-5</v>
      </c>
      <c r="AC108" s="24">
        <f t="shared" si="57"/>
        <v>157.06861198319328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2.8421709430404007E-13</v>
      </c>
      <c r="AJ108" s="14">
        <f>AI108*VLOOKUP('Données projet'!$B$10,Paramètres!$A$1:$I$88,3,0)*VLOOKUP('Données projet'!$B$10,Paramètres!$A$1:$I$88,5,0)</f>
        <v>1.7735146684572101E-13</v>
      </c>
      <c r="AK108" s="14">
        <f t="shared" si="89"/>
        <v>2.4924271921531257E-12</v>
      </c>
      <c r="AL108" s="22">
        <f t="shared" si="58"/>
        <v>4.6498644977563242E-12</v>
      </c>
      <c r="AM108" s="62">
        <f t="shared" si="59"/>
        <v>293.33333333333798</v>
      </c>
      <c r="AN108" s="62">
        <f ca="1">AVERAGE(OFFSET($AM$3,0,0,'Données projet'!$E$10+1,1))-AVERAGE(OFFSET($H$3,0,0,'Données projet'!$E$10+1,1))</f>
        <v>272.66985936980086</v>
      </c>
      <c r="AO108" s="62">
        <f t="shared" si="90"/>
        <v>320.12040114313697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114.21191233273095</v>
      </c>
      <c r="AV108" s="23">
        <f>EXP(-LN(2)/25)*AV107+(1-EXP(-LN(2)/25))/(LN(2)/25)*Calculateur!AQ108*Calculateur!AS108*VLOOKUP('Données projet'!$B$10,Paramètres!$A$1:$I$88,3,0)*0.475*44/12</f>
        <v>27.672106163079846</v>
      </c>
      <c r="AW108" s="23">
        <f>EXP(-LN(2)/2)*AW107+(1-EXP(-LN(2)/2))/(LN(2)/2)*AQ108*AT108*VLOOKUP('Données projet'!$B$10,Paramètres!$A$1:$I$88,3,0)*0.475*44/12</f>
        <v>3.154796491810381E-4</v>
      </c>
      <c r="AX108" s="23">
        <f t="shared" si="60"/>
        <v>141.88433397545995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-150</v>
      </c>
      <c r="BE108" s="14">
        <f>BD108*VLOOKUP('Données projet'!$B$11,Paramètres!$A$1:$I$88,3,0)*VLOOKUP('Données projet'!$B$11,Paramètres!$A$1:$I$88,5,0)</f>
        <v>-70.2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164.93326103756453</v>
      </c>
      <c r="BJ108" s="62">
        <f t="shared" si="92"/>
        <v>115.86489547584461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171.82991980274093</v>
      </c>
      <c r="BQ108" s="23">
        <f>EXP(-LN(2)/25)*BQ107+(1-EXP(-LN(2)/25))/(LN(2)/25)*Calculateur!BL108*Calculateur!BN108*VLOOKUP('Données projet'!$B$11,Paramètres!$A$1:$I$88,3,0)*0.475*44/12</f>
        <v>28.731195157091172</v>
      </c>
      <c r="BR108" s="23">
        <f>EXP(-LN(2)/2)*BR107+(1-EXP(-LN(2)/2))/(LN(2)/2)*BL108*BO108*VLOOKUP('Données projet'!$B$11,Paramètres!$A$1:$I$88,3,0)*0.475*44/12</f>
        <v>5.4114272160647907</v>
      </c>
      <c r="BS108" s="24">
        <f t="shared" si="63"/>
        <v>205.9725421758969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502.06146145546995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-3.4106051316484809E-13</v>
      </c>
      <c r="O109" s="14">
        <f>N109*VLOOKUP('Données projet'!$B$9,Paramètres!$A$1:$I$88,3,0)*VLOOKUP('Données projet'!$B$9,Paramètres!$A$1:$I$88,5,0)</f>
        <v>-1.9065282685915009E-13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461.42631729930201</v>
      </c>
      <c r="T109" s="62">
        <f t="shared" si="88"/>
        <v>570.46734160592086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128.53902719679348</v>
      </c>
      <c r="AA109" s="23">
        <f>EXP(-LN(2)/25)*AA108+(1-EXP(-LN(2)/25))/(LN(2)/25)*Calculateur!V109*Calculateur!X109*VLOOKUP('Données projet'!$B$9,Paramètres!$A$1:$I$88,3,0)*0.475*44/12</f>
        <v>25.24871667226444</v>
      </c>
      <c r="AB109" s="23">
        <f>EXP(-LN(2)/2)*AB108+(1-EXP(-LN(2)/2))/(LN(2)/2)*V109*Y109*VLOOKUP('Données projet'!$B$9,Paramètres!$A$1:$I$88,3,0)*0.475*44/12</f>
        <v>3.0160191619549149E-5</v>
      </c>
      <c r="AC109" s="24">
        <f t="shared" si="57"/>
        <v>153.78777402924953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2.8421709430404007E-13</v>
      </c>
      <c r="AJ109" s="14">
        <f>AI109*VLOOKUP('Données projet'!$B$10,Paramètres!$A$1:$I$88,3,0)*VLOOKUP('Données projet'!$B$10,Paramètres!$A$1:$I$88,5,0)</f>
        <v>1.7735146684572101E-13</v>
      </c>
      <c r="AK109" s="14">
        <f t="shared" si="89"/>
        <v>2.4924271921531257E-12</v>
      </c>
      <c r="AL109" s="22">
        <f t="shared" si="58"/>
        <v>4.6498644977563242E-12</v>
      </c>
      <c r="AM109" s="62">
        <f t="shared" si="59"/>
        <v>293.33333333333798</v>
      </c>
      <c r="AN109" s="62">
        <f ca="1">AVERAGE(OFFSET($AM$3,0,0,'Données projet'!$E$10+1,1))-AVERAGE(OFFSET($H$3,0,0,'Données projet'!$E$10+1,1))</f>
        <v>272.66985936980086</v>
      </c>
      <c r="AO109" s="62">
        <f t="shared" si="90"/>
        <v>320.12040114313697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111.97228639427402</v>
      </c>
      <c r="AV109" s="23">
        <f>EXP(-LN(2)/25)*AV108+(1-EXP(-LN(2)/25))/(LN(2)/25)*Calculateur!AQ109*Calculateur!AS109*VLOOKUP('Données projet'!$B$10,Paramètres!$A$1:$I$88,3,0)*0.475*44/12</f>
        <v>26.915410964837609</v>
      </c>
      <c r="AW109" s="23">
        <f>EXP(-LN(2)/2)*AW108+(1-EXP(-LN(2)/2))/(LN(2)/2)*AQ109*AT109*VLOOKUP('Données projet'!$B$10,Paramètres!$A$1:$I$88,3,0)*0.475*44/12</f>
        <v>2.2307779926226509E-4</v>
      </c>
      <c r="AX109" s="23">
        <f t="shared" si="60"/>
        <v>138.88792043691089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-150</v>
      </c>
      <c r="BE109" s="14">
        <f>BD109*VLOOKUP('Données projet'!$B$11,Paramètres!$A$1:$I$88,3,0)*VLOOKUP('Données projet'!$B$11,Paramètres!$A$1:$I$88,5,0)</f>
        <v>-70.2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164.93326103756453</v>
      </c>
      <c r="BJ109" s="62">
        <f t="shared" si="92"/>
        <v>115.86489547584461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168.46043988131154</v>
      </c>
      <c r="BQ109" s="23">
        <f>EXP(-LN(2)/25)*BQ108+(1-EXP(-LN(2)/25))/(LN(2)/25)*Calculateur!BL109*Calculateur!BN109*VLOOKUP('Données projet'!$B$11,Paramètres!$A$1:$I$88,3,0)*0.475*44/12</f>
        <v>27.945539114612625</v>
      </c>
      <c r="BR109" s="23">
        <f>EXP(-LN(2)/2)*BR108+(1-EXP(-LN(2)/2))/(LN(2)/2)*BL109*BO109*VLOOKUP('Données projet'!$B$11,Paramètres!$A$1:$I$88,3,0)*0.475*44/12</f>
        <v>3.8264568803768544</v>
      </c>
      <c r="BS109" s="24">
        <f t="shared" si="63"/>
        <v>200.23243587630103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503.98145187735673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-3.4106051316484809E-13</v>
      </c>
      <c r="O110" s="14">
        <f>N110*VLOOKUP('Données projet'!$B$9,Paramètres!$A$1:$I$88,3,0)*VLOOKUP('Données projet'!$B$9,Paramètres!$A$1:$I$88,5,0)</f>
        <v>-1.9065282685915009E-13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461.42631729930201</v>
      </c>
      <c r="T110" s="62">
        <f t="shared" si="88"/>
        <v>570.46734160592086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126.01845527452949</v>
      </c>
      <c r="AA110" s="23">
        <f>EXP(-LN(2)/25)*AA109+(1-EXP(-LN(2)/25))/(LN(2)/25)*Calculateur!V110*Calculateur!X110*VLOOKUP('Données projet'!$B$9,Paramètres!$A$1:$I$88,3,0)*0.475*44/12</f>
        <v>24.558289187089066</v>
      </c>
      <c r="AB110" s="23">
        <f>EXP(-LN(2)/2)*AB109+(1-EXP(-LN(2)/2))/(LN(2)/2)*V110*Y110*VLOOKUP('Données projet'!$B$9,Paramètres!$A$1:$I$88,3,0)*0.475*44/12</f>
        <v>2.1326476016068887E-5</v>
      </c>
      <c r="AC110" s="24">
        <f t="shared" si="57"/>
        <v>150.57676578809455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2.8421709430404007E-13</v>
      </c>
      <c r="AJ110" s="14">
        <f>AI110*VLOOKUP('Données projet'!$B$10,Paramètres!$A$1:$I$88,3,0)*VLOOKUP('Données projet'!$B$10,Paramètres!$A$1:$I$88,5,0)</f>
        <v>1.7735146684572101E-13</v>
      </c>
      <c r="AK110" s="14">
        <f t="shared" si="89"/>
        <v>2.4924271921531257E-12</v>
      </c>
      <c r="AL110" s="22">
        <f t="shared" si="58"/>
        <v>4.6498644977563242E-12</v>
      </c>
      <c r="AM110" s="62">
        <f t="shared" si="59"/>
        <v>293.33333333333798</v>
      </c>
      <c r="AN110" s="62">
        <f ca="1">AVERAGE(OFFSET($AM$3,0,0,'Données projet'!$E$10+1,1))-AVERAGE(OFFSET($H$3,0,0,'Données projet'!$E$10+1,1))</f>
        <v>272.66985936980086</v>
      </c>
      <c r="AO110" s="62">
        <f t="shared" si="90"/>
        <v>320.12040114313697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109.77657815443331</v>
      </c>
      <c r="AV110" s="23">
        <f>EXP(-LN(2)/25)*AV109+(1-EXP(-LN(2)/25))/(LN(2)/25)*Calculateur!AQ110*Calculateur!AS110*VLOOKUP('Données projet'!$B$10,Paramètres!$A$1:$I$88,3,0)*0.475*44/12</f>
        <v>26.179407636584177</v>
      </c>
      <c r="AW110" s="23">
        <f>EXP(-LN(2)/2)*AW109+(1-EXP(-LN(2)/2))/(LN(2)/2)*AQ110*AT110*VLOOKUP('Données projet'!$B$10,Paramètres!$A$1:$I$88,3,0)*0.475*44/12</f>
        <v>1.5773982459051905E-4</v>
      </c>
      <c r="AX110" s="23">
        <f t="shared" si="60"/>
        <v>135.9561435308421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-150</v>
      </c>
      <c r="BE110" s="14">
        <f>BD110*VLOOKUP('Données projet'!$B$11,Paramètres!$A$1:$I$88,3,0)*VLOOKUP('Données projet'!$B$11,Paramètres!$A$1:$I$88,5,0)</f>
        <v>-70.2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164.93326103756453</v>
      </c>
      <c r="BJ110" s="62">
        <f t="shared" si="92"/>
        <v>115.86489547584461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165.15703340596156</v>
      </c>
      <c r="BQ110" s="23">
        <f>EXP(-LN(2)/25)*BQ109+(1-EXP(-LN(2)/25))/(LN(2)/25)*Calculateur!BL110*Calculateur!BN110*VLOOKUP('Données projet'!$B$11,Paramètres!$A$1:$I$88,3,0)*0.475*44/12</f>
        <v>27.181366877931513</v>
      </c>
      <c r="BR110" s="23">
        <f>EXP(-LN(2)/2)*BR109+(1-EXP(-LN(2)/2))/(LN(2)/2)*BL110*BO110*VLOOKUP('Données projet'!$B$11,Paramètres!$A$1:$I$88,3,0)*0.475*44/12</f>
        <v>2.7057136080323958</v>
      </c>
      <c r="BS110" s="24">
        <f t="shared" si="63"/>
        <v>195.04411389192546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505.90103859331265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-3.4106051316484809E-13</v>
      </c>
      <c r="O111" s="14">
        <f>N111*VLOOKUP('Données projet'!$B$9,Paramètres!$A$1:$I$88,3,0)*VLOOKUP('Données projet'!$B$9,Paramètres!$A$1:$I$88,5,0)</f>
        <v>-1.9065282685915009E-13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461.42631729930201</v>
      </c>
      <c r="T111" s="62">
        <f t="shared" si="88"/>
        <v>570.46734160592086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123.54731023026402</v>
      </c>
      <c r="AA111" s="23">
        <f>EXP(-LN(2)/25)*AA110+(1-EXP(-LN(2)/25))/(LN(2)/25)*Calculateur!V111*Calculateur!X111*VLOOKUP('Données projet'!$B$9,Paramètres!$A$1:$I$88,3,0)*0.475*44/12</f>
        <v>23.886741477803817</v>
      </c>
      <c r="AB111" s="23">
        <f>EXP(-LN(2)/2)*AB110+(1-EXP(-LN(2)/2))/(LN(2)/2)*V111*Y111*VLOOKUP('Données projet'!$B$9,Paramètres!$A$1:$I$88,3,0)*0.475*44/12</f>
        <v>1.5080095809774578E-5</v>
      </c>
      <c r="AC111" s="24">
        <f t="shared" si="57"/>
        <v>147.43406678816365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2.8421709430404007E-13</v>
      </c>
      <c r="AJ111" s="14">
        <f>AI111*VLOOKUP('Données projet'!$B$10,Paramètres!$A$1:$I$88,3,0)*VLOOKUP('Données projet'!$B$10,Paramètres!$A$1:$I$88,5,0)</f>
        <v>1.7735146684572101E-13</v>
      </c>
      <c r="AK111" s="14">
        <f t="shared" si="89"/>
        <v>2.4924271921531257E-12</v>
      </c>
      <c r="AL111" s="22">
        <f t="shared" si="58"/>
        <v>4.6498644977563242E-12</v>
      </c>
      <c r="AM111" s="62">
        <f t="shared" si="59"/>
        <v>293.33333333333798</v>
      </c>
      <c r="AN111" s="62">
        <f ca="1">AVERAGE(OFFSET($AM$3,0,0,'Données projet'!$E$10+1,1))-AVERAGE(OFFSET($H$3,0,0,'Données projet'!$E$10+1,1))</f>
        <v>272.66985936980086</v>
      </c>
      <c r="AO111" s="62">
        <f t="shared" si="90"/>
        <v>320.12040114313697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107.62392641392609</v>
      </c>
      <c r="AV111" s="23">
        <f>EXP(-LN(2)/25)*AV110+(1-EXP(-LN(2)/25))/(LN(2)/25)*Calculateur!AQ111*Calculateur!AS111*VLOOKUP('Données projet'!$B$10,Paramètres!$A$1:$I$88,3,0)*0.475*44/12</f>
        <v>25.463530358046569</v>
      </c>
      <c r="AW111" s="23">
        <f>EXP(-LN(2)/2)*AW110+(1-EXP(-LN(2)/2))/(LN(2)/2)*AQ111*AT111*VLOOKUP('Données projet'!$B$10,Paramètres!$A$1:$I$88,3,0)*0.475*44/12</f>
        <v>1.1153889963113254E-4</v>
      </c>
      <c r="AX111" s="23">
        <f t="shared" si="60"/>
        <v>133.08756831087229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-150</v>
      </c>
      <c r="BE111" s="14">
        <f>BD111*VLOOKUP('Données projet'!$B$11,Paramètres!$A$1:$I$88,3,0)*VLOOKUP('Données projet'!$B$11,Paramètres!$A$1:$I$88,5,0)</f>
        <v>-70.2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164.93326103756453</v>
      </c>
      <c r="BJ111" s="62">
        <f t="shared" si="92"/>
        <v>115.86489547584461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161.91840471671418</v>
      </c>
      <c r="BQ111" s="23">
        <f>EXP(-LN(2)/25)*BQ110+(1-EXP(-LN(2)/25))/(LN(2)/25)*Calculateur!BL111*Calculateur!BN111*VLOOKUP('Données projet'!$B$11,Paramètres!$A$1:$I$88,3,0)*0.475*44/12</f>
        <v>26.438090971248517</v>
      </c>
      <c r="BR111" s="23">
        <f>EXP(-LN(2)/2)*BR110+(1-EXP(-LN(2)/2))/(LN(2)/2)*BL111*BO111*VLOOKUP('Données projet'!$B$11,Paramètres!$A$1:$I$88,3,0)*0.475*44/12</f>
        <v>1.9132284401884274</v>
      </c>
      <c r="BS111" s="24">
        <f t="shared" si="63"/>
        <v>190.26972412815113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507.82022577433264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-3.4106051316484809E-13</v>
      </c>
      <c r="O112" s="14">
        <f>N112*VLOOKUP('Données projet'!$B$9,Paramètres!$A$1:$I$88,3,0)*VLOOKUP('Données projet'!$B$9,Paramètres!$A$1:$I$88,5,0)</f>
        <v>-1.9065282685915009E-13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461.42631729930201</v>
      </c>
      <c r="T112" s="62">
        <f t="shared" si="88"/>
        <v>570.46734160592086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121.12462283306695</v>
      </c>
      <c r="AA112" s="23">
        <f>EXP(-LN(2)/25)*AA111+(1-EXP(-LN(2)/25))/(LN(2)/25)*Calculateur!V112*Calculateur!X112*VLOOKUP('Données projet'!$B$9,Paramètres!$A$1:$I$88,3,0)*0.475*44/12</f>
        <v>23.233557275944133</v>
      </c>
      <c r="AB112" s="23">
        <f>EXP(-LN(2)/2)*AB111+(1-EXP(-LN(2)/2))/(LN(2)/2)*V112*Y112*VLOOKUP('Données projet'!$B$9,Paramètres!$A$1:$I$88,3,0)*0.475*44/12</f>
        <v>1.0663238008034445E-5</v>
      </c>
      <c r="AC112" s="24">
        <f t="shared" si="57"/>
        <v>144.35819077224909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2.8421709430404007E-13</v>
      </c>
      <c r="AJ112" s="14">
        <f>AI112*VLOOKUP('Données projet'!$B$10,Paramètres!$A$1:$I$88,3,0)*VLOOKUP('Données projet'!$B$10,Paramètres!$A$1:$I$88,5,0)</f>
        <v>1.7735146684572101E-13</v>
      </c>
      <c r="AK112" s="14">
        <f t="shared" si="89"/>
        <v>2.4924271921531257E-12</v>
      </c>
      <c r="AL112" s="22">
        <f t="shared" si="58"/>
        <v>4.6498644977563242E-12</v>
      </c>
      <c r="AM112" s="62">
        <f t="shared" si="59"/>
        <v>293.33333333333798</v>
      </c>
      <c r="AN112" s="62">
        <f ca="1">AVERAGE(OFFSET($AM$3,0,0,'Données projet'!$E$10+1,1))-AVERAGE(OFFSET($H$3,0,0,'Données projet'!$E$10+1,1))</f>
        <v>272.66985936980086</v>
      </c>
      <c r="AO112" s="62">
        <f t="shared" si="90"/>
        <v>320.12040114313697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105.51348686106229</v>
      </c>
      <c r="AV112" s="23">
        <f>EXP(-LN(2)/25)*AV111+(1-EXP(-LN(2)/25))/(LN(2)/25)*Calculateur!AQ112*Calculateur!AS112*VLOOKUP('Données projet'!$B$10,Paramètres!$A$1:$I$88,3,0)*0.475*44/12</f>
        <v>24.767228781336922</v>
      </c>
      <c r="AW112" s="23">
        <f>EXP(-LN(2)/2)*AW111+(1-EXP(-LN(2)/2))/(LN(2)/2)*AQ112*AT112*VLOOKUP('Données projet'!$B$10,Paramètres!$A$1:$I$88,3,0)*0.475*44/12</f>
        <v>7.8869912295259525E-5</v>
      </c>
      <c r="AX112" s="23">
        <f t="shared" si="60"/>
        <v>130.2807945123115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-150</v>
      </c>
      <c r="BE112" s="14">
        <f>BD112*VLOOKUP('Données projet'!$B$11,Paramètres!$A$1:$I$88,3,0)*VLOOKUP('Données projet'!$B$11,Paramètres!$A$1:$I$88,5,0)</f>
        <v>-70.2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164.93326103756453</v>
      </c>
      <c r="BJ112" s="62">
        <f t="shared" si="92"/>
        <v>115.86489547584461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158.74328356069449</v>
      </c>
      <c r="BQ112" s="23">
        <f>EXP(-LN(2)/25)*BQ111+(1-EXP(-LN(2)/25))/(LN(2)/25)*Calculateur!BL112*Calculateur!BN112*VLOOKUP('Données projet'!$B$11,Paramètres!$A$1:$I$88,3,0)*0.475*44/12</f>
        <v>25.715139983320949</v>
      </c>
      <c r="BR112" s="23">
        <f>EXP(-LN(2)/2)*BR111+(1-EXP(-LN(2)/2))/(LN(2)/2)*BL112*BO112*VLOOKUP('Données projet'!$B$11,Paramètres!$A$1:$I$88,3,0)*0.475*44/12</f>
        <v>1.3528568040161981</v>
      </c>
      <c r="BS112" s="24">
        <f t="shared" si="63"/>
        <v>185.81128034803163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509.73901751046503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-3.4106051316484809E-13</v>
      </c>
      <c r="O113" s="14">
        <f>N113*VLOOKUP('Données projet'!$B$9,Paramètres!$A$1:$I$88,3,0)*VLOOKUP('Données projet'!$B$9,Paramètres!$A$1:$I$88,5,0)</f>
        <v>-1.9065282685915009E-13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461.42631729930201</v>
      </c>
      <c r="T113" s="62">
        <f t="shared" si="88"/>
        <v>570.46734160592086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118.74944285803552</v>
      </c>
      <c r="AA113" s="23">
        <f>EXP(-LN(2)/25)*AA112+(1-EXP(-LN(2)/25))/(LN(2)/25)*Calculateur!V113*Calculateur!X113*VLOOKUP('Données projet'!$B$9,Paramètres!$A$1:$I$88,3,0)*0.475*44/12</f>
        <v>22.598234430433763</v>
      </c>
      <c r="AB113" s="23">
        <f>EXP(-LN(2)/2)*AB112+(1-EXP(-LN(2)/2))/(LN(2)/2)*V113*Y113*VLOOKUP('Données projet'!$B$9,Paramètres!$A$1:$I$88,3,0)*0.475*44/12</f>
        <v>7.5400479048872898E-6</v>
      </c>
      <c r="AC113" s="24">
        <f t="shared" si="57"/>
        <v>141.3476848285172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2.8421709430404007E-13</v>
      </c>
      <c r="AJ113" s="14">
        <f>AI113*VLOOKUP('Données projet'!$B$10,Paramètres!$A$1:$I$88,3,0)*VLOOKUP('Données projet'!$B$10,Paramètres!$A$1:$I$88,5,0)</f>
        <v>1.7735146684572101E-13</v>
      </c>
      <c r="AK113" s="14">
        <f t="shared" si="89"/>
        <v>2.4924271921531257E-12</v>
      </c>
      <c r="AL113" s="22">
        <f t="shared" si="58"/>
        <v>4.6498644977563242E-12</v>
      </c>
      <c r="AM113" s="62">
        <f t="shared" si="59"/>
        <v>293.33333333333798</v>
      </c>
      <c r="AN113" s="62">
        <f ca="1">AVERAGE(OFFSET($AM$3,0,0,'Données projet'!$E$10+1,1))-AVERAGE(OFFSET($H$3,0,0,'Données projet'!$E$10+1,1))</f>
        <v>272.66985936980086</v>
      </c>
      <c r="AO113" s="62">
        <f t="shared" si="90"/>
        <v>320.12040114313697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103.44443174058912</v>
      </c>
      <c r="AV113" s="23">
        <f>EXP(-LN(2)/25)*AV112+(1-EXP(-LN(2)/25))/(LN(2)/25)*Calculateur!AQ113*Calculateur!AS113*VLOOKUP('Données projet'!$B$10,Paramètres!$A$1:$I$88,3,0)*0.475*44/12</f>
        <v>24.089967607859307</v>
      </c>
      <c r="AW113" s="23">
        <f>EXP(-LN(2)/2)*AW112+(1-EXP(-LN(2)/2))/(LN(2)/2)*AQ113*AT113*VLOOKUP('Données projet'!$B$10,Paramètres!$A$1:$I$88,3,0)*0.475*44/12</f>
        <v>5.5769449815566272E-5</v>
      </c>
      <c r="AX113" s="23">
        <f t="shared" si="60"/>
        <v>127.53445511789825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-150</v>
      </c>
      <c r="BE113" s="14">
        <f>BD113*VLOOKUP('Données projet'!$B$11,Paramètres!$A$1:$I$88,3,0)*VLOOKUP('Données projet'!$B$11,Paramètres!$A$1:$I$88,5,0)</f>
        <v>-70.2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164.93326103756453</v>
      </c>
      <c r="BJ113" s="62">
        <f t="shared" si="92"/>
        <v>115.86489547584461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155.6304245939117</v>
      </c>
      <c r="BQ113" s="23">
        <f>EXP(-LN(2)/25)*BQ112+(1-EXP(-LN(2)/25))/(LN(2)/25)*Calculateur!BL113*Calculateur!BN113*VLOOKUP('Données projet'!$B$11,Paramètres!$A$1:$I$88,3,0)*0.475*44/12</f>
        <v>25.011958128176598</v>
      </c>
      <c r="BR113" s="23">
        <f>EXP(-LN(2)/2)*BR112+(1-EXP(-LN(2)/2))/(LN(2)/2)*BL113*BO113*VLOOKUP('Données projet'!$B$11,Paramètres!$A$1:$I$88,3,0)*0.475*44/12</f>
        <v>0.95661422009421393</v>
      </c>
      <c r="BS113" s="24">
        <f t="shared" si="63"/>
        <v>181.59899694218251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511.6574178131043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-3.4106051316484809E-13</v>
      </c>
      <c r="O114" s="14">
        <f>N114*VLOOKUP('Données projet'!$B$9,Paramètres!$A$1:$I$88,3,0)*VLOOKUP('Données projet'!$B$9,Paramètres!$A$1:$I$88,5,0)</f>
        <v>-1.9065282685915009E-13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461.42631729930201</v>
      </c>
      <c r="T114" s="62">
        <f t="shared" si="88"/>
        <v>570.46734160592086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116.42083871359772</v>
      </c>
      <c r="AA114" s="23">
        <f>EXP(-LN(2)/25)*AA113+(1-EXP(-LN(2)/25))/(LN(2)/25)*Calculateur!V114*Calculateur!X114*VLOOKUP('Données projet'!$B$9,Paramètres!$A$1:$I$88,3,0)*0.475*44/12</f>
        <v>21.980284521544053</v>
      </c>
      <c r="AB114" s="23">
        <f>EXP(-LN(2)/2)*AB113+(1-EXP(-LN(2)/2))/(LN(2)/2)*V114*Y114*VLOOKUP('Données projet'!$B$9,Paramètres!$A$1:$I$88,3,0)*0.475*44/12</f>
        <v>5.3316190040172234E-6</v>
      </c>
      <c r="AC114" s="24">
        <f t="shared" si="57"/>
        <v>138.40112856676078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2.8421709430404007E-13</v>
      </c>
      <c r="AJ114" s="14">
        <f>AI114*VLOOKUP('Données projet'!$B$10,Paramètres!$A$1:$I$88,3,0)*VLOOKUP('Données projet'!$B$10,Paramètres!$A$1:$I$88,5,0)</f>
        <v>1.7735146684572101E-13</v>
      </c>
      <c r="AK114" s="14">
        <f t="shared" si="89"/>
        <v>2.4924271921531257E-12</v>
      </c>
      <c r="AL114" s="22">
        <f t="shared" si="58"/>
        <v>4.6498644977563242E-12</v>
      </c>
      <c r="AM114" s="62">
        <f t="shared" si="59"/>
        <v>293.33333333333798</v>
      </c>
      <c r="AN114" s="62">
        <f ca="1">AVERAGE(OFFSET($AM$3,0,0,'Données projet'!$E$10+1,1))-AVERAGE(OFFSET($H$3,0,0,'Données projet'!$E$10+1,1))</f>
        <v>272.66985936980086</v>
      </c>
      <c r="AO114" s="62">
        <f t="shared" si="90"/>
        <v>320.12040114313697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101.41594952902943</v>
      </c>
      <c r="AV114" s="23">
        <f>EXP(-LN(2)/25)*AV113+(1-EXP(-LN(2)/25))/(LN(2)/25)*Calculateur!AQ114*Calculateur!AS114*VLOOKUP('Données projet'!$B$10,Paramètres!$A$1:$I$88,3,0)*0.475*44/12</f>
        <v>23.431226176786058</v>
      </c>
      <c r="AW114" s="23">
        <f>EXP(-LN(2)/2)*AW113+(1-EXP(-LN(2)/2))/(LN(2)/2)*AQ114*AT114*VLOOKUP('Données projet'!$B$10,Paramètres!$A$1:$I$88,3,0)*0.475*44/12</f>
        <v>3.9434956147629763E-5</v>
      </c>
      <c r="AX114" s="23">
        <f t="shared" si="60"/>
        <v>124.84721514077164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-150</v>
      </c>
      <c r="BE114" s="14">
        <f>BD114*VLOOKUP('Données projet'!$B$11,Paramètres!$A$1:$I$88,3,0)*VLOOKUP('Données projet'!$B$11,Paramètres!$A$1:$I$88,5,0)</f>
        <v>-70.2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164.93326103756453</v>
      </c>
      <c r="BJ114" s="62">
        <f t="shared" si="92"/>
        <v>115.86489547584461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152.578606892811</v>
      </c>
      <c r="BQ114" s="23">
        <f>EXP(-LN(2)/25)*BQ113+(1-EXP(-LN(2)/25))/(LN(2)/25)*Calculateur!BL114*Calculateur!BN114*VLOOKUP('Données projet'!$B$11,Paramètres!$A$1:$I$88,3,0)*0.475*44/12</f>
        <v>24.328004817839897</v>
      </c>
      <c r="BR114" s="23">
        <f>EXP(-LN(2)/2)*BR113+(1-EXP(-LN(2)/2))/(LN(2)/2)*BL114*BO114*VLOOKUP('Données projet'!$B$11,Paramètres!$A$1:$I$88,3,0)*0.475*44/12</f>
        <v>0.67642840200809917</v>
      </c>
      <c r="BS114" s="24">
        <f t="shared" si="63"/>
        <v>177.58304011265901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513.57543061719775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-3.4106051316484809E-13</v>
      </c>
      <c r="O115" s="14">
        <f>N115*VLOOKUP('Données projet'!$B$9,Paramètres!$A$1:$I$88,3,0)*VLOOKUP('Données projet'!$B$9,Paramètres!$A$1:$I$88,5,0)</f>
        <v>-1.9065282685915009E-13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461.42631729930201</v>
      </c>
      <c r="T115" s="62">
        <f t="shared" si="88"/>
        <v>570.46734160592086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114.13789707612406</v>
      </c>
      <c r="AA115" s="23">
        <f>EXP(-LN(2)/25)*AA114+(1-EXP(-LN(2)/25))/(LN(2)/25)*Calculateur!V115*Calculateur!X115*VLOOKUP('Données projet'!$B$9,Paramètres!$A$1:$I$88,3,0)*0.475*44/12</f>
        <v>21.379232485409506</v>
      </c>
      <c r="AB115" s="23">
        <f>EXP(-LN(2)/2)*AB114+(1-EXP(-LN(2)/2))/(LN(2)/2)*V115*Y115*VLOOKUP('Données projet'!$B$9,Paramètres!$A$1:$I$88,3,0)*0.475*44/12</f>
        <v>3.7700239524436453E-6</v>
      </c>
      <c r="AC115" s="24">
        <f t="shared" si="57"/>
        <v>135.51713333155755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2.8421709430404007E-13</v>
      </c>
      <c r="AJ115" s="14">
        <f>AI115*VLOOKUP('Données projet'!$B$10,Paramètres!$A$1:$I$88,3,0)*VLOOKUP('Données projet'!$B$10,Paramètres!$A$1:$I$88,5,0)</f>
        <v>1.7735146684572101E-13</v>
      </c>
      <c r="AK115" s="14">
        <f t="shared" si="89"/>
        <v>2.4924271921531257E-12</v>
      </c>
      <c r="AL115" s="22">
        <f t="shared" si="58"/>
        <v>4.6498644977563242E-12</v>
      </c>
      <c r="AM115" s="62">
        <f t="shared" si="59"/>
        <v>293.33333333333798</v>
      </c>
      <c r="AN115" s="62">
        <f ca="1">AVERAGE(OFFSET($AM$3,0,0,'Données projet'!$E$10+1,1))-AVERAGE(OFFSET($H$3,0,0,'Données projet'!$E$10+1,1))</f>
        <v>272.66985936980086</v>
      </c>
      <c r="AO115" s="62">
        <f t="shared" si="90"/>
        <v>320.12040114313697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99.427244616386446</v>
      </c>
      <c r="AV115" s="23">
        <f>EXP(-LN(2)/25)*AV114+(1-EXP(-LN(2)/25))/(LN(2)/25)*Calculateur!AQ115*Calculateur!AS115*VLOOKUP('Données projet'!$B$10,Paramètres!$A$1:$I$88,3,0)*0.475*44/12</f>
        <v>22.790498064787212</v>
      </c>
      <c r="AW115" s="23">
        <f>EXP(-LN(2)/2)*AW114+(1-EXP(-LN(2)/2))/(LN(2)/2)*AQ115*AT115*VLOOKUP('Données projet'!$B$10,Paramètres!$A$1:$I$88,3,0)*0.475*44/12</f>
        <v>2.7884724907783136E-5</v>
      </c>
      <c r="AX115" s="23">
        <f t="shared" si="60"/>
        <v>122.21777056589858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-150</v>
      </c>
      <c r="BE115" s="14">
        <f>BD115*VLOOKUP('Données projet'!$B$11,Paramètres!$A$1:$I$88,3,0)*VLOOKUP('Données projet'!$B$11,Paramètres!$A$1:$I$88,5,0)</f>
        <v>-70.2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164.93326103756453</v>
      </c>
      <c r="BJ115" s="62">
        <f t="shared" si="92"/>
        <v>115.86489547584461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149.58663347540389</v>
      </c>
      <c r="BQ115" s="23">
        <f>EXP(-LN(2)/25)*BQ114+(1-EXP(-LN(2)/25))/(LN(2)/25)*Calculateur!BL115*Calculateur!BN115*VLOOKUP('Données projet'!$B$11,Paramètres!$A$1:$I$88,3,0)*0.475*44/12</f>
        <v>23.662754246741894</v>
      </c>
      <c r="BR115" s="23">
        <f>EXP(-LN(2)/2)*BR114+(1-EXP(-LN(2)/2))/(LN(2)/2)*BL115*BO115*VLOOKUP('Données projet'!$B$11,Paramètres!$A$1:$I$88,3,0)*0.475*44/12</f>
        <v>0.47830711004710702</v>
      </c>
      <c r="BS115" s="24">
        <f t="shared" si="63"/>
        <v>173.72769483219287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515.49305978337225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-3.4106051316484809E-13</v>
      </c>
      <c r="O116" s="14">
        <f>N116*VLOOKUP('Données projet'!$B$9,Paramètres!$A$1:$I$88,3,0)*VLOOKUP('Données projet'!$B$9,Paramètres!$A$1:$I$88,5,0)</f>
        <v>-1.9065282685915009E-13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461.42631729930201</v>
      </c>
      <c r="T116" s="62">
        <f t="shared" si="88"/>
        <v>570.46734160592086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111.89972253170436</v>
      </c>
      <c r="AA116" s="23">
        <f>EXP(-LN(2)/25)*AA115+(1-EXP(-LN(2)/25))/(LN(2)/25)*Calculateur!V116*Calculateur!X116*VLOOKUP('Données projet'!$B$9,Paramètres!$A$1:$I$88,3,0)*0.475*44/12</f>
        <v>20.79461624881101</v>
      </c>
      <c r="AB116" s="23">
        <f>EXP(-LN(2)/2)*AB115+(1-EXP(-LN(2)/2))/(LN(2)/2)*V116*Y116*VLOOKUP('Données projet'!$B$9,Paramètres!$A$1:$I$88,3,0)*0.475*44/12</f>
        <v>2.6658095020086121E-6</v>
      </c>
      <c r="AC116" s="24">
        <f t="shared" si="57"/>
        <v>132.69434144632484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2.8421709430404007E-13</v>
      </c>
      <c r="AJ116" s="14">
        <f>AI116*VLOOKUP('Données projet'!$B$10,Paramètres!$A$1:$I$88,3,0)*VLOOKUP('Données projet'!$B$10,Paramètres!$A$1:$I$88,5,0)</f>
        <v>1.7735146684572101E-13</v>
      </c>
      <c r="AK116" s="14">
        <f t="shared" si="89"/>
        <v>2.4924271921531257E-12</v>
      </c>
      <c r="AL116" s="22">
        <f t="shared" si="58"/>
        <v>4.6498644977563242E-12</v>
      </c>
      <c r="AM116" s="62">
        <f t="shared" si="59"/>
        <v>293.33333333333798</v>
      </c>
      <c r="AN116" s="62">
        <f ca="1">AVERAGE(OFFSET($AM$3,0,0,'Données projet'!$E$10+1,1))-AVERAGE(OFFSET($H$3,0,0,'Données projet'!$E$10+1,1))</f>
        <v>272.66985936980086</v>
      </c>
      <c r="AO116" s="62">
        <f t="shared" si="90"/>
        <v>320.12040114313697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97.477536994090158</v>
      </c>
      <c r="AV116" s="23">
        <f>EXP(-LN(2)/25)*AV115+(1-EXP(-LN(2)/25))/(LN(2)/25)*Calculateur!AQ116*Calculateur!AS116*VLOOKUP('Données projet'!$B$10,Paramètres!$A$1:$I$88,3,0)*0.475*44/12</f>
        <v>22.1672906967054</v>
      </c>
      <c r="AW116" s="23">
        <f>EXP(-LN(2)/2)*AW115+(1-EXP(-LN(2)/2))/(LN(2)/2)*AQ116*AT116*VLOOKUP('Données projet'!$B$10,Paramètres!$A$1:$I$88,3,0)*0.475*44/12</f>
        <v>1.9717478073814881E-5</v>
      </c>
      <c r="AX116" s="23">
        <f t="shared" si="60"/>
        <v>119.64484740827362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-150</v>
      </c>
      <c r="BE116" s="14">
        <f>BD116*VLOOKUP('Données projet'!$B$11,Paramètres!$A$1:$I$88,3,0)*VLOOKUP('Données projet'!$B$11,Paramètres!$A$1:$I$88,5,0)</f>
        <v>-70.2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164.93326103756453</v>
      </c>
      <c r="BJ116" s="62">
        <f t="shared" si="92"/>
        <v>115.86489547584461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146.65333083178854</v>
      </c>
      <c r="BQ116" s="23">
        <f>EXP(-LN(2)/25)*BQ115+(1-EXP(-LN(2)/25))/(LN(2)/25)*Calculateur!BL116*Calculateur!BN116*VLOOKUP('Données projet'!$B$11,Paramètres!$A$1:$I$88,3,0)*0.475*44/12</f>
        <v>23.015694987494573</v>
      </c>
      <c r="BR116" s="23">
        <f>EXP(-LN(2)/2)*BR115+(1-EXP(-LN(2)/2))/(LN(2)/2)*BL116*BO116*VLOOKUP('Données projet'!$B$11,Paramètres!$A$1:$I$88,3,0)*0.475*44/12</f>
        <v>0.33821420100404964</v>
      </c>
      <c r="BS116" s="24">
        <f t="shared" si="63"/>
        <v>170.00724002028716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517.41030909998244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-3.4106051316484809E-13</v>
      </c>
      <c r="O117" s="14">
        <f>N117*VLOOKUP('Données projet'!$B$9,Paramètres!$A$1:$I$88,3,0)*VLOOKUP('Données projet'!$B$9,Paramètres!$A$1:$I$88,5,0)</f>
        <v>-1.9065282685915009E-13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461.42631729930201</v>
      </c>
      <c r="T117" s="62">
        <f t="shared" si="88"/>
        <v>570.46734160592086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109.70543722494904</v>
      </c>
      <c r="AA117" s="23">
        <f>EXP(-LN(2)/25)*AA116+(1-EXP(-LN(2)/25))/(LN(2)/25)*Calculateur!V117*Calculateur!X117*VLOOKUP('Données projet'!$B$9,Paramètres!$A$1:$I$88,3,0)*0.475*44/12</f>
        <v>20.225986373945933</v>
      </c>
      <c r="AB117" s="23">
        <f>EXP(-LN(2)/2)*AB116+(1-EXP(-LN(2)/2))/(LN(2)/2)*V117*Y117*VLOOKUP('Données projet'!$B$9,Paramètres!$A$1:$I$88,3,0)*0.475*44/12</f>
        <v>1.8850119762218231E-6</v>
      </c>
      <c r="AC117" s="24">
        <f t="shared" si="57"/>
        <v>129.93142548390696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2.8421709430404007E-13</v>
      </c>
      <c r="AJ117" s="14">
        <f>AI117*VLOOKUP('Données projet'!$B$10,Paramètres!$A$1:$I$88,3,0)*VLOOKUP('Données projet'!$B$10,Paramètres!$A$1:$I$88,5,0)</f>
        <v>1.7735146684572101E-13</v>
      </c>
      <c r="AK117" s="14">
        <f t="shared" si="89"/>
        <v>2.4924271921531257E-12</v>
      </c>
      <c r="AL117" s="22">
        <f t="shared" si="58"/>
        <v>4.6498644977563242E-12</v>
      </c>
      <c r="AM117" s="62">
        <f t="shared" si="59"/>
        <v>293.33333333333798</v>
      </c>
      <c r="AN117" s="62">
        <f ca="1">AVERAGE(OFFSET($AM$3,0,0,'Données projet'!$E$10+1,1))-AVERAGE(OFFSET($H$3,0,0,'Données projet'!$E$10+1,1))</f>
        <v>272.66985936980086</v>
      </c>
      <c r="AO117" s="62">
        <f t="shared" si="90"/>
        <v>320.12040114313697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95.566061949062885</v>
      </c>
      <c r="AV117" s="23">
        <f>EXP(-LN(2)/25)*AV116+(1-EXP(-LN(2)/25))/(LN(2)/25)*Calculateur!AQ117*Calculateur!AS117*VLOOKUP('Données projet'!$B$10,Paramètres!$A$1:$I$88,3,0)*0.475*44/12</f>
        <v>21.561124966876836</v>
      </c>
      <c r="AW117" s="23">
        <f>EXP(-LN(2)/2)*AW116+(1-EXP(-LN(2)/2))/(LN(2)/2)*AQ117*AT117*VLOOKUP('Données projet'!$B$10,Paramètres!$A$1:$I$88,3,0)*0.475*44/12</f>
        <v>1.3942362453891568E-5</v>
      </c>
      <c r="AX117" s="23">
        <f t="shared" si="60"/>
        <v>117.12720085830217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-150</v>
      </c>
      <c r="BE117" s="14">
        <f>BD117*VLOOKUP('Données projet'!$B$11,Paramètres!$A$1:$I$88,3,0)*VLOOKUP('Données projet'!$B$11,Paramètres!$A$1:$I$88,5,0)</f>
        <v>-70.2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164.93326103756453</v>
      </c>
      <c r="BJ117" s="62">
        <f t="shared" si="92"/>
        <v>115.86489547584461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143.77754846387654</v>
      </c>
      <c r="BQ117" s="23">
        <f>EXP(-LN(2)/25)*BQ116+(1-EXP(-LN(2)/25))/(LN(2)/25)*Calculateur!BL117*Calculateur!BN117*VLOOKUP('Données projet'!$B$11,Paramètres!$A$1:$I$88,3,0)*0.475*44/12</f>
        <v>22.386329597718738</v>
      </c>
      <c r="BR117" s="23">
        <f>EXP(-LN(2)/2)*BR116+(1-EXP(-LN(2)/2))/(LN(2)/2)*BL117*BO117*VLOOKUP('Données projet'!$B$11,Paramètres!$A$1:$I$88,3,0)*0.475*44/12</f>
        <v>0.23915355502355354</v>
      </c>
      <c r="BS117" s="24">
        <f t="shared" si="63"/>
        <v>166.40303161661885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519.32718228508566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-3.4106051316484809E-13</v>
      </c>
      <c r="O118" s="14">
        <f>N118*VLOOKUP('Données projet'!$B$9,Paramètres!$A$1:$I$88,3,0)*VLOOKUP('Données projet'!$B$9,Paramètres!$A$1:$I$88,5,0)</f>
        <v>-1.9065282685915009E-13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461.42631729930201</v>
      </c>
      <c r="T118" s="62">
        <f t="shared" si="88"/>
        <v>570.46734160592086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107.55418051467731</v>
      </c>
      <c r="AA118" s="23">
        <f>EXP(-LN(2)/25)*AA117+(1-EXP(-LN(2)/25))/(LN(2)/25)*Calculateur!V118*Calculateur!X118*VLOOKUP('Données projet'!$B$9,Paramètres!$A$1:$I$88,3,0)*0.475*44/12</f>
        <v>19.672905712911984</v>
      </c>
      <c r="AB118" s="23">
        <f>EXP(-LN(2)/2)*AB117+(1-EXP(-LN(2)/2))/(LN(2)/2)*V118*Y118*VLOOKUP('Données projet'!$B$9,Paramètres!$A$1:$I$88,3,0)*0.475*44/12</f>
        <v>1.3329047510043063E-6</v>
      </c>
      <c r="AC118" s="24">
        <f t="shared" si="57"/>
        <v>127.22708756049404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2.8421709430404007E-13</v>
      </c>
      <c r="AJ118" s="14">
        <f>AI118*VLOOKUP('Données projet'!$B$10,Paramètres!$A$1:$I$88,3,0)*VLOOKUP('Données projet'!$B$10,Paramètres!$A$1:$I$88,5,0)</f>
        <v>1.7735146684572101E-13</v>
      </c>
      <c r="AK118" s="14">
        <f t="shared" si="89"/>
        <v>2.4924271921531257E-12</v>
      </c>
      <c r="AL118" s="22">
        <f t="shared" si="58"/>
        <v>4.6498644977563242E-12</v>
      </c>
      <c r="AM118" s="62">
        <f t="shared" si="59"/>
        <v>293.33333333333798</v>
      </c>
      <c r="AN118" s="62">
        <f ca="1">AVERAGE(OFFSET($AM$3,0,0,'Données projet'!$E$10+1,1))-AVERAGE(OFFSET($H$3,0,0,'Données projet'!$E$10+1,1))</f>
        <v>272.66985936980086</v>
      </c>
      <c r="AO118" s="62">
        <f t="shared" si="90"/>
        <v>320.12040114313697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93.692069763783934</v>
      </c>
      <c r="AV118" s="23">
        <f>EXP(-LN(2)/25)*AV117+(1-EXP(-LN(2)/25))/(LN(2)/25)*Calculateur!AQ118*Calculateur!AS118*VLOOKUP('Données projet'!$B$10,Paramètres!$A$1:$I$88,3,0)*0.475*44/12</f>
        <v>20.971534870807304</v>
      </c>
      <c r="AW118" s="23">
        <f>EXP(-LN(2)/2)*AW117+(1-EXP(-LN(2)/2))/(LN(2)/2)*AQ118*AT118*VLOOKUP('Données projet'!$B$10,Paramètres!$A$1:$I$88,3,0)*0.475*44/12</f>
        <v>9.8587390369074407E-6</v>
      </c>
      <c r="AX118" s="23">
        <f t="shared" si="60"/>
        <v>114.66361449333027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-150</v>
      </c>
      <c r="BE118" s="14">
        <f>BD118*VLOOKUP('Données projet'!$B$11,Paramètres!$A$1:$I$88,3,0)*VLOOKUP('Données projet'!$B$11,Paramètres!$A$1:$I$88,5,0)</f>
        <v>-70.2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164.93326103756453</v>
      </c>
      <c r="BJ118" s="62">
        <f t="shared" si="92"/>
        <v>115.86489547584461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140.95815843414525</v>
      </c>
      <c r="BQ118" s="23">
        <f>EXP(-LN(2)/25)*BQ117+(1-EXP(-LN(2)/25))/(LN(2)/25)*Calculateur!BL118*Calculateur!BN118*VLOOKUP('Données projet'!$B$11,Paramètres!$A$1:$I$88,3,0)*0.475*44/12</f>
        <v>21.77417423762321</v>
      </c>
      <c r="BR118" s="23">
        <f>EXP(-LN(2)/2)*BR117+(1-EXP(-LN(2)/2))/(LN(2)/2)*BL118*BO118*VLOOKUP('Données projet'!$B$11,Paramètres!$A$1:$I$88,3,0)*0.475*44/12</f>
        <v>0.16910710050202485</v>
      </c>
      <c r="BS118" s="24">
        <f t="shared" si="63"/>
        <v>162.90143977227049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521.24368298834622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-3.4106051316484809E-13</v>
      </c>
      <c r="O119" s="14">
        <f>N119*VLOOKUP('Données projet'!$B$9,Paramètres!$A$1:$I$88,3,0)*VLOOKUP('Données projet'!$B$9,Paramètres!$A$1:$I$88,5,0)</f>
        <v>-1.9065282685915009E-13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461.42631729930201</v>
      </c>
      <c r="T119" s="62">
        <f t="shared" si="88"/>
        <v>570.46734160592086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105.44510863635699</v>
      </c>
      <c r="AA119" s="23">
        <f>EXP(-LN(2)/25)*AA118+(1-EXP(-LN(2)/25))/(LN(2)/25)*Calculateur!V119*Calculateur!X119*VLOOKUP('Données projet'!$B$9,Paramètres!$A$1:$I$88,3,0)*0.475*44/12</f>
        <v>19.134949071639259</v>
      </c>
      <c r="AB119" s="23">
        <f>EXP(-LN(2)/2)*AB118+(1-EXP(-LN(2)/2))/(LN(2)/2)*V119*Y119*VLOOKUP('Données projet'!$B$9,Paramètres!$A$1:$I$88,3,0)*0.475*44/12</f>
        <v>9.4250598811091165E-7</v>
      </c>
      <c r="AC119" s="24">
        <f t="shared" si="57"/>
        <v>124.58005865050224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2.8421709430404007E-13</v>
      </c>
      <c r="AJ119" s="14">
        <f>AI119*VLOOKUP('Données projet'!$B$10,Paramètres!$A$1:$I$88,3,0)*VLOOKUP('Données projet'!$B$10,Paramètres!$A$1:$I$88,5,0)</f>
        <v>1.7735146684572101E-13</v>
      </c>
      <c r="AK119" s="14">
        <f t="shared" si="89"/>
        <v>2.4924271921531257E-12</v>
      </c>
      <c r="AL119" s="22">
        <f t="shared" si="58"/>
        <v>4.6498644977563242E-12</v>
      </c>
      <c r="AM119" s="62">
        <f t="shared" si="59"/>
        <v>293.33333333333798</v>
      </c>
      <c r="AN119" s="62">
        <f ca="1">AVERAGE(OFFSET($AM$3,0,0,'Données projet'!$E$10+1,1))-AVERAGE(OFFSET($H$3,0,0,'Données projet'!$E$10+1,1))</f>
        <v>272.66985936980086</v>
      </c>
      <c r="AO119" s="62">
        <f t="shared" si="90"/>
        <v>320.12040114313697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91.854825422235933</v>
      </c>
      <c r="AV119" s="23">
        <f>EXP(-LN(2)/25)*AV118+(1-EXP(-LN(2)/25))/(LN(2)/25)*Calculateur!AQ119*Calculateur!AS119*VLOOKUP('Données projet'!$B$10,Paramètres!$A$1:$I$88,3,0)*0.475*44/12</f>
        <v>20.398067146919992</v>
      </c>
      <c r="AW119" s="23">
        <f>EXP(-LN(2)/2)*AW118+(1-EXP(-LN(2)/2))/(LN(2)/2)*AQ119*AT119*VLOOKUP('Données projet'!$B$10,Paramètres!$A$1:$I$88,3,0)*0.475*44/12</f>
        <v>6.971181226945784E-6</v>
      </c>
      <c r="AX119" s="23">
        <f t="shared" si="60"/>
        <v>112.25289954033715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-150</v>
      </c>
      <c r="BE119" s="14">
        <f>BD119*VLOOKUP('Données projet'!$B$11,Paramètres!$A$1:$I$88,3,0)*VLOOKUP('Données projet'!$B$11,Paramètres!$A$1:$I$88,5,0)</f>
        <v>-70.2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164.93326103756453</v>
      </c>
      <c r="BJ119" s="62">
        <f t="shared" si="92"/>
        <v>115.86489547584461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138.19405492323887</v>
      </c>
      <c r="BQ119" s="23">
        <f>EXP(-LN(2)/25)*BQ118+(1-EXP(-LN(2)/25))/(LN(2)/25)*Calculateur!BL119*Calculateur!BN119*VLOOKUP('Données projet'!$B$11,Paramètres!$A$1:$I$88,3,0)*0.475*44/12</f>
        <v>21.178758298041345</v>
      </c>
      <c r="BR119" s="23">
        <f>EXP(-LN(2)/2)*BR118+(1-EXP(-LN(2)/2))/(LN(2)/2)*BL119*BO119*VLOOKUP('Données projet'!$B$11,Paramètres!$A$1:$I$88,3,0)*0.475*44/12</f>
        <v>0.1195767775117768</v>
      </c>
      <c r="BS119" s="24">
        <f t="shared" si="63"/>
        <v>159.49238999879199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523.15981479287188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-3.4106051316484809E-13</v>
      </c>
      <c r="O120" s="14">
        <f>N120*VLOOKUP('Données projet'!$B$9,Paramètres!$A$1:$I$88,3,0)*VLOOKUP('Données projet'!$B$9,Paramètres!$A$1:$I$88,5,0)</f>
        <v>-1.9065282685915009E-13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461.42631729930201</v>
      </c>
      <c r="T120" s="62">
        <f t="shared" si="88"/>
        <v>570.46734160592086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103.3773943711637</v>
      </c>
      <c r="AA120" s="23">
        <f>EXP(-LN(2)/25)*AA119+(1-EXP(-LN(2)/25))/(LN(2)/25)*Calculateur!V120*Calculateur!X120*VLOOKUP('Données projet'!$B$9,Paramètres!$A$1:$I$88,3,0)*0.475*44/12</f>
        <v>18.611702883012047</v>
      </c>
      <c r="AB120" s="23">
        <f>EXP(-LN(2)/2)*AB119+(1-EXP(-LN(2)/2))/(LN(2)/2)*V120*Y120*VLOOKUP('Données projet'!$B$9,Paramètres!$A$1:$I$88,3,0)*0.475*44/12</f>
        <v>6.6645237550215324E-7</v>
      </c>
      <c r="AC120" s="24">
        <f t="shared" si="57"/>
        <v>121.98909792062813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2.8421709430404007E-13</v>
      </c>
      <c r="AJ120" s="14">
        <f>AI120*VLOOKUP('Données projet'!$B$10,Paramètres!$A$1:$I$88,3,0)*VLOOKUP('Données projet'!$B$10,Paramètres!$A$1:$I$88,5,0)</f>
        <v>1.7735146684572101E-13</v>
      </c>
      <c r="AK120" s="14">
        <f t="shared" si="89"/>
        <v>2.4924271921531257E-12</v>
      </c>
      <c r="AL120" s="22">
        <f t="shared" si="58"/>
        <v>4.6498644977563242E-12</v>
      </c>
      <c r="AM120" s="62">
        <f t="shared" si="59"/>
        <v>293.33333333333798</v>
      </c>
      <c r="AN120" s="62">
        <f ca="1">AVERAGE(OFFSET($AM$3,0,0,'Données projet'!$E$10+1,1))-AVERAGE(OFFSET($H$3,0,0,'Données projet'!$E$10+1,1))</f>
        <v>272.66985936980086</v>
      </c>
      <c r="AO120" s="62">
        <f t="shared" si="90"/>
        <v>320.12040114313697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90.05360832161729</v>
      </c>
      <c r="AV120" s="23">
        <f>EXP(-LN(2)/25)*AV119+(1-EXP(-LN(2)/25))/(LN(2)/25)*Calculateur!AQ120*Calculateur!AS120*VLOOKUP('Données projet'!$B$10,Paramètres!$A$1:$I$88,3,0)*0.475*44/12</f>
        <v>19.840280928099734</v>
      </c>
      <c r="AW120" s="23">
        <f>EXP(-LN(2)/2)*AW119+(1-EXP(-LN(2)/2))/(LN(2)/2)*AQ120*AT120*VLOOKUP('Données projet'!$B$10,Paramètres!$A$1:$I$88,3,0)*0.475*44/12</f>
        <v>4.9293695184537203E-6</v>
      </c>
      <c r="AX120" s="23">
        <f t="shared" si="60"/>
        <v>109.89389417908654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-150</v>
      </c>
      <c r="BE120" s="14">
        <f>BD120*VLOOKUP('Données projet'!$B$11,Paramètres!$A$1:$I$88,3,0)*VLOOKUP('Données projet'!$B$11,Paramètres!$A$1:$I$88,5,0)</f>
        <v>-70.2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164.93326103756453</v>
      </c>
      <c r="BJ120" s="62">
        <f t="shared" si="92"/>
        <v>115.86489547584461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135.4841537962447</v>
      </c>
      <c r="BQ120" s="23">
        <f>EXP(-LN(2)/25)*BQ119+(1-EXP(-LN(2)/25))/(LN(2)/25)*Calculateur!BL120*Calculateur!BN120*VLOOKUP('Données projet'!$B$11,Paramètres!$A$1:$I$88,3,0)*0.475*44/12</f>
        <v>20.599624038638911</v>
      </c>
      <c r="BR120" s="23">
        <f>EXP(-LN(2)/2)*BR119+(1-EXP(-LN(2)/2))/(LN(2)/2)*BL120*BO120*VLOOKUP('Données projet'!$B$11,Paramètres!$A$1:$I$88,3,0)*0.475*44/12</f>
        <v>8.4553550251012438E-2</v>
      </c>
      <c r="BS120" s="24">
        <f t="shared" si="63"/>
        <v>156.16833138513462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525.07558121698594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-3.4106051316484809E-13</v>
      </c>
      <c r="O121" s="14">
        <f>N121*VLOOKUP('Données projet'!$B$9,Paramètres!$A$1:$I$88,3,0)*VLOOKUP('Données projet'!$B$9,Paramètres!$A$1:$I$88,5,0)</f>
        <v>-1.9065282685915009E-13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461.42631729930201</v>
      </c>
      <c r="T121" s="62">
        <f t="shared" si="88"/>
        <v>570.46734160592086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101.35022672152968</v>
      </c>
      <c r="AA121" s="23">
        <f>EXP(-LN(2)/25)*AA120+(1-EXP(-LN(2)/25))/(LN(2)/25)*Calculateur!V121*Calculateur!X121*VLOOKUP('Données projet'!$B$9,Paramètres!$A$1:$I$88,3,0)*0.475*44/12</f>
        <v>18.102764888929165</v>
      </c>
      <c r="AB121" s="23">
        <f>EXP(-LN(2)/2)*AB120+(1-EXP(-LN(2)/2))/(LN(2)/2)*V121*Y121*VLOOKUP('Données projet'!$B$9,Paramètres!$A$1:$I$88,3,0)*0.475*44/12</f>
        <v>4.7125299405545593E-7</v>
      </c>
      <c r="AC121" s="24">
        <f t="shared" si="57"/>
        <v>119.45299208171183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2.8421709430404007E-13</v>
      </c>
      <c r="AJ121" s="14">
        <f>AI121*VLOOKUP('Données projet'!$B$10,Paramètres!$A$1:$I$88,3,0)*VLOOKUP('Données projet'!$B$10,Paramètres!$A$1:$I$88,5,0)</f>
        <v>1.7735146684572101E-13</v>
      </c>
      <c r="AK121" s="14">
        <f t="shared" si="89"/>
        <v>2.4924271921531257E-12</v>
      </c>
      <c r="AL121" s="22">
        <f t="shared" si="58"/>
        <v>4.6498644977563242E-12</v>
      </c>
      <c r="AM121" s="62">
        <f t="shared" si="59"/>
        <v>293.33333333333798</v>
      </c>
      <c r="AN121" s="62">
        <f ca="1">AVERAGE(OFFSET($AM$3,0,0,'Données projet'!$E$10+1,1))-AVERAGE(OFFSET($H$3,0,0,'Données projet'!$E$10+1,1))</f>
        <v>272.66985936980086</v>
      </c>
      <c r="AO121" s="62">
        <f t="shared" si="90"/>
        <v>320.12040114313697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88.28771198970783</v>
      </c>
      <c r="AV121" s="23">
        <f>EXP(-LN(2)/25)*AV120+(1-EXP(-LN(2)/25))/(LN(2)/25)*Calculateur!AQ121*Calculateur!AS121*VLOOKUP('Données projet'!$B$10,Paramètres!$A$1:$I$88,3,0)*0.475*44/12</f>
        <v>19.297747402765818</v>
      </c>
      <c r="AW121" s="23">
        <f>EXP(-LN(2)/2)*AW120+(1-EXP(-LN(2)/2))/(LN(2)/2)*AQ121*AT121*VLOOKUP('Données projet'!$B$10,Paramètres!$A$1:$I$88,3,0)*0.475*44/12</f>
        <v>3.485590613472892E-6</v>
      </c>
      <c r="AX121" s="23">
        <f t="shared" si="60"/>
        <v>107.58546287806426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-150</v>
      </c>
      <c r="BE121" s="14">
        <f>BD121*VLOOKUP('Données projet'!$B$11,Paramètres!$A$1:$I$88,3,0)*VLOOKUP('Données projet'!$B$11,Paramètres!$A$1:$I$88,5,0)</f>
        <v>-70.2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164.93326103756453</v>
      </c>
      <c r="BJ121" s="62">
        <f t="shared" si="92"/>
        <v>115.86489547584461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132.82739217747442</v>
      </c>
      <c r="BQ121" s="23">
        <f>EXP(-LN(2)/25)*BQ120+(1-EXP(-LN(2)/25))/(LN(2)/25)*Calculateur!BL121*Calculateur!BN121*VLOOKUP('Données projet'!$B$11,Paramètres!$A$1:$I$88,3,0)*0.475*44/12</f>
        <v>20.036326236015181</v>
      </c>
      <c r="BR121" s="23">
        <f>EXP(-LN(2)/2)*BR120+(1-EXP(-LN(2)/2))/(LN(2)/2)*BL121*BO121*VLOOKUP('Données projet'!$B$11,Paramètres!$A$1:$I$88,3,0)*0.475*44/12</f>
        <v>5.9788388755888405E-2</v>
      </c>
      <c r="BS121" s="24">
        <f t="shared" si="63"/>
        <v>152.9235068022455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526.9909857159372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-3.4106051316484809E-13</v>
      </c>
      <c r="O122" s="14">
        <f>N122*VLOOKUP('Données projet'!$B$9,Paramètres!$A$1:$I$88,3,0)*VLOOKUP('Données projet'!$B$9,Paramètres!$A$1:$I$88,5,0)</f>
        <v>-1.9065282685915009E-13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461.42631729930201</v>
      </c>
      <c r="T122" s="62">
        <f t="shared" si="88"/>
        <v>570.46734160592086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99.362810593054803</v>
      </c>
      <c r="AA122" s="23">
        <f>EXP(-LN(2)/25)*AA121+(1-EXP(-LN(2)/25))/(LN(2)/25)*Calculateur!V122*Calculateur!X122*VLOOKUP('Données projet'!$B$9,Paramètres!$A$1:$I$88,3,0)*0.475*44/12</f>
        <v>17.607743831058368</v>
      </c>
      <c r="AB122" s="23">
        <f>EXP(-LN(2)/2)*AB121+(1-EXP(-LN(2)/2))/(LN(2)/2)*V122*Y122*VLOOKUP('Données projet'!$B$9,Paramètres!$A$1:$I$88,3,0)*0.475*44/12</f>
        <v>3.3322618775107667E-7</v>
      </c>
      <c r="AC122" s="24">
        <f t="shared" si="57"/>
        <v>116.97055475733936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2.8421709430404007E-13</v>
      </c>
      <c r="AJ122" s="14">
        <f>AI122*VLOOKUP('Données projet'!$B$10,Paramètres!$A$1:$I$88,3,0)*VLOOKUP('Données projet'!$B$10,Paramètres!$A$1:$I$88,5,0)</f>
        <v>1.7735146684572101E-13</v>
      </c>
      <c r="AK122" s="14">
        <f t="shared" si="89"/>
        <v>2.4924271921531257E-12</v>
      </c>
      <c r="AL122" s="22">
        <f t="shared" si="58"/>
        <v>4.6498644977563242E-12</v>
      </c>
      <c r="AM122" s="62">
        <f t="shared" si="59"/>
        <v>293.33333333333798</v>
      </c>
      <c r="AN122" s="62">
        <f ca="1">AVERAGE(OFFSET($AM$3,0,0,'Données projet'!$E$10+1,1))-AVERAGE(OFFSET($H$3,0,0,'Données projet'!$E$10+1,1))</f>
        <v>272.66985936980086</v>
      </c>
      <c r="AO122" s="62">
        <f t="shared" si="90"/>
        <v>320.12040114313697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86.556443807776702</v>
      </c>
      <c r="AV122" s="23">
        <f>EXP(-LN(2)/25)*AV121+(1-EXP(-LN(2)/25))/(LN(2)/25)*Calculateur!AQ122*Calculateur!AS122*VLOOKUP('Données projet'!$B$10,Paramètres!$A$1:$I$88,3,0)*0.475*44/12</f>
        <v>18.770049485212756</v>
      </c>
      <c r="AW122" s="23">
        <f>EXP(-LN(2)/2)*AW121+(1-EXP(-LN(2)/2))/(LN(2)/2)*AQ122*AT122*VLOOKUP('Données projet'!$B$10,Paramètres!$A$1:$I$88,3,0)*0.475*44/12</f>
        <v>2.4646847592268602E-6</v>
      </c>
      <c r="AX122" s="23">
        <f t="shared" si="60"/>
        <v>105.32649575767421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-150</v>
      </c>
      <c r="BE122" s="14">
        <f>BD122*VLOOKUP('Données projet'!$B$11,Paramètres!$A$1:$I$88,3,0)*VLOOKUP('Données projet'!$B$11,Paramètres!$A$1:$I$88,5,0)</f>
        <v>-70.2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164.93326103756453</v>
      </c>
      <c r="BJ122" s="62">
        <f t="shared" si="92"/>
        <v>115.86489547584461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130.22272803358365</v>
      </c>
      <c r="BQ122" s="23">
        <f>EXP(-LN(2)/25)*BQ121+(1-EXP(-LN(2)/25))/(LN(2)/25)*Calculateur!BL122*Calculateur!BN122*VLOOKUP('Données projet'!$B$11,Paramètres!$A$1:$I$88,3,0)*0.475*44/12</f>
        <v>19.488431841426742</v>
      </c>
      <c r="BR122" s="23">
        <f>EXP(-LN(2)/2)*BR121+(1-EXP(-LN(2)/2))/(LN(2)/2)*BL122*BO122*VLOOKUP('Données projet'!$B$11,Paramètres!$A$1:$I$88,3,0)*0.475*44/12</f>
        <v>4.2276775125506226E-2</v>
      </c>
      <c r="BS122" s="24">
        <f t="shared" si="63"/>
        <v>149.75343665013591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528.90603168355119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-3.4106051316484809E-13</v>
      </c>
      <c r="O123" s="14">
        <f>N123*VLOOKUP('Données projet'!$B$9,Paramètres!$A$1:$I$88,3,0)*VLOOKUP('Données projet'!$B$9,Paramètres!$A$1:$I$88,5,0)</f>
        <v>-1.9065282685915009E-13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461.42631729930201</v>
      </c>
      <c r="T123" s="62">
        <f t="shared" si="88"/>
        <v>570.46734160592086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97.414366482655183</v>
      </c>
      <c r="AA123" s="23">
        <f>EXP(-LN(2)/25)*AA122+(1-EXP(-LN(2)/25))/(LN(2)/25)*Calculateur!V123*Calculateur!X123*VLOOKUP('Données projet'!$B$9,Paramètres!$A$1:$I$88,3,0)*0.475*44/12</f>
        <v>17.126259150047073</v>
      </c>
      <c r="AB123" s="23">
        <f>EXP(-LN(2)/2)*AB122+(1-EXP(-LN(2)/2))/(LN(2)/2)*V123*Y123*VLOOKUP('Données projet'!$B$9,Paramètres!$A$1:$I$88,3,0)*0.475*44/12</f>
        <v>2.3562649702772799E-7</v>
      </c>
      <c r="AC123" s="24">
        <f t="shared" si="57"/>
        <v>114.54062586832876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2.8421709430404007E-13</v>
      </c>
      <c r="AJ123" s="14">
        <f>AI123*VLOOKUP('Données projet'!$B$10,Paramètres!$A$1:$I$88,3,0)*VLOOKUP('Données projet'!$B$10,Paramètres!$A$1:$I$88,5,0)</f>
        <v>1.7735146684572101E-13</v>
      </c>
      <c r="AK123" s="14">
        <f t="shared" si="89"/>
        <v>2.4924271921531257E-12</v>
      </c>
      <c r="AL123" s="22">
        <f t="shared" si="58"/>
        <v>4.6498644977563242E-12</v>
      </c>
      <c r="AM123" s="62">
        <f t="shared" si="59"/>
        <v>293.33333333333798</v>
      </c>
      <c r="AN123" s="62">
        <f ca="1">AVERAGE(OFFSET($AM$3,0,0,'Données projet'!$E$10+1,1))-AVERAGE(OFFSET($H$3,0,0,'Données projet'!$E$10+1,1))</f>
        <v>272.66985936980086</v>
      </c>
      <c r="AO123" s="62">
        <f t="shared" si="90"/>
        <v>320.12040114313697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84.859124738923924</v>
      </c>
      <c r="AV123" s="23">
        <f>EXP(-LN(2)/25)*AV122+(1-EXP(-LN(2)/25))/(LN(2)/25)*Calculateur!AQ123*Calculateur!AS123*VLOOKUP('Données projet'!$B$10,Paramètres!$A$1:$I$88,3,0)*0.475*44/12</f>
        <v>18.256781494965608</v>
      </c>
      <c r="AW123" s="23">
        <f>EXP(-LN(2)/2)*AW122+(1-EXP(-LN(2)/2))/(LN(2)/2)*AQ123*AT123*VLOOKUP('Données projet'!$B$10,Paramètres!$A$1:$I$88,3,0)*0.475*44/12</f>
        <v>1.742795306736446E-6</v>
      </c>
      <c r="AX123" s="23">
        <f t="shared" si="60"/>
        <v>103.11590797668484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-150</v>
      </c>
      <c r="BE123" s="14">
        <f>BD123*VLOOKUP('Données projet'!$B$11,Paramètres!$A$1:$I$88,3,0)*VLOOKUP('Données projet'!$B$11,Paramètres!$A$1:$I$88,5,0)</f>
        <v>-70.2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164.93326103756453</v>
      </c>
      <c r="BJ123" s="62">
        <f t="shared" si="92"/>
        <v>115.86489547584461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127.66913976486632</v>
      </c>
      <c r="BQ123" s="23">
        <f>EXP(-LN(2)/25)*BQ122+(1-EXP(-LN(2)/25))/(LN(2)/25)*Calculateur!BL123*Calculateur!BN123*VLOOKUP('Données projet'!$B$11,Paramètres!$A$1:$I$88,3,0)*0.475*44/12</f>
        <v>18.955519647870837</v>
      </c>
      <c r="BR123" s="23">
        <f>EXP(-LN(2)/2)*BR122+(1-EXP(-LN(2)/2))/(LN(2)/2)*BL123*BO123*VLOOKUP('Données projet'!$B$11,Paramètres!$A$1:$I$88,3,0)*0.475*44/12</f>
        <v>2.989419437794421E-2</v>
      </c>
      <c r="BS123" s="24">
        <f t="shared" si="63"/>
        <v>146.65455360711508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530.8207224538246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-3.4106051316484809E-13</v>
      </c>
      <c r="O124" s="14">
        <f>N124*VLOOKUP('Données projet'!$B$9,Paramètres!$A$1:$I$88,3,0)*VLOOKUP('Données projet'!$B$9,Paramètres!$A$1:$I$88,5,0)</f>
        <v>-1.9065282685915009E-13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461.42631729930201</v>
      </c>
      <c r="T124" s="62">
        <f t="shared" si="88"/>
        <v>570.46734160592086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95.504130172826933</v>
      </c>
      <c r="AA124" s="23">
        <f>EXP(-LN(2)/25)*AA123+(1-EXP(-LN(2)/25))/(LN(2)/25)*Calculateur!V124*Calculateur!X124*VLOOKUP('Données projet'!$B$9,Paramètres!$A$1:$I$88,3,0)*0.475*44/12</f>
        <v>16.65794069295821</v>
      </c>
      <c r="AB124" s="23">
        <f>EXP(-LN(2)/2)*AB123+(1-EXP(-LN(2)/2))/(LN(2)/2)*V124*Y124*VLOOKUP('Données projet'!$B$9,Paramètres!$A$1:$I$88,3,0)*0.475*44/12</f>
        <v>1.6661309387553836E-7</v>
      </c>
      <c r="AC124" s="24">
        <f t="shared" si="57"/>
        <v>112.16207103239823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2.8421709430404007E-13</v>
      </c>
      <c r="AJ124" s="14">
        <f>AI124*VLOOKUP('Données projet'!$B$10,Paramètres!$A$1:$I$88,3,0)*VLOOKUP('Données projet'!$B$10,Paramètres!$A$1:$I$88,5,0)</f>
        <v>1.7735146684572101E-13</v>
      </c>
      <c r="AK124" s="14">
        <f t="shared" si="89"/>
        <v>2.4924271921531257E-12</v>
      </c>
      <c r="AL124" s="22">
        <f t="shared" si="58"/>
        <v>4.6498644977563242E-12</v>
      </c>
      <c r="AM124" s="62">
        <f t="shared" si="59"/>
        <v>293.33333333333798</v>
      </c>
      <c r="AN124" s="62">
        <f ca="1">AVERAGE(OFFSET($AM$3,0,0,'Données projet'!$E$10+1,1))-AVERAGE(OFFSET($H$3,0,0,'Données projet'!$E$10+1,1))</f>
        <v>272.66985936980086</v>
      </c>
      <c r="AO124" s="62">
        <f t="shared" si="90"/>
        <v>320.12040114313697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83.195089061748945</v>
      </c>
      <c r="AV124" s="23">
        <f>EXP(-LN(2)/25)*AV123+(1-EXP(-LN(2)/25))/(LN(2)/25)*Calculateur!AQ124*Calculateur!AS124*VLOOKUP('Données projet'!$B$10,Paramètres!$A$1:$I$88,3,0)*0.475*44/12</f>
        <v>17.757548844903361</v>
      </c>
      <c r="AW124" s="23">
        <f>EXP(-LN(2)/2)*AW123+(1-EXP(-LN(2)/2))/(LN(2)/2)*AQ124*AT124*VLOOKUP('Données projet'!$B$10,Paramètres!$A$1:$I$88,3,0)*0.475*44/12</f>
        <v>1.2323423796134301E-6</v>
      </c>
      <c r="AX124" s="23">
        <f t="shared" si="60"/>
        <v>100.9526391389947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-150</v>
      </c>
      <c r="BE124" s="14">
        <f>BD124*VLOOKUP('Données projet'!$B$11,Paramètres!$A$1:$I$88,3,0)*VLOOKUP('Données projet'!$B$11,Paramètres!$A$1:$I$88,5,0)</f>
        <v>-70.2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164.93326103756453</v>
      </c>
      <c r="BJ124" s="62">
        <f t="shared" si="92"/>
        <v>115.86489547584461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125.16562580456348</v>
      </c>
      <c r="BQ124" s="23">
        <f>EXP(-LN(2)/25)*BQ123+(1-EXP(-LN(2)/25))/(LN(2)/25)*Calculateur!BL124*Calculateur!BN124*VLOOKUP('Données projet'!$B$11,Paramètres!$A$1:$I$88,3,0)*0.475*44/12</f>
        <v>18.437179966272353</v>
      </c>
      <c r="BR124" s="23">
        <f>EXP(-LN(2)/2)*BR123+(1-EXP(-LN(2)/2))/(LN(2)/2)*BL124*BO124*VLOOKUP('Données projet'!$B$11,Paramètres!$A$1:$I$88,3,0)*0.475*44/12</f>
        <v>2.1138387562753116E-2</v>
      </c>
      <c r="BS124" s="24">
        <f t="shared" si="63"/>
        <v>143.62394415839859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532.73506130246597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-3.4106051316484809E-13</v>
      </c>
      <c r="O125" s="14">
        <f>N125*VLOOKUP('Données projet'!$B$9,Paramètres!$A$1:$I$88,3,0)*VLOOKUP('Données projet'!$B$9,Paramètres!$A$1:$I$88,5,0)</f>
        <v>-1.9065282685915009E-13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461.42631729930201</v>
      </c>
      <c r="T125" s="62">
        <f t="shared" si="88"/>
        <v>570.46734160592086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93.631352431905313</v>
      </c>
      <c r="AA125" s="23">
        <f>EXP(-LN(2)/25)*AA124+(1-EXP(-LN(2)/25))/(LN(2)/25)*Calculateur!V125*Calculateur!X125*VLOOKUP('Données projet'!$B$9,Paramètres!$A$1:$I$88,3,0)*0.475*44/12</f>
        <v>16.202428428706238</v>
      </c>
      <c r="AB125" s="23">
        <f>EXP(-LN(2)/2)*AB124+(1-EXP(-LN(2)/2))/(LN(2)/2)*V125*Y125*VLOOKUP('Données projet'!$B$9,Paramètres!$A$1:$I$88,3,0)*0.475*44/12</f>
        <v>1.1781324851386401E-7</v>
      </c>
      <c r="AC125" s="24">
        <f t="shared" si="57"/>
        <v>109.8337809784248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2.8421709430404007E-13</v>
      </c>
      <c r="AJ125" s="14">
        <f>AI125*VLOOKUP('Données projet'!$B$10,Paramètres!$A$1:$I$88,3,0)*VLOOKUP('Données projet'!$B$10,Paramètres!$A$1:$I$88,5,0)</f>
        <v>1.7735146684572101E-13</v>
      </c>
      <c r="AK125" s="14">
        <f t="shared" si="89"/>
        <v>2.4924271921531257E-12</v>
      </c>
      <c r="AL125" s="22">
        <f t="shared" si="58"/>
        <v>4.6498644977563242E-12</v>
      </c>
      <c r="AM125" s="62">
        <f t="shared" si="59"/>
        <v>293.33333333333798</v>
      </c>
      <c r="AN125" s="62">
        <f ca="1">AVERAGE(OFFSET($AM$3,0,0,'Données projet'!$E$10+1,1))-AVERAGE(OFFSET($H$3,0,0,'Données projet'!$E$10+1,1))</f>
        <v>272.66985936980086</v>
      </c>
      <c r="AO125" s="62">
        <f t="shared" si="90"/>
        <v>320.12040114313697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81.563684109241819</v>
      </c>
      <c r="AV125" s="23">
        <f>EXP(-LN(2)/25)*AV124+(1-EXP(-LN(2)/25))/(LN(2)/25)*Calculateur!AQ125*Calculateur!AS125*VLOOKUP('Données projet'!$B$10,Paramètres!$A$1:$I$88,3,0)*0.475*44/12</f>
        <v>17.271967737910572</v>
      </c>
      <c r="AW125" s="23">
        <f>EXP(-LN(2)/2)*AW124+(1-EXP(-LN(2)/2))/(LN(2)/2)*AQ125*AT125*VLOOKUP('Données projet'!$B$10,Paramètres!$A$1:$I$88,3,0)*0.475*44/12</f>
        <v>8.71397653368223E-7</v>
      </c>
      <c r="AX125" s="23">
        <f t="shared" si="60"/>
        <v>98.835652718550051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-150</v>
      </c>
      <c r="BE125" s="14">
        <f>BD125*VLOOKUP('Données projet'!$B$11,Paramètres!$A$1:$I$88,3,0)*VLOOKUP('Données projet'!$B$11,Paramètres!$A$1:$I$88,5,0)</f>
        <v>-70.2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164.93326103756453</v>
      </c>
      <c r="BJ125" s="62">
        <f t="shared" si="92"/>
        <v>115.86489547584461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122.71120422602944</v>
      </c>
      <c r="BQ125" s="23">
        <f>EXP(-LN(2)/25)*BQ124+(1-EXP(-LN(2)/25))/(LN(2)/25)*Calculateur!BL125*Calculateur!BN125*VLOOKUP('Données projet'!$B$11,Paramètres!$A$1:$I$88,3,0)*0.475*44/12</f>
        <v>17.933014310525479</v>
      </c>
      <c r="BR125" s="23">
        <f>EXP(-LN(2)/2)*BR124+(1-EXP(-LN(2)/2))/(LN(2)/2)*BL125*BO125*VLOOKUP('Données projet'!$B$11,Paramètres!$A$1:$I$88,3,0)*0.475*44/12</f>
        <v>1.4947097188972107E-2</v>
      </c>
      <c r="BS125" s="24">
        <f t="shared" si="63"/>
        <v>140.6591656337439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534.64905144838292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-3.4106051316484809E-13</v>
      </c>
      <c r="O126" s="14">
        <f>N126*VLOOKUP('Données projet'!$B$9,Paramètres!$A$1:$I$88,3,0)*VLOOKUP('Données projet'!$B$9,Paramètres!$A$1:$I$88,5,0)</f>
        <v>-1.9065282685915009E-13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461.42631729930201</v>
      </c>
      <c r="T126" s="62">
        <f t="shared" si="88"/>
        <v>570.46734160592086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91.795298720201544</v>
      </c>
      <c r="AA126" s="23">
        <f>EXP(-LN(2)/25)*AA125+(1-EXP(-LN(2)/25))/(LN(2)/25)*Calculateur!V126*Calculateur!X126*VLOOKUP('Données projet'!$B$9,Paramètres!$A$1:$I$88,3,0)*0.475*44/12</f>
        <v>15.759372171274586</v>
      </c>
      <c r="AB126" s="23">
        <f>EXP(-LN(2)/2)*AB125+(1-EXP(-LN(2)/2))/(LN(2)/2)*V126*Y126*VLOOKUP('Données projet'!$B$9,Paramètres!$A$1:$I$88,3,0)*0.475*44/12</f>
        <v>8.3306546937769195E-8</v>
      </c>
      <c r="AC126" s="24">
        <f t="shared" si="57"/>
        <v>107.55467097478268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2.8421709430404007E-13</v>
      </c>
      <c r="AJ126" s="14">
        <f>AI126*VLOOKUP('Données projet'!$B$10,Paramètres!$A$1:$I$88,3,0)*VLOOKUP('Données projet'!$B$10,Paramètres!$A$1:$I$88,5,0)</f>
        <v>1.7735146684572101E-13</v>
      </c>
      <c r="AK126" s="14">
        <f t="shared" si="89"/>
        <v>2.4924271921531257E-12</v>
      </c>
      <c r="AL126" s="22">
        <f t="shared" si="58"/>
        <v>4.6498644977563242E-12</v>
      </c>
      <c r="AM126" s="62">
        <f t="shared" si="59"/>
        <v>293.33333333333798</v>
      </c>
      <c r="AN126" s="62">
        <f ca="1">AVERAGE(OFFSET($AM$3,0,0,'Données projet'!$E$10+1,1))-AVERAGE(OFFSET($H$3,0,0,'Données projet'!$E$10+1,1))</f>
        <v>272.66985936980086</v>
      </c>
      <c r="AO126" s="62">
        <f t="shared" si="90"/>
        <v>320.12040114313697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79.9642700127946</v>
      </c>
      <c r="AV126" s="23">
        <f>EXP(-LN(2)/25)*AV125+(1-EXP(-LN(2)/25))/(LN(2)/25)*Calculateur!AQ126*Calculateur!AS126*VLOOKUP('Données projet'!$B$10,Paramètres!$A$1:$I$88,3,0)*0.475*44/12</f>
        <v>16.799664871824099</v>
      </c>
      <c r="AW126" s="23">
        <f>EXP(-LN(2)/2)*AW125+(1-EXP(-LN(2)/2))/(LN(2)/2)*AQ126*AT126*VLOOKUP('Données projet'!$B$10,Paramètres!$A$1:$I$88,3,0)*0.475*44/12</f>
        <v>6.1617118980671504E-7</v>
      </c>
      <c r="AX126" s="23">
        <f t="shared" si="60"/>
        <v>96.763935500789884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-150</v>
      </c>
      <c r="BE126" s="14">
        <f>BD126*VLOOKUP('Données projet'!$B$11,Paramètres!$A$1:$I$88,3,0)*VLOOKUP('Données projet'!$B$11,Paramètres!$A$1:$I$88,5,0)</f>
        <v>-70.2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164.93326103756453</v>
      </c>
      <c r="BJ126" s="62">
        <f t="shared" si="92"/>
        <v>115.86489547584461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120.30491235760111</v>
      </c>
      <c r="BQ126" s="23">
        <f>EXP(-LN(2)/25)*BQ125+(1-EXP(-LN(2)/25))/(LN(2)/25)*Calculateur!BL126*Calculateur!BN126*VLOOKUP('Données projet'!$B$11,Paramètres!$A$1:$I$88,3,0)*0.475*44/12</f>
        <v>17.442635091147924</v>
      </c>
      <c r="BR126" s="23">
        <f>EXP(-LN(2)/2)*BR125+(1-EXP(-LN(2)/2))/(LN(2)/2)*BL126*BO126*VLOOKUP('Données projet'!$B$11,Paramètres!$A$1:$I$88,3,0)*0.475*44/12</f>
        <v>1.056919378137656E-2</v>
      </c>
      <c r="BS126" s="24">
        <f t="shared" si="63"/>
        <v>137.75811664253041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536.56269605512193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-3.4106051316484809E-13</v>
      </c>
      <c r="O127" s="14">
        <f>N127*VLOOKUP('Données projet'!$B$9,Paramètres!$A$1:$I$88,3,0)*VLOOKUP('Données projet'!$B$9,Paramètres!$A$1:$I$88,5,0)</f>
        <v>-1.9065282685915009E-13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461.42631729930201</v>
      </c>
      <c r="T127" s="62">
        <f t="shared" si="88"/>
        <v>570.46734160592086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89.995248901902102</v>
      </c>
      <c r="AA127" s="23">
        <f>EXP(-LN(2)/25)*AA126+(1-EXP(-LN(2)/25))/(LN(2)/25)*Calculateur!V127*Calculateur!X127*VLOOKUP('Données projet'!$B$9,Paramètres!$A$1:$I$88,3,0)*0.475*44/12</f>
        <v>15.328431310501719</v>
      </c>
      <c r="AB127" s="23">
        <f>EXP(-LN(2)/2)*AB126+(1-EXP(-LN(2)/2))/(LN(2)/2)*V127*Y127*VLOOKUP('Données projet'!$B$9,Paramètres!$A$1:$I$88,3,0)*0.475*44/12</f>
        <v>5.8906624256932018E-8</v>
      </c>
      <c r="AC127" s="24">
        <f t="shared" si="57"/>
        <v>105.32368027131044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2.8421709430404007E-13</v>
      </c>
      <c r="AJ127" s="14">
        <f>AI127*VLOOKUP('Données projet'!$B$10,Paramètres!$A$1:$I$88,3,0)*VLOOKUP('Données projet'!$B$10,Paramètres!$A$1:$I$88,5,0)</f>
        <v>1.7735146684572101E-13</v>
      </c>
      <c r="AK127" s="14">
        <f t="shared" si="89"/>
        <v>2.4924271921531257E-12</v>
      </c>
      <c r="AL127" s="22">
        <f t="shared" si="58"/>
        <v>4.6498644977563242E-12</v>
      </c>
      <c r="AM127" s="62">
        <f t="shared" si="59"/>
        <v>293.33333333333798</v>
      </c>
      <c r="AN127" s="62">
        <f ca="1">AVERAGE(OFFSET($AM$3,0,0,'Données projet'!$E$10+1,1))-AVERAGE(OFFSET($H$3,0,0,'Données projet'!$E$10+1,1))</f>
        <v>272.66985936980086</v>
      </c>
      <c r="AO127" s="62">
        <f t="shared" si="90"/>
        <v>320.12040114313697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78.39621945123244</v>
      </c>
      <c r="AV127" s="23">
        <f>EXP(-LN(2)/25)*AV126+(1-EXP(-LN(2)/25))/(LN(2)/25)*Calculateur!AQ127*Calculateur!AS127*VLOOKUP('Données projet'!$B$10,Paramètres!$A$1:$I$88,3,0)*0.475*44/12</f>
        <v>16.340277152448088</v>
      </c>
      <c r="AW127" s="23">
        <f>EXP(-LN(2)/2)*AW126+(1-EXP(-LN(2)/2))/(LN(2)/2)*AQ127*AT127*VLOOKUP('Données projet'!$B$10,Paramètres!$A$1:$I$88,3,0)*0.475*44/12</f>
        <v>4.356988266841115E-7</v>
      </c>
      <c r="AX127" s="23">
        <f t="shared" si="60"/>
        <v>94.736497039379358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-150</v>
      </c>
      <c r="BE127" s="14">
        <f>BD127*VLOOKUP('Données projet'!$B$11,Paramètres!$A$1:$I$88,3,0)*VLOOKUP('Données projet'!$B$11,Paramètres!$A$1:$I$88,5,0)</f>
        <v>-70.2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164.93326103756453</v>
      </c>
      <c r="BJ127" s="62">
        <f t="shared" si="92"/>
        <v>115.86489547584461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117.94580640501954</v>
      </c>
      <c r="BQ127" s="23">
        <f>EXP(-LN(2)/25)*BQ126+(1-EXP(-LN(2)/25))/(LN(2)/25)*Calculateur!BL127*Calculateur!BN127*VLOOKUP('Données projet'!$B$11,Paramètres!$A$1:$I$88,3,0)*0.475*44/12</f>
        <v>16.965665317312169</v>
      </c>
      <c r="BR127" s="23">
        <f>EXP(-LN(2)/2)*BR126+(1-EXP(-LN(2)/2))/(LN(2)/2)*BL127*BO127*VLOOKUP('Données projet'!$B$11,Paramètres!$A$1:$I$88,3,0)*0.475*44/12</f>
        <v>7.4735485944860541E-3</v>
      </c>
      <c r="BS127" s="24">
        <f t="shared" si="63"/>
        <v>134.91894527092617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538.47599823225801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-3.4106051316484809E-13</v>
      </c>
      <c r="O128" s="14">
        <f>N128*VLOOKUP('Données projet'!$B$9,Paramètres!$A$1:$I$88,3,0)*VLOOKUP('Données projet'!$B$9,Paramètres!$A$1:$I$88,5,0)</f>
        <v>-1.9065282685915009E-13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461.42631729930201</v>
      </c>
      <c r="T128" s="62">
        <f t="shared" si="88"/>
        <v>570.46734160592086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88.230496962617522</v>
      </c>
      <c r="AA128" s="23">
        <f>EXP(-LN(2)/25)*AA127+(1-EXP(-LN(2)/25))/(LN(2)/25)*Calculateur!V128*Calculateur!X128*VLOOKUP('Données projet'!$B$9,Paramètres!$A$1:$I$88,3,0)*0.475*44/12</f>
        <v>14.909274550228881</v>
      </c>
      <c r="AB128" s="23">
        <f>EXP(-LN(2)/2)*AB127+(1-EXP(-LN(2)/2))/(LN(2)/2)*V128*Y128*VLOOKUP('Données projet'!$B$9,Paramètres!$A$1:$I$88,3,0)*0.475*44/12</f>
        <v>4.1653273468884604E-8</v>
      </c>
      <c r="AC128" s="24">
        <f t="shared" si="57"/>
        <v>103.13977155449969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2.8421709430404007E-13</v>
      </c>
      <c r="AJ128" s="14">
        <f>AI128*VLOOKUP('Données projet'!$B$10,Paramètres!$A$1:$I$88,3,0)*VLOOKUP('Données projet'!$B$10,Paramètres!$A$1:$I$88,5,0)</f>
        <v>1.7735146684572101E-13</v>
      </c>
      <c r="AK128" s="14">
        <f t="shared" si="89"/>
        <v>2.4924271921531257E-12</v>
      </c>
      <c r="AL128" s="22">
        <f t="shared" si="58"/>
        <v>4.6498644977563242E-12</v>
      </c>
      <c r="AM128" s="62">
        <f t="shared" si="59"/>
        <v>293.33333333333798</v>
      </c>
      <c r="AN128" s="62">
        <f ca="1">AVERAGE(OFFSET($AM$3,0,0,'Données projet'!$E$10+1,1))-AVERAGE(OFFSET($H$3,0,0,'Données projet'!$E$10+1,1))</f>
        <v>272.66985936980086</v>
      </c>
      <c r="AO128" s="62">
        <f t="shared" si="90"/>
        <v>320.12040114313697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76.858917404766103</v>
      </c>
      <c r="AV128" s="23">
        <f>EXP(-LN(2)/25)*AV127+(1-EXP(-LN(2)/25))/(LN(2)/25)*Calculateur!AQ128*Calculateur!AS128*VLOOKUP('Données projet'!$B$10,Paramètres!$A$1:$I$88,3,0)*0.475*44/12</f>
        <v>15.893451414416566</v>
      </c>
      <c r="AW128" s="23">
        <f>EXP(-LN(2)/2)*AW127+(1-EXP(-LN(2)/2))/(LN(2)/2)*AQ128*AT128*VLOOKUP('Données projet'!$B$10,Paramètres!$A$1:$I$88,3,0)*0.475*44/12</f>
        <v>3.0808559490335752E-7</v>
      </c>
      <c r="AX128" s="23">
        <f t="shared" si="60"/>
        <v>92.752369127268253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-150</v>
      </c>
      <c r="BE128" s="14">
        <f>BD128*VLOOKUP('Données projet'!$B$11,Paramètres!$A$1:$I$88,3,0)*VLOOKUP('Données projet'!$B$11,Paramètres!$A$1:$I$88,5,0)</f>
        <v>-70.2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164.93326103756453</v>
      </c>
      <c r="BJ128" s="62">
        <f t="shared" si="92"/>
        <v>115.86489547584461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115.63296108125554</v>
      </c>
      <c r="BQ128" s="23">
        <f>EXP(-LN(2)/25)*BQ127+(1-EXP(-LN(2)/25))/(LN(2)/25)*Calculateur!BL128*Calculateur!BN128*VLOOKUP('Données projet'!$B$11,Paramètres!$A$1:$I$88,3,0)*0.475*44/12</f>
        <v>16.501738307024706</v>
      </c>
      <c r="BR128" s="23">
        <f>EXP(-LN(2)/2)*BR127+(1-EXP(-LN(2)/2))/(LN(2)/2)*BL128*BO128*VLOOKUP('Données projet'!$B$11,Paramètres!$A$1:$I$88,3,0)*0.475*44/12</f>
        <v>5.2845968906882809E-3</v>
      </c>
      <c r="BS128" s="24">
        <f t="shared" si="63"/>
        <v>132.13998398517091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540.38896103674051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-3.4106051316484809E-13</v>
      </c>
      <c r="O129" s="14">
        <f>N129*VLOOKUP('Données projet'!$B$9,Paramètres!$A$1:$I$88,3,0)*VLOOKUP('Données projet'!$B$9,Paramètres!$A$1:$I$88,5,0)</f>
        <v>-1.9065282685915009E-13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461.42631729930201</v>
      </c>
      <c r="T129" s="62">
        <f t="shared" si="88"/>
        <v>570.46734160592086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86.500350732469926</v>
      </c>
      <c r="AA129" s="23">
        <f>EXP(-LN(2)/25)*AA128+(1-EXP(-LN(2)/25))/(LN(2)/25)*Calculateur!V129*Calculateur!X129*VLOOKUP('Données projet'!$B$9,Paramètres!$A$1:$I$88,3,0)*0.475*44/12</f>
        <v>14.5015796536082</v>
      </c>
      <c r="AB129" s="23">
        <f>EXP(-LN(2)/2)*AB128+(1-EXP(-LN(2)/2))/(LN(2)/2)*V129*Y129*VLOOKUP('Données projet'!$B$9,Paramètres!$A$1:$I$88,3,0)*0.475*44/12</f>
        <v>2.9453312128466012E-8</v>
      </c>
      <c r="AC129" s="24">
        <f t="shared" si="57"/>
        <v>101.00193041553145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2.8421709430404007E-13</v>
      </c>
      <c r="AJ129" s="14">
        <f>AI129*VLOOKUP('Données projet'!$B$10,Paramètres!$A$1:$I$88,3,0)*VLOOKUP('Données projet'!$B$10,Paramètres!$A$1:$I$88,5,0)</f>
        <v>1.7735146684572101E-13</v>
      </c>
      <c r="AK129" s="14">
        <f t="shared" si="89"/>
        <v>2.4924271921531257E-12</v>
      </c>
      <c r="AL129" s="22">
        <f t="shared" si="58"/>
        <v>4.6498644977563242E-12</v>
      </c>
      <c r="AM129" s="62">
        <f t="shared" si="59"/>
        <v>293.33333333333798</v>
      </c>
      <c r="AN129" s="62">
        <f ca="1">AVERAGE(OFFSET($AM$3,0,0,'Données projet'!$E$10+1,1))-AVERAGE(OFFSET($H$3,0,0,'Données projet'!$E$10+1,1))</f>
        <v>272.66985936980086</v>
      </c>
      <c r="AO129" s="62">
        <f t="shared" si="90"/>
        <v>320.12040114313697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75.351760913769311</v>
      </c>
      <c r="AV129" s="23">
        <f>EXP(-LN(2)/25)*AV128+(1-EXP(-LN(2)/25))/(LN(2)/25)*Calculateur!AQ129*Calculateur!AS129*VLOOKUP('Données projet'!$B$10,Paramètres!$A$1:$I$88,3,0)*0.475*44/12</f>
        <v>15.45884414968906</v>
      </c>
      <c r="AW129" s="23">
        <f>EXP(-LN(2)/2)*AW128+(1-EXP(-LN(2)/2))/(LN(2)/2)*AQ129*AT129*VLOOKUP('Données projet'!$B$10,Paramètres!$A$1:$I$88,3,0)*0.475*44/12</f>
        <v>2.1784941334205575E-7</v>
      </c>
      <c r="AX129" s="23">
        <f t="shared" si="60"/>
        <v>90.810605281307787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-150</v>
      </c>
      <c r="BE129" s="14">
        <f>BD129*VLOOKUP('Données projet'!$B$11,Paramètres!$A$1:$I$88,3,0)*VLOOKUP('Données projet'!$B$11,Paramètres!$A$1:$I$88,5,0)</f>
        <v>-70.2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164.93326103756453</v>
      </c>
      <c r="BJ129" s="62">
        <f t="shared" si="92"/>
        <v>115.86489547584461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113.36546924359421</v>
      </c>
      <c r="BQ129" s="23">
        <f>EXP(-LN(2)/25)*BQ128+(1-EXP(-LN(2)/25))/(LN(2)/25)*Calculateur!BL129*Calculateur!BN129*VLOOKUP('Données projet'!$B$11,Paramètres!$A$1:$I$88,3,0)*0.475*44/12</f>
        <v>16.050497405230413</v>
      </c>
      <c r="BR129" s="23">
        <f>EXP(-LN(2)/2)*BR128+(1-EXP(-LN(2)/2))/(LN(2)/2)*BL129*BO129*VLOOKUP('Données projet'!$B$11,Paramètres!$A$1:$I$88,3,0)*0.475*44/12</f>
        <v>3.7367742972430279E-3</v>
      </c>
      <c r="BS129" s="24">
        <f t="shared" si="63"/>
        <v>129.41970342312186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542.30158747419375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-3.4106051316484809E-13</v>
      </c>
      <c r="O130" s="14">
        <f>N130*VLOOKUP('Données projet'!$B$9,Paramètres!$A$1:$I$88,3,0)*VLOOKUP('Données projet'!$B$9,Paramètres!$A$1:$I$88,5,0)</f>
        <v>-1.9065282685915009E-13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461.42631729930201</v>
      </c>
      <c r="T130" s="62">
        <f t="shared" si="88"/>
        <v>570.46734160592086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84.804131614610526</v>
      </c>
      <c r="AA130" s="23">
        <f>EXP(-LN(2)/25)*AA129+(1-EXP(-LN(2)/25))/(LN(2)/25)*Calculateur!V130*Calculateur!X130*VLOOKUP('Données projet'!$B$9,Paramètres!$A$1:$I$88,3,0)*0.475*44/12</f>
        <v>14.105033195375354</v>
      </c>
      <c r="AB130" s="23">
        <f>EXP(-LN(2)/2)*AB129+(1-EXP(-LN(2)/2))/(LN(2)/2)*V130*Y130*VLOOKUP('Données projet'!$B$9,Paramètres!$A$1:$I$88,3,0)*0.475*44/12</f>
        <v>2.0826636734442305E-8</v>
      </c>
      <c r="AC130" s="24">
        <f t="shared" si="57"/>
        <v>98.909164830812514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2.8421709430404007E-13</v>
      </c>
      <c r="AJ130" s="14">
        <f>AI130*VLOOKUP('Données projet'!$B$10,Paramètres!$A$1:$I$88,3,0)*VLOOKUP('Données projet'!$B$10,Paramètres!$A$1:$I$88,5,0)</f>
        <v>1.7735146684572101E-13</v>
      </c>
      <c r="AK130" s="14">
        <f t="shared" si="89"/>
        <v>2.4924271921531257E-12</v>
      </c>
      <c r="AL130" s="22">
        <f t="shared" si="58"/>
        <v>4.6498644977563242E-12</v>
      </c>
      <c r="AM130" s="62">
        <f t="shared" si="59"/>
        <v>293.33333333333798</v>
      </c>
      <c r="AN130" s="62">
        <f ca="1">AVERAGE(OFFSET($AM$3,0,0,'Données projet'!$E$10+1,1))-AVERAGE(OFFSET($H$3,0,0,'Données projet'!$E$10+1,1))</f>
        <v>272.66985936980086</v>
      </c>
      <c r="AO130" s="62">
        <f t="shared" si="90"/>
        <v>320.12040114313697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73.874158842286278</v>
      </c>
      <c r="AV130" s="23">
        <f>EXP(-LN(2)/25)*AV129+(1-EXP(-LN(2)/25))/(LN(2)/25)*Calculateur!AQ130*Calculateur!AS130*VLOOKUP('Données projet'!$B$10,Paramètres!$A$1:$I$88,3,0)*0.475*44/12</f>
        <v>15.03612124347053</v>
      </c>
      <c r="AW130" s="23">
        <f>EXP(-LN(2)/2)*AW129+(1-EXP(-LN(2)/2))/(LN(2)/2)*AQ130*AT130*VLOOKUP('Données projet'!$B$10,Paramètres!$A$1:$I$88,3,0)*0.475*44/12</f>
        <v>1.5404279745167876E-7</v>
      </c>
      <c r="AX130" s="23">
        <f t="shared" si="60"/>
        <v>88.910280239799604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-150</v>
      </c>
      <c r="BE130" s="14">
        <f>BD130*VLOOKUP('Données projet'!$B$11,Paramètres!$A$1:$I$88,3,0)*VLOOKUP('Données projet'!$B$11,Paramètres!$A$1:$I$88,5,0)</f>
        <v>-70.2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164.93326103756453</v>
      </c>
      <c r="BJ130" s="62">
        <f t="shared" si="92"/>
        <v>115.86489547584461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111.14244153783595</v>
      </c>
      <c r="BQ130" s="23">
        <f>EXP(-LN(2)/25)*BQ129+(1-EXP(-LN(2)/25))/(LN(2)/25)*Calculateur!BL130*Calculateur!BN130*VLOOKUP('Données projet'!$B$11,Paramètres!$A$1:$I$88,3,0)*0.475*44/12</f>
        <v>15.611595709625412</v>
      </c>
      <c r="BR130" s="23">
        <f>EXP(-LN(2)/2)*BR129+(1-EXP(-LN(2)/2))/(LN(2)/2)*BL130*BO130*VLOOKUP('Données projet'!$B$11,Paramètres!$A$1:$I$88,3,0)*0.475*44/12</f>
        <v>2.6422984453441409E-3</v>
      </c>
      <c r="BS130" s="24">
        <f t="shared" si="63"/>
        <v>126.75667954590669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544.21388050017583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-3.4106051316484809E-13</v>
      </c>
      <c r="O131" s="14">
        <f>N131*VLOOKUP('Données projet'!$B$9,Paramètres!$A$1:$I$88,3,0)*VLOOKUP('Données projet'!$B$9,Paramètres!$A$1:$I$88,5,0)</f>
        <v>-1.9065282685915009E-13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461.42631729930201</v>
      </c>
      <c r="T131" s="62">
        <f t="shared" si="88"/>
        <v>570.46734160592086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83.141174319060838</v>
      </c>
      <c r="AA131" s="23">
        <f>EXP(-LN(2)/25)*AA130+(1-EXP(-LN(2)/25))/(LN(2)/25)*Calculateur!V131*Calculateur!X131*VLOOKUP('Données projet'!$B$9,Paramètres!$A$1:$I$88,3,0)*0.475*44/12</f>
        <v>13.719330320896356</v>
      </c>
      <c r="AB131" s="23">
        <f>EXP(-LN(2)/2)*AB130+(1-EXP(-LN(2)/2))/(LN(2)/2)*V131*Y131*VLOOKUP('Données projet'!$B$9,Paramètres!$A$1:$I$88,3,0)*0.475*44/12</f>
        <v>1.4726656064233009E-8</v>
      </c>
      <c r="AC131" s="24">
        <f t="shared" si="57"/>
        <v>96.860504654683851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2.8421709430404007E-13</v>
      </c>
      <c r="AJ131" s="14">
        <f>AI131*VLOOKUP('Données projet'!$B$10,Paramètres!$A$1:$I$88,3,0)*VLOOKUP('Données projet'!$B$10,Paramètres!$A$1:$I$88,5,0)</f>
        <v>1.7735146684572101E-13</v>
      </c>
      <c r="AK131" s="14">
        <f t="shared" si="89"/>
        <v>2.4924271921531257E-12</v>
      </c>
      <c r="AL131" s="22">
        <f t="shared" si="58"/>
        <v>4.6498644977563242E-12</v>
      </c>
      <c r="AM131" s="62">
        <f t="shared" si="59"/>
        <v>293.33333333333798</v>
      </c>
      <c r="AN131" s="62">
        <f ca="1">AVERAGE(OFFSET($AM$3,0,0,'Données projet'!$E$10+1,1))-AVERAGE(OFFSET($H$3,0,0,'Données projet'!$E$10+1,1))</f>
        <v>272.66985936980086</v>
      </c>
      <c r="AO131" s="62">
        <f t="shared" si="90"/>
        <v>320.12040114313697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72.425531646176751</v>
      </c>
      <c r="AV131" s="23">
        <f>EXP(-LN(2)/25)*AV130+(1-EXP(-LN(2)/25))/(LN(2)/25)*Calculateur!AQ131*Calculateur!AS131*VLOOKUP('Données projet'!$B$10,Paramètres!$A$1:$I$88,3,0)*0.475*44/12</f>
        <v>14.624957717352578</v>
      </c>
      <c r="AW131" s="23">
        <f>EXP(-LN(2)/2)*AW130+(1-EXP(-LN(2)/2))/(LN(2)/2)*AQ131*AT131*VLOOKUP('Données projet'!$B$10,Paramètres!$A$1:$I$88,3,0)*0.475*44/12</f>
        <v>1.0892470667102788E-7</v>
      </c>
      <c r="AX131" s="23">
        <f t="shared" si="60"/>
        <v>87.050489472454032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-150</v>
      </c>
      <c r="BE131" s="14">
        <f>BD131*VLOOKUP('Données projet'!$B$11,Paramètres!$A$1:$I$88,3,0)*VLOOKUP('Données projet'!$B$11,Paramètres!$A$1:$I$88,5,0)</f>
        <v>-70.2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164.93326103756453</v>
      </c>
      <c r="BJ131" s="62">
        <f t="shared" si="92"/>
        <v>115.86489547584461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108.9630060494746</v>
      </c>
      <c r="BQ131" s="23">
        <f>EXP(-LN(2)/25)*BQ130+(1-EXP(-LN(2)/25))/(LN(2)/25)*Calculateur!BL131*Calculateur!BN131*VLOOKUP('Données projet'!$B$11,Paramètres!$A$1:$I$88,3,0)*0.475*44/12</f>
        <v>15.184695803967568</v>
      </c>
      <c r="BR131" s="23">
        <f>EXP(-LN(2)/2)*BR130+(1-EXP(-LN(2)/2))/(LN(2)/2)*BL131*BO131*VLOOKUP('Données projet'!$B$11,Paramètres!$A$1:$I$88,3,0)*0.475*44/12</f>
        <v>1.8683871486215142E-3</v>
      </c>
      <c r="BS131" s="24">
        <f t="shared" si="63"/>
        <v>124.14957024059079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546.12584302139749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-3.4106051316484809E-13</v>
      </c>
      <c r="O132" s="14">
        <f>N132*VLOOKUP('Données projet'!$B$9,Paramètres!$A$1:$I$88,3,0)*VLOOKUP('Données projet'!$B$9,Paramètres!$A$1:$I$88,5,0)</f>
        <v>-1.9065282685915009E-13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461.42631729930201</v>
      </c>
      <c r="T132" s="62">
        <f t="shared" si="88"/>
        <v>570.46734160592086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81.51082660177309</v>
      </c>
      <c r="AA132" s="23">
        <f>EXP(-LN(2)/25)*AA131+(1-EXP(-LN(2)/25))/(LN(2)/25)*Calculateur!V132*Calculateur!X132*VLOOKUP('Données projet'!$B$9,Paramètres!$A$1:$I$88,3,0)*0.475*44/12</f>
        <v>13.344174511803219</v>
      </c>
      <c r="AB132" s="23">
        <f>EXP(-LN(2)/2)*AB131+(1-EXP(-LN(2)/2))/(LN(2)/2)*V132*Y132*VLOOKUP('Données projet'!$B$9,Paramètres!$A$1:$I$88,3,0)*0.475*44/12</f>
        <v>1.0413318367221154E-8</v>
      </c>
      <c r="AC132" s="24">
        <f t="shared" ref="AC132:AC153" si="111">SUM(Z132:AB132)</f>
        <v>94.855001123989624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2.8421709430404007E-13</v>
      </c>
      <c r="AJ132" s="14">
        <f>AI132*VLOOKUP('Données projet'!$B$10,Paramètres!$A$1:$I$88,3,0)*VLOOKUP('Données projet'!$B$10,Paramètres!$A$1:$I$88,5,0)</f>
        <v>1.7735146684572101E-13</v>
      </c>
      <c r="AK132" s="14">
        <f t="shared" si="89"/>
        <v>2.4924271921531257E-12</v>
      </c>
      <c r="AL132" s="22">
        <f t="shared" ref="AL132:AL153" si="112">(AJ132+AK132)*0.475*44/12</f>
        <v>4.6498644977563242E-12</v>
      </c>
      <c r="AM132" s="62">
        <f t="shared" ref="AM132:AM195" si="113">AL132+(AD132+AE132)*44/12</f>
        <v>293.33333333333798</v>
      </c>
      <c r="AN132" s="62">
        <f ca="1">AVERAGE(OFFSET($AM$3,0,0,'Données projet'!$E$10+1,1))-AVERAGE(OFFSET($H$3,0,0,'Données projet'!$E$10+1,1))</f>
        <v>272.66985936980086</v>
      </c>
      <c r="AO132" s="62">
        <f t="shared" si="90"/>
        <v>320.12040114313697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71.005311145807582</v>
      </c>
      <c r="AV132" s="23">
        <f>EXP(-LN(2)/25)*AV131+(1-EXP(-LN(2)/25))/(LN(2)/25)*Calculateur!AQ132*Calculateur!AS132*VLOOKUP('Données projet'!$B$10,Paramètres!$A$1:$I$88,3,0)*0.475*44/12</f>
        <v>14.225037479478472</v>
      </c>
      <c r="AW132" s="23">
        <f>EXP(-LN(2)/2)*AW131+(1-EXP(-LN(2)/2))/(LN(2)/2)*AQ132*AT132*VLOOKUP('Données projet'!$B$10,Paramètres!$A$1:$I$88,3,0)*0.475*44/12</f>
        <v>7.702139872583938E-8</v>
      </c>
      <c r="AX132" s="23">
        <f t="shared" ref="AX132:AX153" si="114">SUM(AU132:AW132)</f>
        <v>85.230348702307452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-150</v>
      </c>
      <c r="BE132" s="14">
        <f>BD132*VLOOKUP('Données projet'!$B$11,Paramètres!$A$1:$I$88,3,0)*VLOOKUP('Données projet'!$B$11,Paramètres!$A$1:$I$88,5,0)</f>
        <v>-70.2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164.93326103756453</v>
      </c>
      <c r="BJ132" s="62">
        <f t="shared" si="92"/>
        <v>115.86489547584461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106.82630796171563</v>
      </c>
      <c r="BQ132" s="23">
        <f>EXP(-LN(2)/25)*BQ131+(1-EXP(-LN(2)/25))/(LN(2)/25)*Calculateur!BL132*Calculateur!BN132*VLOOKUP('Données projet'!$B$11,Paramètres!$A$1:$I$88,3,0)*0.475*44/12</f>
        <v>14.769469498679626</v>
      </c>
      <c r="BR132" s="23">
        <f>EXP(-LN(2)/2)*BR131+(1-EXP(-LN(2)/2))/(LN(2)/2)*BL132*BO132*VLOOKUP('Données projet'!$B$11,Paramètres!$A$1:$I$88,3,0)*0.475*44/12</f>
        <v>1.3211492226720706E-3</v>
      </c>
      <c r="BS132" s="24">
        <f t="shared" ref="BS132:BS153" si="117">SUM(BP132:BR132)</f>
        <v>121.59709860961793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548.03747789690146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-3.4106051316484809E-13</v>
      </c>
      <c r="O133" s="14">
        <f>N133*VLOOKUP('Données projet'!$B$9,Paramètres!$A$1:$I$88,3,0)*VLOOKUP('Données projet'!$B$9,Paramètres!$A$1:$I$88,5,0)</f>
        <v>-1.9065282685915009E-13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461.42631729930201</v>
      </c>
      <c r="T133" s="62">
        <f t="shared" ref="T133:T196" si="142">$T$3</f>
        <v>570.46734160592086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79.912449008807428</v>
      </c>
      <c r="AA133" s="23">
        <f>EXP(-LN(2)/25)*AA132+(1-EXP(-LN(2)/25))/(LN(2)/25)*Calculateur!V133*Calculateur!X133*VLOOKUP('Données projet'!$B$9,Paramètres!$A$1:$I$88,3,0)*0.475*44/12</f>
        <v>12.979277358038321</v>
      </c>
      <c r="AB133" s="23">
        <f>EXP(-LN(2)/2)*AB132+(1-EXP(-LN(2)/2))/(LN(2)/2)*V133*Y133*VLOOKUP('Données projet'!$B$9,Paramètres!$A$1:$I$88,3,0)*0.475*44/12</f>
        <v>7.3633280321165055E-9</v>
      </c>
      <c r="AC133" s="24">
        <f t="shared" si="111"/>
        <v>92.891726374209071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2.8421709430404007E-13</v>
      </c>
      <c r="AJ133" s="14">
        <f>AI133*VLOOKUP('Données projet'!$B$10,Paramètres!$A$1:$I$88,3,0)*VLOOKUP('Données projet'!$B$10,Paramètres!$A$1:$I$88,5,0)</f>
        <v>1.7735146684572101E-13</v>
      </c>
      <c r="AK133" s="14">
        <f t="shared" ref="AK133:AK153" si="143">EXP(-1.0587+0.8836*LN(AJ133)+0.284)</f>
        <v>2.4924271921531257E-12</v>
      </c>
      <c r="AL133" s="22">
        <f t="shared" si="112"/>
        <v>4.6498644977563242E-12</v>
      </c>
      <c r="AM133" s="62">
        <f t="shared" si="113"/>
        <v>293.33333333333798</v>
      </c>
      <c r="AN133" s="62">
        <f ca="1">AVERAGE(OFFSET($AM$3,0,0,'Données projet'!$E$10+1,1))-AVERAGE(OFFSET($H$3,0,0,'Données projet'!$E$10+1,1))</f>
        <v>272.66985936980086</v>
      </c>
      <c r="AO133" s="62">
        <f t="shared" ref="AO133:AO196" si="144">$AO$3</f>
        <v>320.12040114313697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69.612940303201682</v>
      </c>
      <c r="AV133" s="23">
        <f>EXP(-LN(2)/25)*AV132+(1-EXP(-LN(2)/25))/(LN(2)/25)*Calculateur!AQ133*Calculateur!AS133*VLOOKUP('Données projet'!$B$10,Paramètres!$A$1:$I$88,3,0)*0.475*44/12</f>
        <v>13.836053081539923</v>
      </c>
      <c r="AW133" s="23">
        <f>EXP(-LN(2)/2)*AW132+(1-EXP(-LN(2)/2))/(LN(2)/2)*AQ133*AT133*VLOOKUP('Données projet'!$B$10,Paramètres!$A$1:$I$88,3,0)*0.475*44/12</f>
        <v>5.4462353335513938E-8</v>
      </c>
      <c r="AX133" s="23">
        <f t="shared" si="114"/>
        <v>83.44899343920396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-150</v>
      </c>
      <c r="BE133" s="14">
        <f>BD133*VLOOKUP('Données projet'!$B$11,Paramètres!$A$1:$I$88,3,0)*VLOOKUP('Données projet'!$B$11,Paramètres!$A$1:$I$88,5,0)</f>
        <v>-70.2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164.93326103756453</v>
      </c>
      <c r="BJ133" s="62">
        <f t="shared" ref="BJ133:BJ196" si="146">$BJ$3</f>
        <v>115.86489547584461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104.73150922020046</v>
      </c>
      <c r="BQ133" s="23">
        <f>EXP(-LN(2)/25)*BQ132+(1-EXP(-LN(2)/25))/(LN(2)/25)*Calculateur!BL133*Calculateur!BN133*VLOOKUP('Données projet'!$B$11,Paramètres!$A$1:$I$88,3,0)*0.475*44/12</f>
        <v>14.365597578545588</v>
      </c>
      <c r="BR133" s="23">
        <f>EXP(-LN(2)/2)*BR132+(1-EXP(-LN(2)/2))/(LN(2)/2)*BL133*BO133*VLOOKUP('Données projet'!$B$11,Paramètres!$A$1:$I$88,3,0)*0.475*44/12</f>
        <v>9.3419357431075731E-4</v>
      </c>
      <c r="BS133" s="24">
        <f t="shared" si="117"/>
        <v>119.09804099232036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549.94878793920475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-3.4106051316484809E-13</v>
      </c>
      <c r="O134" s="14">
        <f>N134*VLOOKUP('Données projet'!$B$9,Paramètres!$A$1:$I$88,3,0)*VLOOKUP('Données projet'!$B$9,Paramètres!$A$1:$I$88,5,0)</f>
        <v>-1.9065282685915009E-13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461.42631729930201</v>
      </c>
      <c r="T134" s="62">
        <f t="shared" si="142"/>
        <v>570.46734160592086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78.345414625525763</v>
      </c>
      <c r="AA134" s="23">
        <f>EXP(-LN(2)/25)*AA133+(1-EXP(-LN(2)/25))/(LN(2)/25)*Calculateur!V134*Calculateur!X134*VLOOKUP('Données projet'!$B$9,Paramètres!$A$1:$I$88,3,0)*0.475*44/12</f>
        <v>12.62435833613223</v>
      </c>
      <c r="AB134" s="23">
        <f>EXP(-LN(2)/2)*AB133+(1-EXP(-LN(2)/2))/(LN(2)/2)*V134*Y134*VLOOKUP('Données projet'!$B$9,Paramètres!$A$1:$I$88,3,0)*0.475*44/12</f>
        <v>5.206659183610578E-9</v>
      </c>
      <c r="AC134" s="24">
        <f t="shared" si="111"/>
        <v>90.969772966864653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2.8421709430404007E-13</v>
      </c>
      <c r="AJ134" s="14">
        <f>AI134*VLOOKUP('Données projet'!$B$10,Paramètres!$A$1:$I$88,3,0)*VLOOKUP('Données projet'!$B$10,Paramètres!$A$1:$I$88,5,0)</f>
        <v>1.7735146684572101E-13</v>
      </c>
      <c r="AK134" s="14">
        <f t="shared" si="143"/>
        <v>2.4924271921531257E-12</v>
      </c>
      <c r="AL134" s="22">
        <f t="shared" si="112"/>
        <v>4.6498644977563242E-12</v>
      </c>
      <c r="AM134" s="62">
        <f t="shared" si="113"/>
        <v>293.33333333333798</v>
      </c>
      <c r="AN134" s="62">
        <f ca="1">AVERAGE(OFFSET($AM$3,0,0,'Données projet'!$E$10+1,1))-AVERAGE(OFFSET($H$3,0,0,'Données projet'!$E$10+1,1))</f>
        <v>272.66985936980086</v>
      </c>
      <c r="AO134" s="62">
        <f t="shared" si="144"/>
        <v>320.12040114313697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68.247873003556933</v>
      </c>
      <c r="AV134" s="23">
        <f>EXP(-LN(2)/25)*AV133+(1-EXP(-LN(2)/25))/(LN(2)/25)*Calculateur!AQ134*Calculateur!AS134*VLOOKUP('Données projet'!$B$10,Paramètres!$A$1:$I$88,3,0)*0.475*44/12</f>
        <v>13.457705482418804</v>
      </c>
      <c r="AW134" s="23">
        <f>EXP(-LN(2)/2)*AW133+(1-EXP(-LN(2)/2))/(LN(2)/2)*AQ134*AT134*VLOOKUP('Données projet'!$B$10,Paramètres!$A$1:$I$88,3,0)*0.475*44/12</f>
        <v>3.851069936291969E-8</v>
      </c>
      <c r="AX134" s="23">
        <f t="shared" si="114"/>
        <v>81.705578524486441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-150</v>
      </c>
      <c r="BE134" s="14">
        <f>BD134*VLOOKUP('Données projet'!$B$11,Paramètres!$A$1:$I$88,3,0)*VLOOKUP('Données projet'!$B$11,Paramètres!$A$1:$I$88,5,0)</f>
        <v>-70.2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164.93326103756453</v>
      </c>
      <c r="BJ134" s="62">
        <f t="shared" si="146"/>
        <v>115.86489547584461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102.67778820430534</v>
      </c>
      <c r="BQ134" s="23">
        <f>EXP(-LN(2)/25)*BQ133+(1-EXP(-LN(2)/25))/(LN(2)/25)*Calculateur!BL134*Calculateur!BN134*VLOOKUP('Données projet'!$B$11,Paramètres!$A$1:$I$88,3,0)*0.475*44/12</f>
        <v>13.972769557306314</v>
      </c>
      <c r="BR134" s="23">
        <f>EXP(-LN(2)/2)*BR133+(1-EXP(-LN(2)/2))/(LN(2)/2)*BL134*BO134*VLOOKUP('Données projet'!$B$11,Paramètres!$A$1:$I$88,3,0)*0.475*44/12</f>
        <v>6.6057461133603543E-4</v>
      </c>
      <c r="BS134" s="24">
        <f t="shared" si="117"/>
        <v>116.65121833622298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551.85977591540495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-3.4106051316484809E-13</v>
      </c>
      <c r="O135" s="14">
        <f>N135*VLOOKUP('Données projet'!$B$9,Paramètres!$A$1:$I$88,3,0)*VLOOKUP('Données projet'!$B$9,Paramètres!$A$1:$I$88,5,0)</f>
        <v>-1.9065282685915009E-13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461.42631729930201</v>
      </c>
      <c r="T135" s="62">
        <f t="shared" si="142"/>
        <v>570.46734160592086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76.80910883070365</v>
      </c>
      <c r="AA135" s="23">
        <f>EXP(-LN(2)/25)*AA134+(1-EXP(-LN(2)/25))/(LN(2)/25)*Calculateur!V135*Calculateur!X135*VLOOKUP('Données projet'!$B$9,Paramètres!$A$1:$I$88,3,0)*0.475*44/12</f>
        <v>12.279144593544544</v>
      </c>
      <c r="AB135" s="23">
        <f>EXP(-LN(2)/2)*AB134+(1-EXP(-LN(2)/2))/(LN(2)/2)*V135*Y135*VLOOKUP('Données projet'!$B$9,Paramètres!$A$1:$I$88,3,0)*0.475*44/12</f>
        <v>3.6816640160582532E-9</v>
      </c>
      <c r="AC135" s="24">
        <f t="shared" si="111"/>
        <v>89.088253427929857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2.8421709430404007E-13</v>
      </c>
      <c r="AJ135" s="14">
        <f>AI135*VLOOKUP('Données projet'!$B$10,Paramètres!$A$1:$I$88,3,0)*VLOOKUP('Données projet'!$B$10,Paramètres!$A$1:$I$88,5,0)</f>
        <v>1.7735146684572101E-13</v>
      </c>
      <c r="AK135" s="14">
        <f t="shared" si="143"/>
        <v>2.4924271921531257E-12</v>
      </c>
      <c r="AL135" s="22">
        <f t="shared" si="112"/>
        <v>4.6498644977563242E-12</v>
      </c>
      <c r="AM135" s="62">
        <f t="shared" si="113"/>
        <v>293.33333333333798</v>
      </c>
      <c r="AN135" s="62">
        <f ca="1">AVERAGE(OFFSET($AM$3,0,0,'Données projet'!$E$10+1,1))-AVERAGE(OFFSET($H$3,0,0,'Données projet'!$E$10+1,1))</f>
        <v>272.66985936980086</v>
      </c>
      <c r="AO135" s="62">
        <f t="shared" si="144"/>
        <v>320.12040114313697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66.909573841049379</v>
      </c>
      <c r="AV135" s="23">
        <f>EXP(-LN(2)/25)*AV134+(1-EXP(-LN(2)/25))/(LN(2)/25)*Calculateur!AQ135*Calculateur!AS135*VLOOKUP('Données projet'!$B$10,Paramètres!$A$1:$I$88,3,0)*0.475*44/12</f>
        <v>13.089703818292088</v>
      </c>
      <c r="AW135" s="23">
        <f>EXP(-LN(2)/2)*AW134+(1-EXP(-LN(2)/2))/(LN(2)/2)*AQ135*AT135*VLOOKUP('Données projet'!$B$10,Paramètres!$A$1:$I$88,3,0)*0.475*44/12</f>
        <v>2.7231176667756969E-8</v>
      </c>
      <c r="AX135" s="23">
        <f t="shared" si="114"/>
        <v>79.999277686572654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-150</v>
      </c>
      <c r="BE135" s="14">
        <f>BD135*VLOOKUP('Données projet'!$B$11,Paramètres!$A$1:$I$88,3,0)*VLOOKUP('Données projet'!$B$11,Paramètres!$A$1:$I$88,5,0)</f>
        <v>-70.2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164.93326103756453</v>
      </c>
      <c r="BJ135" s="62">
        <f t="shared" si="146"/>
        <v>115.86489547584461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100.66433940488579</v>
      </c>
      <c r="BQ135" s="23">
        <f>EXP(-LN(2)/25)*BQ134+(1-EXP(-LN(2)/25))/(LN(2)/25)*Calculateur!BL135*Calculateur!BN135*VLOOKUP('Données projet'!$B$11,Paramètres!$A$1:$I$88,3,0)*0.475*44/12</f>
        <v>13.590683438965758</v>
      </c>
      <c r="BR135" s="23">
        <f>EXP(-LN(2)/2)*BR134+(1-EXP(-LN(2)/2))/(LN(2)/2)*BL135*BO135*VLOOKUP('Données projet'!$B$11,Paramètres!$A$1:$I$88,3,0)*0.475*44/12</f>
        <v>4.6709678715537871E-4</v>
      </c>
      <c r="BS135" s="24">
        <f t="shared" si="117"/>
        <v>114.25548994063871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553.77044454825227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-3.4106051316484809E-13</v>
      </c>
      <c r="O136" s="14">
        <f>N136*VLOOKUP('Données projet'!$B$9,Paramètres!$A$1:$I$88,3,0)*VLOOKUP('Données projet'!$B$9,Paramètres!$A$1:$I$88,5,0)</f>
        <v>-1.9065282685915009E-13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461.42631729930201</v>
      </c>
      <c r="T136" s="62">
        <f t="shared" si="142"/>
        <v>570.46734160592086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75.302929055463991</v>
      </c>
      <c r="AA136" s="23">
        <f>EXP(-LN(2)/25)*AA135+(1-EXP(-LN(2)/25))/(LN(2)/25)*Calculateur!V136*Calculateur!X136*VLOOKUP('Données projet'!$B$9,Paramètres!$A$1:$I$88,3,0)*0.475*44/12</f>
        <v>11.943370738901919</v>
      </c>
      <c r="AB136" s="23">
        <f>EXP(-LN(2)/2)*AB135+(1-EXP(-LN(2)/2))/(LN(2)/2)*V136*Y136*VLOOKUP('Données projet'!$B$9,Paramètres!$A$1:$I$88,3,0)*0.475*44/12</f>
        <v>2.6033295918052894E-9</v>
      </c>
      <c r="AC136" s="24">
        <f t="shared" si="111"/>
        <v>87.24629979696924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2.8421709430404007E-13</v>
      </c>
      <c r="AJ136" s="14">
        <f>AI136*VLOOKUP('Données projet'!$B$10,Paramètres!$A$1:$I$88,3,0)*VLOOKUP('Données projet'!$B$10,Paramètres!$A$1:$I$88,5,0)</f>
        <v>1.7735146684572101E-13</v>
      </c>
      <c r="AK136" s="14">
        <f t="shared" si="143"/>
        <v>2.4924271921531257E-12</v>
      </c>
      <c r="AL136" s="22">
        <f t="shared" si="112"/>
        <v>4.6498644977563242E-12</v>
      </c>
      <c r="AM136" s="62">
        <f t="shared" si="113"/>
        <v>293.33333333333798</v>
      </c>
      <c r="AN136" s="62">
        <f ca="1">AVERAGE(OFFSET($AM$3,0,0,'Données projet'!$E$10+1,1))-AVERAGE(OFFSET($H$3,0,0,'Données projet'!$E$10+1,1))</f>
        <v>272.66985936980086</v>
      </c>
      <c r="AO136" s="62">
        <f t="shared" si="144"/>
        <v>320.12040114313697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65.597517908836707</v>
      </c>
      <c r="AV136" s="23">
        <f>EXP(-LN(2)/25)*AV135+(1-EXP(-LN(2)/25))/(LN(2)/25)*Calculateur!AQ136*Calculateur!AS136*VLOOKUP('Données projet'!$B$10,Paramètres!$A$1:$I$88,3,0)*0.475*44/12</f>
        <v>12.731765179023284</v>
      </c>
      <c r="AW136" s="23">
        <f>EXP(-LN(2)/2)*AW135+(1-EXP(-LN(2)/2))/(LN(2)/2)*AQ136*AT136*VLOOKUP('Données projet'!$B$10,Paramètres!$A$1:$I$88,3,0)*0.475*44/12</f>
        <v>1.9255349681459845E-8</v>
      </c>
      <c r="AX136" s="23">
        <f t="shared" si="114"/>
        <v>78.329283107115344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-150</v>
      </c>
      <c r="BE136" s="14">
        <f>BD136*VLOOKUP('Données projet'!$B$11,Paramètres!$A$1:$I$88,3,0)*VLOOKUP('Données projet'!$B$11,Paramètres!$A$1:$I$88,5,0)</f>
        <v>-70.2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164.93326103756453</v>
      </c>
      <c r="BJ136" s="62">
        <f t="shared" si="146"/>
        <v>115.86489547584461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98.690373108340353</v>
      </c>
      <c r="BQ136" s="23">
        <f>EXP(-LN(2)/25)*BQ135+(1-EXP(-LN(2)/25))/(LN(2)/25)*Calculateur!BL136*Calculateur!BN136*VLOOKUP('Données projet'!$B$11,Paramètres!$A$1:$I$88,3,0)*0.475*44/12</f>
        <v>13.21904548562426</v>
      </c>
      <c r="BR136" s="23">
        <f>EXP(-LN(2)/2)*BR135+(1-EXP(-LN(2)/2))/(LN(2)/2)*BL136*BO136*VLOOKUP('Données projet'!$B$11,Paramètres!$A$1:$I$88,3,0)*0.475*44/12</f>
        <v>3.3028730566801777E-4</v>
      </c>
      <c r="BS136" s="24">
        <f t="shared" si="117"/>
        <v>111.90974888127029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555.68079651718767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-3.4106051316484809E-13</v>
      </c>
      <c r="O137" s="14">
        <f>N137*VLOOKUP('Données projet'!$B$9,Paramètres!$A$1:$I$88,3,0)*VLOOKUP('Données projet'!$B$9,Paramètres!$A$1:$I$88,5,0)</f>
        <v>-1.9065282685915009E-13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461.42631729930201</v>
      </c>
      <c r="T137" s="62">
        <f t="shared" si="142"/>
        <v>570.46734160592086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73.826284546937828</v>
      </c>
      <c r="AA137" s="23">
        <f>EXP(-LN(2)/25)*AA136+(1-EXP(-LN(2)/25))/(LN(2)/25)*Calculateur!V137*Calculateur!X137*VLOOKUP('Données projet'!$B$9,Paramètres!$A$1:$I$88,3,0)*0.475*44/12</f>
        <v>11.616778637972075</v>
      </c>
      <c r="AB137" s="23">
        <f>EXP(-LN(2)/2)*AB136+(1-EXP(-LN(2)/2))/(LN(2)/2)*V137*Y137*VLOOKUP('Données projet'!$B$9,Paramètres!$A$1:$I$88,3,0)*0.475*44/12</f>
        <v>1.840832008029127E-9</v>
      </c>
      <c r="AC137" s="24">
        <f t="shared" si="111"/>
        <v>85.443063186750734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2.8421709430404007E-13</v>
      </c>
      <c r="AJ137" s="14">
        <f>AI137*VLOOKUP('Données projet'!$B$10,Paramètres!$A$1:$I$88,3,0)*VLOOKUP('Données projet'!$B$10,Paramètres!$A$1:$I$88,5,0)</f>
        <v>1.7735146684572101E-13</v>
      </c>
      <c r="AK137" s="14">
        <f t="shared" si="143"/>
        <v>2.4924271921531257E-12</v>
      </c>
      <c r="AL137" s="22">
        <f t="shared" si="112"/>
        <v>4.6498644977563242E-12</v>
      </c>
      <c r="AM137" s="62">
        <f t="shared" si="113"/>
        <v>293.33333333333798</v>
      </c>
      <c r="AN137" s="62">
        <f ca="1">AVERAGE(OFFSET($AM$3,0,0,'Données projet'!$E$10+1,1))-AVERAGE(OFFSET($H$3,0,0,'Données projet'!$E$10+1,1))</f>
        <v>272.66985936980086</v>
      </c>
      <c r="AO137" s="62">
        <f t="shared" si="144"/>
        <v>320.12040114313697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64.311190593179631</v>
      </c>
      <c r="AV137" s="23">
        <f>EXP(-LN(2)/25)*AV136+(1-EXP(-LN(2)/25))/(LN(2)/25)*Calculateur!AQ137*Calculateur!AS137*VLOOKUP('Données projet'!$B$10,Paramètres!$A$1:$I$88,3,0)*0.475*44/12</f>
        <v>12.383614390668461</v>
      </c>
      <c r="AW137" s="23">
        <f>EXP(-LN(2)/2)*AW136+(1-EXP(-LN(2)/2))/(LN(2)/2)*AQ137*AT137*VLOOKUP('Données projet'!$B$10,Paramètres!$A$1:$I$88,3,0)*0.475*44/12</f>
        <v>1.3615588333878484E-8</v>
      </c>
      <c r="AX137" s="23">
        <f t="shared" si="114"/>
        <v>76.694804997463677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-150</v>
      </c>
      <c r="BE137" s="14">
        <f>BD137*VLOOKUP('Données projet'!$B$11,Paramètres!$A$1:$I$88,3,0)*VLOOKUP('Données projet'!$B$11,Paramètres!$A$1:$I$88,5,0)</f>
        <v>-70.2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164.93326103756453</v>
      </c>
      <c r="BJ137" s="62">
        <f t="shared" si="146"/>
        <v>115.86489547584461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96.755115086869608</v>
      </c>
      <c r="BQ137" s="23">
        <f>EXP(-LN(2)/25)*BQ136+(1-EXP(-LN(2)/25))/(LN(2)/25)*Calculateur!BL137*Calculateur!BN137*VLOOKUP('Données projet'!$B$11,Paramètres!$A$1:$I$88,3,0)*0.475*44/12</f>
        <v>12.857569991660476</v>
      </c>
      <c r="BR137" s="23">
        <f>EXP(-LN(2)/2)*BR136+(1-EXP(-LN(2)/2))/(LN(2)/2)*BL137*BO137*VLOOKUP('Données projet'!$B$11,Paramètres!$A$1:$I$88,3,0)*0.475*44/12</f>
        <v>2.3354839357768941E-4</v>
      </c>
      <c r="BS137" s="24">
        <f t="shared" si="117"/>
        <v>109.61291862692367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557.59083445935073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-3.4106051316484809E-13</v>
      </c>
      <c r="O138" s="14">
        <f>N138*VLOOKUP('Données projet'!$B$9,Paramètres!$A$1:$I$88,3,0)*VLOOKUP('Données projet'!$B$9,Paramètres!$A$1:$I$88,5,0)</f>
        <v>-1.9065282685915009E-13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461.42631729930201</v>
      </c>
      <c r="T138" s="62">
        <f t="shared" si="142"/>
        <v>570.46734160592086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72.378596136559651</v>
      </c>
      <c r="AA138" s="23">
        <f>EXP(-LN(2)/25)*AA137+(1-EXP(-LN(2)/25))/(LN(2)/25)*Calculateur!V138*Calculateur!X138*VLOOKUP('Données projet'!$B$9,Paramètres!$A$1:$I$88,3,0)*0.475*44/12</f>
        <v>11.29911721521689</v>
      </c>
      <c r="AB138" s="23">
        <f>EXP(-LN(2)/2)*AB137+(1-EXP(-LN(2)/2))/(LN(2)/2)*V138*Y138*VLOOKUP('Données projet'!$B$9,Paramètres!$A$1:$I$88,3,0)*0.475*44/12</f>
        <v>1.3016647959026449E-9</v>
      </c>
      <c r="AC138" s="24">
        <f t="shared" si="111"/>
        <v>83.677713353078218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2.8421709430404007E-13</v>
      </c>
      <c r="AJ138" s="14">
        <f>AI138*VLOOKUP('Données projet'!$B$10,Paramètres!$A$1:$I$88,3,0)*VLOOKUP('Données projet'!$B$10,Paramètres!$A$1:$I$88,5,0)</f>
        <v>1.7735146684572101E-13</v>
      </c>
      <c r="AK138" s="14">
        <f t="shared" si="143"/>
        <v>2.4924271921531257E-12</v>
      </c>
      <c r="AL138" s="22">
        <f t="shared" si="112"/>
        <v>4.6498644977563242E-12</v>
      </c>
      <c r="AM138" s="62">
        <f t="shared" si="113"/>
        <v>293.33333333333798</v>
      </c>
      <c r="AN138" s="62">
        <f ca="1">AVERAGE(OFFSET($AM$3,0,0,'Données projet'!$E$10+1,1))-AVERAGE(OFFSET($H$3,0,0,'Données projet'!$E$10+1,1))</f>
        <v>272.66985936980086</v>
      </c>
      <c r="AO138" s="62">
        <f t="shared" si="144"/>
        <v>320.12040114313697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63.050087371600398</v>
      </c>
      <c r="AV138" s="23">
        <f>EXP(-LN(2)/25)*AV137+(1-EXP(-LN(2)/25))/(LN(2)/25)*Calculateur!AQ138*Calculateur!AS138*VLOOKUP('Données projet'!$B$10,Paramètres!$A$1:$I$88,3,0)*0.475*44/12</f>
        <v>12.044983803929654</v>
      </c>
      <c r="AW138" s="23">
        <f>EXP(-LN(2)/2)*AW137+(1-EXP(-LN(2)/2))/(LN(2)/2)*AQ138*AT138*VLOOKUP('Données projet'!$B$10,Paramètres!$A$1:$I$88,3,0)*0.475*44/12</f>
        <v>9.6276748407299225E-9</v>
      </c>
      <c r="AX138" s="23">
        <f t="shared" si="114"/>
        <v>75.095071185157721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-150</v>
      </c>
      <c r="BE138" s="14">
        <f>BD138*VLOOKUP('Données projet'!$B$11,Paramètres!$A$1:$I$88,3,0)*VLOOKUP('Données projet'!$B$11,Paramètres!$A$1:$I$88,5,0)</f>
        <v>-70.2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164.93326103756453</v>
      </c>
      <c r="BJ138" s="62">
        <f t="shared" si="146"/>
        <v>115.86489547584461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94.857806294809066</v>
      </c>
      <c r="BQ138" s="23">
        <f>EXP(-LN(2)/25)*BQ137+(1-EXP(-LN(2)/25))/(LN(2)/25)*Calculateur!BL138*Calculateur!BN138*VLOOKUP('Données projet'!$B$11,Paramètres!$A$1:$I$88,3,0)*0.475*44/12</f>
        <v>12.505979064088301</v>
      </c>
      <c r="BR138" s="23">
        <f>EXP(-LN(2)/2)*BR137+(1-EXP(-LN(2)/2))/(LN(2)/2)*BL138*BO138*VLOOKUP('Données projet'!$B$11,Paramètres!$A$1:$I$88,3,0)*0.475*44/12</f>
        <v>1.6514365283400891E-4</v>
      </c>
      <c r="BS138" s="24">
        <f t="shared" si="117"/>
        <v>107.3639505025502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559.50056097055494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-3.4106051316484809E-13</v>
      </c>
      <c r="O139" s="14">
        <f>N139*VLOOKUP('Données projet'!$B$9,Paramètres!$A$1:$I$88,3,0)*VLOOKUP('Données projet'!$B$9,Paramètres!$A$1:$I$88,5,0)</f>
        <v>-1.9065282685915009E-13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461.42631729930201</v>
      </c>
      <c r="T139" s="62">
        <f t="shared" si="142"/>
        <v>570.46734160592086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70.95929601290625</v>
      </c>
      <c r="AA139" s="23">
        <f>EXP(-LN(2)/25)*AA138+(1-EXP(-LN(2)/25))/(LN(2)/25)*Calculateur!V139*Calculateur!X139*VLOOKUP('Données projet'!$B$9,Paramètres!$A$1:$I$88,3,0)*0.475*44/12</f>
        <v>10.990142260772034</v>
      </c>
      <c r="AB139" s="23">
        <f>EXP(-LN(2)/2)*AB138+(1-EXP(-LN(2)/2))/(LN(2)/2)*V139*Y139*VLOOKUP('Données projet'!$B$9,Paramètres!$A$1:$I$88,3,0)*0.475*44/12</f>
        <v>9.2041600401456361E-10</v>
      </c>
      <c r="AC139" s="24">
        <f t="shared" si="111"/>
        <v>81.949438274598705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2.8421709430404007E-13</v>
      </c>
      <c r="AJ139" s="14">
        <f>AI139*VLOOKUP('Données projet'!$B$10,Paramètres!$A$1:$I$88,3,0)*VLOOKUP('Données projet'!$B$10,Paramètres!$A$1:$I$88,5,0)</f>
        <v>1.7735146684572101E-13</v>
      </c>
      <c r="AK139" s="14">
        <f t="shared" si="143"/>
        <v>2.4924271921531257E-12</v>
      </c>
      <c r="AL139" s="22">
        <f t="shared" si="112"/>
        <v>4.6498644977563242E-12</v>
      </c>
      <c r="AM139" s="62">
        <f t="shared" si="113"/>
        <v>293.33333333333798</v>
      </c>
      <c r="AN139" s="62">
        <f ca="1">AVERAGE(OFFSET($AM$3,0,0,'Données projet'!$E$10+1,1))-AVERAGE(OFFSET($H$3,0,0,'Données projet'!$E$10+1,1))</f>
        <v>272.66985936980086</v>
      </c>
      <c r="AO139" s="62">
        <f t="shared" si="144"/>
        <v>320.12040114313697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61.813713614999322</v>
      </c>
      <c r="AV139" s="23">
        <f>EXP(-LN(2)/25)*AV138+(1-EXP(-LN(2)/25))/(LN(2)/25)*Calculateur!AQ139*Calculateur!AS139*VLOOKUP('Données projet'!$B$10,Paramètres!$A$1:$I$88,3,0)*0.475*44/12</f>
        <v>11.715613088393029</v>
      </c>
      <c r="AW139" s="23">
        <f>EXP(-LN(2)/2)*AW138+(1-EXP(-LN(2)/2))/(LN(2)/2)*AQ139*AT139*VLOOKUP('Données projet'!$B$10,Paramètres!$A$1:$I$88,3,0)*0.475*44/12</f>
        <v>6.8077941669392422E-9</v>
      </c>
      <c r="AX139" s="23">
        <f t="shared" si="114"/>
        <v>73.529326710200152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-150</v>
      </c>
      <c r="BE139" s="14">
        <f>BD139*VLOOKUP('Données projet'!$B$11,Paramètres!$A$1:$I$88,3,0)*VLOOKUP('Données projet'!$B$11,Paramètres!$A$1:$I$88,5,0)</f>
        <v>-70.2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164.93326103756453</v>
      </c>
      <c r="BJ139" s="62">
        <f t="shared" si="146"/>
        <v>115.86489547584461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92.997702570916744</v>
      </c>
      <c r="BQ139" s="23">
        <f>EXP(-LN(2)/25)*BQ138+(1-EXP(-LN(2)/25))/(LN(2)/25)*Calculateur!BL139*Calculateur!BN139*VLOOKUP('Données projet'!$B$11,Paramètres!$A$1:$I$88,3,0)*0.475*44/12</f>
        <v>12.16400240891995</v>
      </c>
      <c r="BR139" s="23">
        <f>EXP(-LN(2)/2)*BR138+(1-EXP(-LN(2)/2))/(LN(2)/2)*BL139*BO139*VLOOKUP('Données projet'!$B$11,Paramètres!$A$1:$I$88,3,0)*0.475*44/12</f>
        <v>1.1677419678884472E-4</v>
      </c>
      <c r="BS139" s="24">
        <f t="shared" si="117"/>
        <v>105.16182175403348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561.40997860623452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-3.4106051316484809E-13</v>
      </c>
      <c r="O140" s="14">
        <f>N140*VLOOKUP('Données projet'!$B$9,Paramètres!$A$1:$I$88,3,0)*VLOOKUP('Données projet'!$B$9,Paramètres!$A$1:$I$88,5,0)</f>
        <v>-1.9065282685915009E-13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461.42631729930201</v>
      </c>
      <c r="T140" s="62">
        <f t="shared" si="142"/>
        <v>570.46734160592086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69.567827498990098</v>
      </c>
      <c r="AA140" s="23">
        <f>EXP(-LN(2)/25)*AA139+(1-EXP(-LN(2)/25))/(LN(2)/25)*Calculateur!V140*Calculateur!X140*VLOOKUP('Données projet'!$B$9,Paramètres!$A$1:$I$88,3,0)*0.475*44/12</f>
        <v>10.689616242704759</v>
      </c>
      <c r="AB140" s="23">
        <f>EXP(-LN(2)/2)*AB139+(1-EXP(-LN(2)/2))/(LN(2)/2)*V140*Y140*VLOOKUP('Données projet'!$B$9,Paramètres!$A$1:$I$88,3,0)*0.475*44/12</f>
        <v>6.5083239795132256E-10</v>
      </c>
      <c r="AC140" s="24">
        <f t="shared" si="111"/>
        <v>80.257443742345686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2.8421709430404007E-13</v>
      </c>
      <c r="AJ140" s="14">
        <f>AI140*VLOOKUP('Données projet'!$B$10,Paramètres!$A$1:$I$88,3,0)*VLOOKUP('Données projet'!$B$10,Paramètres!$A$1:$I$88,5,0)</f>
        <v>1.7735146684572101E-13</v>
      </c>
      <c r="AK140" s="14">
        <f t="shared" si="143"/>
        <v>2.4924271921531257E-12</v>
      </c>
      <c r="AL140" s="22">
        <f t="shared" si="112"/>
        <v>4.6498644977563242E-12</v>
      </c>
      <c r="AM140" s="62">
        <f t="shared" si="113"/>
        <v>293.33333333333798</v>
      </c>
      <c r="AN140" s="62">
        <f ca="1">AVERAGE(OFFSET($AM$3,0,0,'Données projet'!$E$10+1,1))-AVERAGE(OFFSET($H$3,0,0,'Données projet'!$E$10+1,1))</f>
        <v>272.66985936980086</v>
      </c>
      <c r="AO140" s="62">
        <f t="shared" si="144"/>
        <v>320.12040114313697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60.601584393651663</v>
      </c>
      <c r="AV140" s="23">
        <f>EXP(-LN(2)/25)*AV139+(1-EXP(-LN(2)/25))/(LN(2)/25)*Calculateur!AQ140*Calculateur!AS140*VLOOKUP('Données projet'!$B$10,Paramètres!$A$1:$I$88,3,0)*0.475*44/12</f>
        <v>11.395249032393606</v>
      </c>
      <c r="AW140" s="23">
        <f>EXP(-LN(2)/2)*AW139+(1-EXP(-LN(2)/2))/(LN(2)/2)*AQ140*AT140*VLOOKUP('Données projet'!$B$10,Paramètres!$A$1:$I$88,3,0)*0.475*44/12</f>
        <v>4.8138374203649613E-9</v>
      </c>
      <c r="AX140" s="23">
        <f t="shared" si="114"/>
        <v>71.996833430859112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-150</v>
      </c>
      <c r="BE140" s="14">
        <f>BD140*VLOOKUP('Données projet'!$B$11,Paramètres!$A$1:$I$88,3,0)*VLOOKUP('Données projet'!$B$11,Paramètres!$A$1:$I$88,5,0)</f>
        <v>-70.2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164.93326103756453</v>
      </c>
      <c r="BJ140" s="62">
        <f t="shared" si="146"/>
        <v>115.86489547584461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91.174074346498699</v>
      </c>
      <c r="BQ140" s="23">
        <f>EXP(-LN(2)/25)*BQ139+(1-EXP(-LN(2)/25))/(LN(2)/25)*Calculateur!BL140*Calculateur!BN140*VLOOKUP('Données projet'!$B$11,Paramètres!$A$1:$I$88,3,0)*0.475*44/12</f>
        <v>11.831377123370949</v>
      </c>
      <c r="BR140" s="23">
        <f>EXP(-LN(2)/2)*BR139+(1-EXP(-LN(2)/2))/(LN(2)/2)*BL140*BO140*VLOOKUP('Données projet'!$B$11,Paramètres!$A$1:$I$88,3,0)*0.475*44/12</f>
        <v>8.257182641700447E-5</v>
      </c>
      <c r="BS140" s="24">
        <f t="shared" si="117"/>
        <v>103.00553404169607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563.31908988236285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-3.4106051316484809E-13</v>
      </c>
      <c r="O141" s="14">
        <f>N141*VLOOKUP('Données projet'!$B$9,Paramètres!$A$1:$I$88,3,0)*VLOOKUP('Données projet'!$B$9,Paramètres!$A$1:$I$88,5,0)</f>
        <v>-1.9065282685915009E-13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461.42631729930201</v>
      </c>
      <c r="T141" s="62">
        <f t="shared" si="142"/>
        <v>570.46734160592086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68.203644833919853</v>
      </c>
      <c r="AA141" s="23">
        <f>EXP(-LN(2)/25)*AA140+(1-EXP(-LN(2)/25))/(LN(2)/25)*Calculateur!V141*Calculateur!X141*VLOOKUP('Données projet'!$B$9,Paramètres!$A$1:$I$88,3,0)*0.475*44/12</f>
        <v>10.397308124405511</v>
      </c>
      <c r="AB141" s="23">
        <f>EXP(-LN(2)/2)*AB140+(1-EXP(-LN(2)/2))/(LN(2)/2)*V141*Y141*VLOOKUP('Données projet'!$B$9,Paramètres!$A$1:$I$88,3,0)*0.475*44/12</f>
        <v>4.6020800200728191E-10</v>
      </c>
      <c r="AC141" s="24">
        <f t="shared" si="111"/>
        <v>78.60095295878557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2.8421709430404007E-13</v>
      </c>
      <c r="AJ141" s="14">
        <f>AI141*VLOOKUP('Données projet'!$B$10,Paramètres!$A$1:$I$88,3,0)*VLOOKUP('Données projet'!$B$10,Paramètres!$A$1:$I$88,5,0)</f>
        <v>1.7735146684572101E-13</v>
      </c>
      <c r="AK141" s="14">
        <f t="shared" si="143"/>
        <v>2.4924271921531257E-12</v>
      </c>
      <c r="AL141" s="22">
        <f t="shared" si="112"/>
        <v>4.6498644977563242E-12</v>
      </c>
      <c r="AM141" s="62">
        <f t="shared" si="113"/>
        <v>293.33333333333798</v>
      </c>
      <c r="AN141" s="62">
        <f ca="1">AVERAGE(OFFSET($AM$3,0,0,'Données projet'!$E$10+1,1))-AVERAGE(OFFSET($H$3,0,0,'Données projet'!$E$10+1,1))</f>
        <v>272.66985936980086</v>
      </c>
      <c r="AO141" s="62">
        <f t="shared" si="144"/>
        <v>320.12040114313697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59.413224287008809</v>
      </c>
      <c r="AV141" s="23">
        <f>EXP(-LN(2)/25)*AV140+(1-EXP(-LN(2)/25))/(LN(2)/25)*Calculateur!AQ141*Calculateur!AS141*VLOOKUP('Données projet'!$B$10,Paramètres!$A$1:$I$88,3,0)*0.475*44/12</f>
        <v>11.0836453483527</v>
      </c>
      <c r="AW141" s="23">
        <f>EXP(-LN(2)/2)*AW140+(1-EXP(-LN(2)/2))/(LN(2)/2)*AQ141*AT141*VLOOKUP('Données projet'!$B$10,Paramètres!$A$1:$I$88,3,0)*0.475*44/12</f>
        <v>3.4038970834696211E-9</v>
      </c>
      <c r="AX141" s="23">
        <f t="shared" si="114"/>
        <v>70.496869638765403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-150</v>
      </c>
      <c r="BE141" s="14">
        <f>BD141*VLOOKUP('Données projet'!$B$11,Paramètres!$A$1:$I$88,3,0)*VLOOKUP('Données projet'!$B$11,Paramètres!$A$1:$I$88,5,0)</f>
        <v>-70.2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164.93326103756453</v>
      </c>
      <c r="BJ141" s="62">
        <f t="shared" si="146"/>
        <v>115.86489547584461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89.386206359258111</v>
      </c>
      <c r="BQ141" s="23">
        <f>EXP(-LN(2)/25)*BQ140+(1-EXP(-LN(2)/25))/(LN(2)/25)*Calculateur!BL141*Calculateur!BN141*VLOOKUP('Données projet'!$B$11,Paramètres!$A$1:$I$88,3,0)*0.475*44/12</f>
        <v>11.507847493747288</v>
      </c>
      <c r="BR141" s="23">
        <f>EXP(-LN(2)/2)*BR140+(1-EXP(-LN(2)/2))/(LN(2)/2)*BL141*BO141*VLOOKUP('Données projet'!$B$11,Paramètres!$A$1:$I$88,3,0)*0.475*44/12</f>
        <v>5.8387098394422366E-5</v>
      </c>
      <c r="BS141" s="24">
        <f t="shared" si="117"/>
        <v>100.89411224010379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565.22789727634256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-3.4106051316484809E-13</v>
      </c>
      <c r="O142" s="14">
        <f>N142*VLOOKUP('Données projet'!$B$9,Paramètres!$A$1:$I$88,3,0)*VLOOKUP('Données projet'!$B$9,Paramètres!$A$1:$I$88,5,0)</f>
        <v>-1.9065282685915009E-13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461.42631729930201</v>
      </c>
      <c r="T142" s="62">
        <f t="shared" si="142"/>
        <v>570.46734160592086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66.866212958842368</v>
      </c>
      <c r="AA142" s="23">
        <f>EXP(-LN(2)/25)*AA141+(1-EXP(-LN(2)/25))/(LN(2)/25)*Calculateur!V142*Calculateur!X142*VLOOKUP('Données projet'!$B$9,Paramètres!$A$1:$I$88,3,0)*0.475*44/12</f>
        <v>10.112993186972972</v>
      </c>
      <c r="AB142" s="23">
        <f>EXP(-LN(2)/2)*AB141+(1-EXP(-LN(2)/2))/(LN(2)/2)*V142*Y142*VLOOKUP('Données projet'!$B$9,Paramètres!$A$1:$I$88,3,0)*0.475*44/12</f>
        <v>3.2541619897566133E-10</v>
      </c>
      <c r="AC142" s="24">
        <f t="shared" si="111"/>
        <v>76.979206146140754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2.8421709430404007E-13</v>
      </c>
      <c r="AJ142" s="14">
        <f>AI142*VLOOKUP('Données projet'!$B$10,Paramètres!$A$1:$I$88,3,0)*VLOOKUP('Données projet'!$B$10,Paramètres!$A$1:$I$88,5,0)</f>
        <v>1.7735146684572101E-13</v>
      </c>
      <c r="AK142" s="14">
        <f t="shared" si="143"/>
        <v>2.4924271921531257E-12</v>
      </c>
      <c r="AL142" s="22">
        <f t="shared" si="112"/>
        <v>4.6498644977563242E-12</v>
      </c>
      <c r="AM142" s="62">
        <f t="shared" si="113"/>
        <v>293.33333333333798</v>
      </c>
      <c r="AN142" s="62">
        <f ca="1">AVERAGE(OFFSET($AM$3,0,0,'Données projet'!$E$10+1,1))-AVERAGE(OFFSET($H$3,0,0,'Données projet'!$E$10+1,1))</f>
        <v>272.66985936980086</v>
      </c>
      <c r="AO142" s="62">
        <f t="shared" si="144"/>
        <v>320.12040114313697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58.248167197229129</v>
      </c>
      <c r="AV142" s="23">
        <f>EXP(-LN(2)/25)*AV141+(1-EXP(-LN(2)/25))/(LN(2)/25)*Calculateur!AQ142*Calculateur!AS142*VLOOKUP('Données projet'!$B$10,Paramètres!$A$1:$I$88,3,0)*0.475*44/12</f>
        <v>10.780562483438418</v>
      </c>
      <c r="AW142" s="23">
        <f>EXP(-LN(2)/2)*AW141+(1-EXP(-LN(2)/2))/(LN(2)/2)*AQ142*AT142*VLOOKUP('Données projet'!$B$10,Paramètres!$A$1:$I$88,3,0)*0.475*44/12</f>
        <v>2.4069187101824806E-9</v>
      </c>
      <c r="AX142" s="23">
        <f t="shared" si="114"/>
        <v>69.028729683074474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-150</v>
      </c>
      <c r="BE142" s="14">
        <f>BD142*VLOOKUP('Données projet'!$B$11,Paramètres!$A$1:$I$88,3,0)*VLOOKUP('Données projet'!$B$11,Paramètres!$A$1:$I$88,5,0)</f>
        <v>-70.2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164.93326103756453</v>
      </c>
      <c r="BJ142" s="62">
        <f t="shared" si="146"/>
        <v>115.86489547584461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87.63339737275551</v>
      </c>
      <c r="BQ142" s="23">
        <f>EXP(-LN(2)/25)*BQ141+(1-EXP(-LN(2)/25))/(LN(2)/25)*Calculateur!BL142*Calculateur!BN142*VLOOKUP('Données projet'!$B$11,Paramètres!$A$1:$I$88,3,0)*0.475*44/12</f>
        <v>11.193164798859371</v>
      </c>
      <c r="BR142" s="23">
        <f>EXP(-LN(2)/2)*BR141+(1-EXP(-LN(2)/2))/(LN(2)/2)*BL142*BO142*VLOOKUP('Données projet'!$B$11,Paramètres!$A$1:$I$88,3,0)*0.475*44/12</f>
        <v>4.1285913208502242E-5</v>
      </c>
      <c r="BS142" s="24">
        <f t="shared" si="117"/>
        <v>98.826603457528094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567.13640322787103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-3.4106051316484809E-13</v>
      </c>
      <c r="O143" s="14">
        <f>N143*VLOOKUP('Données projet'!$B$9,Paramètres!$A$1:$I$88,3,0)*VLOOKUP('Données projet'!$B$9,Paramètres!$A$1:$I$88,5,0)</f>
        <v>-1.9065282685915009E-13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461.42631729930201</v>
      </c>
      <c r="T143" s="62">
        <f t="shared" si="142"/>
        <v>570.46734160592086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65.555007307082249</v>
      </c>
      <c r="AA143" s="23">
        <f>EXP(-LN(2)/25)*AA142+(1-EXP(-LN(2)/25))/(LN(2)/25)*Calculateur!V143*Calculateur!X143*VLOOKUP('Données projet'!$B$9,Paramètres!$A$1:$I$88,3,0)*0.475*44/12</f>
        <v>9.8364528564559972</v>
      </c>
      <c r="AB143" s="23">
        <f>EXP(-LN(2)/2)*AB142+(1-EXP(-LN(2)/2))/(LN(2)/2)*V143*Y143*VLOOKUP('Données projet'!$B$9,Paramètres!$A$1:$I$88,3,0)*0.475*44/12</f>
        <v>2.3010400100364098E-10</v>
      </c>
      <c r="AC143" s="24">
        <f t="shared" si="111"/>
        <v>75.391460163768343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2.8421709430404007E-13</v>
      </c>
      <c r="AJ143" s="14">
        <f>AI143*VLOOKUP('Données projet'!$B$10,Paramètres!$A$1:$I$88,3,0)*VLOOKUP('Données projet'!$B$10,Paramètres!$A$1:$I$88,5,0)</f>
        <v>1.7735146684572101E-13</v>
      </c>
      <c r="AK143" s="14">
        <f t="shared" si="143"/>
        <v>2.4924271921531257E-12</v>
      </c>
      <c r="AL143" s="22">
        <f t="shared" si="112"/>
        <v>4.6498644977563242E-12</v>
      </c>
      <c r="AM143" s="62">
        <f t="shared" si="113"/>
        <v>293.33333333333798</v>
      </c>
      <c r="AN143" s="62">
        <f ca="1">AVERAGE(OFFSET($AM$3,0,0,'Données projet'!$E$10+1,1))-AVERAGE(OFFSET($H$3,0,0,'Données projet'!$E$10+1,1))</f>
        <v>272.66985936980086</v>
      </c>
      <c r="AO143" s="62">
        <f t="shared" si="144"/>
        <v>320.12040114313697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57.105956166365374</v>
      </c>
      <c r="AV143" s="23">
        <f>EXP(-LN(2)/25)*AV142+(1-EXP(-LN(2)/25))/(LN(2)/25)*Calculateur!AQ143*Calculateur!AS143*VLOOKUP('Données projet'!$B$10,Paramètres!$A$1:$I$88,3,0)*0.475*44/12</f>
        <v>10.485767435403652</v>
      </c>
      <c r="AW143" s="23">
        <f>EXP(-LN(2)/2)*AW142+(1-EXP(-LN(2)/2))/(LN(2)/2)*AQ143*AT143*VLOOKUP('Données projet'!$B$10,Paramètres!$A$1:$I$88,3,0)*0.475*44/12</f>
        <v>1.7019485417348105E-9</v>
      </c>
      <c r="AX143" s="23">
        <f t="shared" si="114"/>
        <v>67.591723603470967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-150</v>
      </c>
      <c r="BE143" s="14">
        <f>BD143*VLOOKUP('Données projet'!$B$11,Paramètres!$A$1:$I$88,3,0)*VLOOKUP('Données projet'!$B$11,Paramètres!$A$1:$I$88,5,0)</f>
        <v>-70.2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164.93326103756453</v>
      </c>
      <c r="BJ143" s="62">
        <f t="shared" si="146"/>
        <v>115.86489547584461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85.91495990137031</v>
      </c>
      <c r="BQ143" s="23">
        <f>EXP(-LN(2)/25)*BQ142+(1-EXP(-LN(2)/25))/(LN(2)/25)*Calculateur!BL143*Calculateur!BN143*VLOOKUP('Données projet'!$B$11,Paramètres!$A$1:$I$88,3,0)*0.475*44/12</f>
        <v>10.887087118811607</v>
      </c>
      <c r="BR143" s="23">
        <f>EXP(-LN(2)/2)*BR142+(1-EXP(-LN(2)/2))/(LN(2)/2)*BL143*BO143*VLOOKUP('Données projet'!$B$11,Paramètres!$A$1:$I$88,3,0)*0.475*44/12</f>
        <v>2.919354919721119E-5</v>
      </c>
      <c r="BS143" s="24">
        <f t="shared" si="117"/>
        <v>96.802076213731112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569.04461013977823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-3.4106051316484809E-13</v>
      </c>
      <c r="O144" s="14">
        <f>N144*VLOOKUP('Données projet'!$B$9,Paramètres!$A$1:$I$88,3,0)*VLOOKUP('Données projet'!$B$9,Paramètres!$A$1:$I$88,5,0)</f>
        <v>-1.9065282685915009E-13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461.42631729930201</v>
      </c>
      <c r="T144" s="62">
        <f t="shared" si="142"/>
        <v>570.46734160592086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64.269513598396671</v>
      </c>
      <c r="AA144" s="23">
        <f>EXP(-LN(2)/25)*AA143+(1-EXP(-LN(2)/25))/(LN(2)/25)*Calculateur!V144*Calculateur!X144*VLOOKUP('Données projet'!$B$9,Paramètres!$A$1:$I$88,3,0)*0.475*44/12</f>
        <v>9.5674745358196329</v>
      </c>
      <c r="AB144" s="23">
        <f>EXP(-LN(2)/2)*AB143+(1-EXP(-LN(2)/2))/(LN(2)/2)*V144*Y144*VLOOKUP('Données projet'!$B$9,Paramètres!$A$1:$I$88,3,0)*0.475*44/12</f>
        <v>1.6270809948783069E-10</v>
      </c>
      <c r="AC144" s="24">
        <f t="shared" si="111"/>
        <v>73.836988134379013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2.8421709430404007E-13</v>
      </c>
      <c r="AJ144" s="14">
        <f>AI144*VLOOKUP('Données projet'!$B$10,Paramètres!$A$1:$I$88,3,0)*VLOOKUP('Données projet'!$B$10,Paramètres!$A$1:$I$88,5,0)</f>
        <v>1.7735146684572101E-13</v>
      </c>
      <c r="AK144" s="14">
        <f t="shared" si="143"/>
        <v>2.4924271921531257E-12</v>
      </c>
      <c r="AL144" s="22">
        <f t="shared" si="112"/>
        <v>4.6498644977563242E-12</v>
      </c>
      <c r="AM144" s="62">
        <f t="shared" si="113"/>
        <v>293.33333333333798</v>
      </c>
      <c r="AN144" s="62">
        <f ca="1">AVERAGE(OFFSET($AM$3,0,0,'Données projet'!$E$10+1,1))-AVERAGE(OFFSET($H$3,0,0,'Données projet'!$E$10+1,1))</f>
        <v>272.66985936980086</v>
      </c>
      <c r="AO144" s="62">
        <f t="shared" si="144"/>
        <v>320.12040114313697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55.986143197136919</v>
      </c>
      <c r="AV144" s="23">
        <f>EXP(-LN(2)/25)*AV143+(1-EXP(-LN(2)/25))/(LN(2)/25)*Calculateur!AQ144*Calculateur!AS144*VLOOKUP('Données projet'!$B$10,Paramètres!$A$1:$I$88,3,0)*0.475*44/12</f>
        <v>10.199033573459996</v>
      </c>
      <c r="AW144" s="23">
        <f>EXP(-LN(2)/2)*AW143+(1-EXP(-LN(2)/2))/(LN(2)/2)*AQ144*AT144*VLOOKUP('Données projet'!$B$10,Paramètres!$A$1:$I$88,3,0)*0.475*44/12</f>
        <v>1.2034593550912403E-9</v>
      </c>
      <c r="AX144" s="23">
        <f t="shared" si="114"/>
        <v>66.185176771800371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-150</v>
      </c>
      <c r="BE144" s="14">
        <f>BD144*VLOOKUP('Données projet'!$B$11,Paramètres!$A$1:$I$88,3,0)*VLOOKUP('Données projet'!$B$11,Paramètres!$A$1:$I$88,5,0)</f>
        <v>-70.2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164.93326103756453</v>
      </c>
      <c r="BJ144" s="62">
        <f t="shared" si="146"/>
        <v>115.86489547584461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84.230219940655616</v>
      </c>
      <c r="BQ144" s="23">
        <f>EXP(-LN(2)/25)*BQ143+(1-EXP(-LN(2)/25))/(LN(2)/25)*Calculateur!BL144*Calculateur!BN144*VLOOKUP('Données projet'!$B$11,Paramètres!$A$1:$I$88,3,0)*0.475*44/12</f>
        <v>10.589379149020674</v>
      </c>
      <c r="BR144" s="23">
        <f>EXP(-LN(2)/2)*BR143+(1-EXP(-LN(2)/2))/(LN(2)/2)*BL144*BO144*VLOOKUP('Données projet'!$B$11,Paramètres!$A$1:$I$88,3,0)*0.475*44/12</f>
        <v>2.0642956604251124E-5</v>
      </c>
      <c r="BS144" s="24">
        <f t="shared" si="117"/>
        <v>94.819619732632887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570.95252037884222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-3.4106051316484809E-13</v>
      </c>
      <c r="O145" s="14">
        <f>N145*VLOOKUP('Données projet'!$B$9,Paramètres!$A$1:$I$88,3,0)*VLOOKUP('Données projet'!$B$9,Paramètres!$A$1:$I$88,5,0)</f>
        <v>-1.9065282685915009E-13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461.42631729930201</v>
      </c>
      <c r="T145" s="62">
        <f t="shared" si="142"/>
        <v>570.46734160592086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63.009227637264679</v>
      </c>
      <c r="AA145" s="23">
        <f>EXP(-LN(2)/25)*AA144+(1-EXP(-LN(2)/25))/(LN(2)/25)*Calculateur!V145*Calculateur!X145*VLOOKUP('Données projet'!$B$9,Paramètres!$A$1:$I$88,3,0)*0.475*44/12</f>
        <v>9.3058514415060252</v>
      </c>
      <c r="AB145" s="23">
        <f>EXP(-LN(2)/2)*AB144+(1-EXP(-LN(2)/2))/(LN(2)/2)*V145*Y145*VLOOKUP('Données projet'!$B$9,Paramètres!$A$1:$I$88,3,0)*0.475*44/12</f>
        <v>1.1505200050182052E-10</v>
      </c>
      <c r="AC145" s="24">
        <f t="shared" si="111"/>
        <v>72.315079078885759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2.8421709430404007E-13</v>
      </c>
      <c r="AJ145" s="14">
        <f>AI145*VLOOKUP('Données projet'!$B$10,Paramètres!$A$1:$I$88,3,0)*VLOOKUP('Données projet'!$B$10,Paramètres!$A$1:$I$88,5,0)</f>
        <v>1.7735146684572101E-13</v>
      </c>
      <c r="AK145" s="14">
        <f t="shared" si="143"/>
        <v>2.4924271921531257E-12</v>
      </c>
      <c r="AL145" s="22">
        <f t="shared" si="112"/>
        <v>4.6498644977563242E-12</v>
      </c>
      <c r="AM145" s="62">
        <f t="shared" si="113"/>
        <v>293.33333333333798</v>
      </c>
      <c r="AN145" s="62">
        <f ca="1">AVERAGE(OFFSET($AM$3,0,0,'Données projet'!$E$10+1,1))-AVERAGE(OFFSET($H$3,0,0,'Données projet'!$E$10+1,1))</f>
        <v>272.66985936980086</v>
      </c>
      <c r="AO145" s="62">
        <f t="shared" si="144"/>
        <v>320.12040114313697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54.888289077216562</v>
      </c>
      <c r="AV145" s="23">
        <f>EXP(-LN(2)/25)*AV144+(1-EXP(-LN(2)/25))/(LN(2)/25)*Calculateur!AQ145*Calculateur!AS145*VLOOKUP('Données projet'!$B$10,Paramètres!$A$1:$I$88,3,0)*0.475*44/12</f>
        <v>9.9201404640498669</v>
      </c>
      <c r="AW145" s="23">
        <f>EXP(-LN(2)/2)*AW144+(1-EXP(-LN(2)/2))/(LN(2)/2)*AQ145*AT145*VLOOKUP('Données projet'!$B$10,Paramètres!$A$1:$I$88,3,0)*0.475*44/12</f>
        <v>8.5097427086740527E-10</v>
      </c>
      <c r="AX145" s="23">
        <f t="shared" si="114"/>
        <v>64.808429542117409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-150</v>
      </c>
      <c r="BE145" s="14">
        <f>BD145*VLOOKUP('Données projet'!$B$11,Paramètres!$A$1:$I$88,3,0)*VLOOKUP('Données projet'!$B$11,Paramètres!$A$1:$I$88,5,0)</f>
        <v>-70.2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164.93326103756453</v>
      </c>
      <c r="BJ145" s="62">
        <f t="shared" si="146"/>
        <v>115.86489547584461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82.578516702980622</v>
      </c>
      <c r="BQ145" s="23">
        <f>EXP(-LN(2)/25)*BQ144+(1-EXP(-LN(2)/25))/(LN(2)/25)*Calculateur!BL145*Calculateur!BN145*VLOOKUP('Données projet'!$B$11,Paramètres!$A$1:$I$88,3,0)*0.475*44/12</f>
        <v>10.299812019319457</v>
      </c>
      <c r="BR145" s="23">
        <f>EXP(-LN(2)/2)*BR144+(1-EXP(-LN(2)/2))/(LN(2)/2)*BL145*BO145*VLOOKUP('Données projet'!$B$11,Paramètres!$A$1:$I$88,3,0)*0.475*44/12</f>
        <v>1.4596774598605596E-5</v>
      </c>
      <c r="BS145" s="24">
        <f t="shared" si="117"/>
        <v>92.878343319074688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572.8601362765794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-3.4106051316484809E-13</v>
      </c>
      <c r="O146" s="14">
        <f>N146*VLOOKUP('Données projet'!$B$9,Paramètres!$A$1:$I$88,3,0)*VLOOKUP('Données projet'!$B$9,Paramètres!$A$1:$I$88,5,0)</f>
        <v>-1.9065282685915009E-13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461.42631729930201</v>
      </c>
      <c r="T146" s="62">
        <f t="shared" si="142"/>
        <v>570.46734160592086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61.773655115131952</v>
      </c>
      <c r="AA146" s="23">
        <f>EXP(-LN(2)/25)*AA145+(1-EXP(-LN(2)/25))/(LN(2)/25)*Calculateur!V146*Calculateur!X146*VLOOKUP('Données projet'!$B$9,Paramètres!$A$1:$I$88,3,0)*0.475*44/12</f>
        <v>9.0513824444645845</v>
      </c>
      <c r="AB146" s="23">
        <f>EXP(-LN(2)/2)*AB145+(1-EXP(-LN(2)/2))/(LN(2)/2)*V146*Y146*VLOOKUP('Données projet'!$B$9,Paramètres!$A$1:$I$88,3,0)*0.475*44/12</f>
        <v>8.1354049743915359E-11</v>
      </c>
      <c r="AC146" s="24">
        <f t="shared" si="111"/>
        <v>70.825037559677895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2.8421709430404007E-13</v>
      </c>
      <c r="AJ146" s="14">
        <f>AI146*VLOOKUP('Données projet'!$B$10,Paramètres!$A$1:$I$88,3,0)*VLOOKUP('Données projet'!$B$10,Paramètres!$A$1:$I$88,5,0)</f>
        <v>1.7735146684572101E-13</v>
      </c>
      <c r="AK146" s="14">
        <f t="shared" si="143"/>
        <v>2.4924271921531257E-12</v>
      </c>
      <c r="AL146" s="22">
        <f t="shared" si="112"/>
        <v>4.6498644977563242E-12</v>
      </c>
      <c r="AM146" s="62">
        <f t="shared" si="113"/>
        <v>293.33333333333798</v>
      </c>
      <c r="AN146" s="62">
        <f ca="1">AVERAGE(OFFSET($AM$3,0,0,'Données projet'!$E$10+1,1))-AVERAGE(OFFSET($H$3,0,0,'Données projet'!$E$10+1,1))</f>
        <v>272.66985936980086</v>
      </c>
      <c r="AO146" s="62">
        <f t="shared" si="144"/>
        <v>320.12040114313697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53.81196320696295</v>
      </c>
      <c r="AV146" s="23">
        <f>EXP(-LN(2)/25)*AV145+(1-EXP(-LN(2)/25))/(LN(2)/25)*Calculateur!AQ146*Calculateur!AS146*VLOOKUP('Données projet'!$B$10,Paramètres!$A$1:$I$88,3,0)*0.475*44/12</f>
        <v>9.6488737013829091</v>
      </c>
      <c r="AW146" s="23">
        <f>EXP(-LN(2)/2)*AW145+(1-EXP(-LN(2)/2))/(LN(2)/2)*AQ146*AT146*VLOOKUP('Données projet'!$B$10,Paramètres!$A$1:$I$88,3,0)*0.475*44/12</f>
        <v>6.0172967754562016E-10</v>
      </c>
      <c r="AX146" s="23">
        <f t="shared" si="114"/>
        <v>63.460836908947591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-150</v>
      </c>
      <c r="BE146" s="14">
        <f>BD146*VLOOKUP('Données projet'!$B$11,Paramètres!$A$1:$I$88,3,0)*VLOOKUP('Données projet'!$B$11,Paramètres!$A$1:$I$88,5,0)</f>
        <v>-70.2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164.93326103756453</v>
      </c>
      <c r="BJ146" s="62">
        <f t="shared" si="146"/>
        <v>115.86489547584461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80.959202358356947</v>
      </c>
      <c r="BQ146" s="23">
        <f>EXP(-LN(2)/25)*BQ145+(1-EXP(-LN(2)/25))/(LN(2)/25)*Calculateur!BL146*Calculateur!BN146*VLOOKUP('Données projet'!$B$11,Paramètres!$A$1:$I$88,3,0)*0.475*44/12</f>
        <v>10.018163118007593</v>
      </c>
      <c r="BR146" s="23">
        <f>EXP(-LN(2)/2)*BR145+(1-EXP(-LN(2)/2))/(LN(2)/2)*BL146*BO146*VLOOKUP('Données projet'!$B$11,Paramètres!$A$1:$I$88,3,0)*0.475*44/12</f>
        <v>1.0321478302125564E-5</v>
      </c>
      <c r="BS146" s="24">
        <f t="shared" si="117"/>
        <v>90.977375797842839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574.76746013001298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-3.4106051316484809E-13</v>
      </c>
      <c r="O147" s="14">
        <f>N147*VLOOKUP('Données projet'!$B$9,Paramètres!$A$1:$I$88,3,0)*VLOOKUP('Données projet'!$B$9,Paramètres!$A$1:$I$88,5,0)</f>
        <v>-1.9065282685915009E-13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461.42631729930201</v>
      </c>
      <c r="T147" s="62">
        <f t="shared" si="142"/>
        <v>570.46734160592086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60.562311416533419</v>
      </c>
      <c r="AA147" s="23">
        <f>EXP(-LN(2)/25)*AA146+(1-EXP(-LN(2)/25))/(LN(2)/25)*Calculateur!V147*Calculateur!X147*VLOOKUP('Données projet'!$B$9,Paramètres!$A$1:$I$88,3,0)*0.475*44/12</f>
        <v>8.803871915529184</v>
      </c>
      <c r="AB147" s="23">
        <f>EXP(-LN(2)/2)*AB146+(1-EXP(-LN(2)/2))/(LN(2)/2)*V147*Y147*VLOOKUP('Données projet'!$B$9,Paramètres!$A$1:$I$88,3,0)*0.475*44/12</f>
        <v>5.7526000250910264E-11</v>
      </c>
      <c r="AC147" s="24">
        <f t="shared" si="111"/>
        <v>69.36618333212013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2.8421709430404007E-13</v>
      </c>
      <c r="AJ147" s="14">
        <f>AI147*VLOOKUP('Données projet'!$B$10,Paramètres!$A$1:$I$88,3,0)*VLOOKUP('Données projet'!$B$10,Paramètres!$A$1:$I$88,5,0)</f>
        <v>1.7735146684572101E-13</v>
      </c>
      <c r="AK147" s="14">
        <f t="shared" si="143"/>
        <v>2.4924271921531257E-12</v>
      </c>
      <c r="AL147" s="22">
        <f t="shared" si="112"/>
        <v>4.6498644977563242E-12</v>
      </c>
      <c r="AM147" s="62">
        <f t="shared" si="113"/>
        <v>293.33333333333798</v>
      </c>
      <c r="AN147" s="62">
        <f ca="1">AVERAGE(OFFSET($AM$3,0,0,'Données projet'!$E$10+1,1))-AVERAGE(OFFSET($H$3,0,0,'Données projet'!$E$10+1,1))</f>
        <v>272.66985936980086</v>
      </c>
      <c r="AO147" s="62">
        <f t="shared" si="144"/>
        <v>320.12040114313697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52.756743430531053</v>
      </c>
      <c r="AV147" s="23">
        <f>EXP(-LN(2)/25)*AV146+(1-EXP(-LN(2)/25))/(LN(2)/25)*Calculateur!AQ147*Calculateur!AS147*VLOOKUP('Données projet'!$B$10,Paramètres!$A$1:$I$88,3,0)*0.475*44/12</f>
        <v>9.3850247426063778</v>
      </c>
      <c r="AW147" s="23">
        <f>EXP(-LN(2)/2)*AW146+(1-EXP(-LN(2)/2))/(LN(2)/2)*AQ147*AT147*VLOOKUP('Données projet'!$B$10,Paramètres!$A$1:$I$88,3,0)*0.475*44/12</f>
        <v>4.2548713543370264E-10</v>
      </c>
      <c r="AX147" s="23">
        <f t="shared" si="114"/>
        <v>62.141768173562916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-150</v>
      </c>
      <c r="BE147" s="14">
        <f>BD147*VLOOKUP('Données projet'!$B$11,Paramètres!$A$1:$I$88,3,0)*VLOOKUP('Données projet'!$B$11,Paramètres!$A$1:$I$88,5,0)</f>
        <v>-70.2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164.93326103756453</v>
      </c>
      <c r="BJ147" s="62">
        <f t="shared" si="146"/>
        <v>115.86489547584461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79.371641780347119</v>
      </c>
      <c r="BQ147" s="23">
        <f>EXP(-LN(2)/25)*BQ146+(1-EXP(-LN(2)/25))/(LN(2)/25)*Calculateur!BL147*Calculateur!BN147*VLOOKUP('Données projet'!$B$11,Paramètres!$A$1:$I$88,3,0)*0.475*44/12</f>
        <v>9.7442159207133727</v>
      </c>
      <c r="BR147" s="23">
        <f>EXP(-LN(2)/2)*BR146+(1-EXP(-LN(2)/2))/(LN(2)/2)*BL147*BO147*VLOOKUP('Données projet'!$B$11,Paramètres!$A$1:$I$88,3,0)*0.475*44/12</f>
        <v>7.2983872993027999E-6</v>
      </c>
      <c r="BS147" s="24">
        <f t="shared" si="117"/>
        <v>89.115864999447794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576.6744942024194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-3.4106051316484809E-13</v>
      </c>
      <c r="O148" s="14">
        <f>N148*VLOOKUP('Données projet'!$B$9,Paramètres!$A$1:$I$88,3,0)*VLOOKUP('Données projet'!$B$9,Paramètres!$A$1:$I$88,5,0)</f>
        <v>-1.9065282685915009E-13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461.42631729930201</v>
      </c>
      <c r="T148" s="62">
        <f t="shared" si="142"/>
        <v>570.46734160592086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59.374721429017704</v>
      </c>
      <c r="AA148" s="23">
        <f>EXP(-LN(2)/25)*AA147+(1-EXP(-LN(2)/25))/(LN(2)/25)*Calculateur!V148*Calculateur!X148*VLOOKUP('Données projet'!$B$9,Paramètres!$A$1:$I$88,3,0)*0.475*44/12</f>
        <v>8.5631295750235363</v>
      </c>
      <c r="AB148" s="23">
        <f>EXP(-LN(2)/2)*AB147+(1-EXP(-LN(2)/2))/(LN(2)/2)*V148*Y148*VLOOKUP('Données projet'!$B$9,Paramètres!$A$1:$I$88,3,0)*0.475*44/12</f>
        <v>4.0677024871957686E-11</v>
      </c>
      <c r="AC148" s="24">
        <f t="shared" si="111"/>
        <v>67.937851004081907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2.8421709430404007E-13</v>
      </c>
      <c r="AJ148" s="14">
        <f>AI148*VLOOKUP('Données projet'!$B$10,Paramètres!$A$1:$I$88,3,0)*VLOOKUP('Données projet'!$B$10,Paramètres!$A$1:$I$88,5,0)</f>
        <v>1.7735146684572101E-13</v>
      </c>
      <c r="AK148" s="14">
        <f t="shared" si="143"/>
        <v>2.4924271921531257E-12</v>
      </c>
      <c r="AL148" s="22">
        <f t="shared" si="112"/>
        <v>4.6498644977563242E-12</v>
      </c>
      <c r="AM148" s="62">
        <f t="shared" si="113"/>
        <v>293.33333333333798</v>
      </c>
      <c r="AN148" s="62">
        <f ca="1">AVERAGE(OFFSET($AM$3,0,0,'Données projet'!$E$10+1,1))-AVERAGE(OFFSET($H$3,0,0,'Données projet'!$E$10+1,1))</f>
        <v>272.66985936980086</v>
      </c>
      <c r="AO148" s="62">
        <f t="shared" si="144"/>
        <v>320.12040114313697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51.722215870294477</v>
      </c>
      <c r="AV148" s="23">
        <f>EXP(-LN(2)/25)*AV147+(1-EXP(-LN(2)/25))/(LN(2)/25)*Calculateur!AQ148*Calculateur!AS148*VLOOKUP('Données projet'!$B$10,Paramètres!$A$1:$I$88,3,0)*0.475*44/12</f>
        <v>9.1283907474828041</v>
      </c>
      <c r="AW148" s="23">
        <f>EXP(-LN(2)/2)*AW147+(1-EXP(-LN(2)/2))/(LN(2)/2)*AQ148*AT148*VLOOKUP('Données projet'!$B$10,Paramètres!$A$1:$I$88,3,0)*0.475*44/12</f>
        <v>3.0086483877281008E-10</v>
      </c>
      <c r="AX148" s="23">
        <f t="shared" si="114"/>
        <v>60.850606618078146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-150</v>
      </c>
      <c r="BE148" s="14">
        <f>BD148*VLOOKUP('Données projet'!$B$11,Paramètres!$A$1:$I$88,3,0)*VLOOKUP('Données projet'!$B$11,Paramètres!$A$1:$I$88,5,0)</f>
        <v>-70.2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164.93326103756453</v>
      </c>
      <c r="BJ148" s="62">
        <f t="shared" si="146"/>
        <v>115.86489547584461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77.815212296955721</v>
      </c>
      <c r="BQ148" s="23">
        <f>EXP(-LN(2)/25)*BQ147+(1-EXP(-LN(2)/25))/(LN(2)/25)*Calculateur!BL148*Calculateur!BN148*VLOOKUP('Données projet'!$B$11,Paramètres!$A$1:$I$88,3,0)*0.475*44/12</f>
        <v>9.4777598239354202</v>
      </c>
      <c r="BR148" s="23">
        <f>EXP(-LN(2)/2)*BR147+(1-EXP(-LN(2)/2))/(LN(2)/2)*BL148*BO148*VLOOKUP('Données projet'!$B$11,Paramètres!$A$1:$I$88,3,0)*0.475*44/12</f>
        <v>5.1607391510627827E-6</v>
      </c>
      <c r="BS148" s="24">
        <f t="shared" si="117"/>
        <v>87.292977281630286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578.58124072405269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-3.4106051316484809E-13</v>
      </c>
      <c r="O149" s="14">
        <f>N149*VLOOKUP('Données projet'!$B$9,Paramètres!$A$1:$I$88,3,0)*VLOOKUP('Données projet'!$B$9,Paramètres!$A$1:$I$88,5,0)</f>
        <v>-1.9065282685915009E-13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461.42631729930201</v>
      </c>
      <c r="T149" s="62">
        <f t="shared" si="142"/>
        <v>570.46734160592086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58.210419356798802</v>
      </c>
      <c r="AA149" s="23">
        <f>EXP(-LN(2)/25)*AA148+(1-EXP(-LN(2)/25))/(LN(2)/25)*Calculateur!V149*Calculateur!X149*VLOOKUP('Données projet'!$B$9,Paramètres!$A$1:$I$88,3,0)*0.475*44/12</f>
        <v>8.3289703464791049</v>
      </c>
      <c r="AB149" s="23">
        <f>EXP(-LN(2)/2)*AB148+(1-EXP(-LN(2)/2))/(LN(2)/2)*V149*Y149*VLOOKUP('Données projet'!$B$9,Paramètres!$A$1:$I$88,3,0)*0.475*44/12</f>
        <v>2.8763000125455135E-11</v>
      </c>
      <c r="AC149" s="24">
        <f t="shared" si="111"/>
        <v>66.539389703306668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2.8421709430404007E-13</v>
      </c>
      <c r="AJ149" s="14">
        <f>AI149*VLOOKUP('Données projet'!$B$10,Paramètres!$A$1:$I$88,3,0)*VLOOKUP('Données projet'!$B$10,Paramètres!$A$1:$I$88,5,0)</f>
        <v>1.7735146684572101E-13</v>
      </c>
      <c r="AK149" s="14">
        <f t="shared" si="143"/>
        <v>2.4924271921531257E-12</v>
      </c>
      <c r="AL149" s="22">
        <f t="shared" si="112"/>
        <v>4.6498644977563242E-12</v>
      </c>
      <c r="AM149" s="62">
        <f t="shared" si="113"/>
        <v>293.33333333333798</v>
      </c>
      <c r="AN149" s="62">
        <f ca="1">AVERAGE(OFFSET($AM$3,0,0,'Données projet'!$E$10+1,1))-AVERAGE(OFFSET($H$3,0,0,'Données projet'!$E$10+1,1))</f>
        <v>272.66985936980086</v>
      </c>
      <c r="AO149" s="62">
        <f t="shared" si="144"/>
        <v>320.12040114313697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50.707974764514631</v>
      </c>
      <c r="AV149" s="23">
        <f>EXP(-LN(2)/25)*AV148+(1-EXP(-LN(2)/25))/(LN(2)/25)*Calculateur!AQ149*Calculateur!AS149*VLOOKUP('Données projet'!$B$10,Paramètres!$A$1:$I$88,3,0)*0.475*44/12</f>
        <v>8.8787744224516807</v>
      </c>
      <c r="AW149" s="23">
        <f>EXP(-LN(2)/2)*AW148+(1-EXP(-LN(2)/2))/(LN(2)/2)*AQ149*AT149*VLOOKUP('Données projet'!$B$10,Paramètres!$A$1:$I$88,3,0)*0.475*44/12</f>
        <v>2.1274356771685132E-10</v>
      </c>
      <c r="AX149" s="23">
        <f t="shared" si="114"/>
        <v>59.586749187179059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-150</v>
      </c>
      <c r="BE149" s="14">
        <f>BD149*VLOOKUP('Données projet'!$B$11,Paramètres!$A$1:$I$88,3,0)*VLOOKUP('Données projet'!$B$11,Paramètres!$A$1:$I$88,5,0)</f>
        <v>-70.2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164.93326103756453</v>
      </c>
      <c r="BJ149" s="62">
        <f t="shared" si="146"/>
        <v>115.86489547584461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76.289303446405384</v>
      </c>
      <c r="BQ149" s="23">
        <f>EXP(-LN(2)/25)*BQ148+(1-EXP(-LN(2)/25))/(LN(2)/25)*Calculateur!BL149*Calculateur!BN149*VLOOKUP('Données projet'!$B$11,Paramètres!$A$1:$I$88,3,0)*0.475*44/12</f>
        <v>9.2185899831361784</v>
      </c>
      <c r="BR149" s="23">
        <f>EXP(-LN(2)/2)*BR148+(1-EXP(-LN(2)/2))/(LN(2)/2)*BL149*BO149*VLOOKUP('Données projet'!$B$11,Paramètres!$A$1:$I$88,3,0)*0.475*44/12</f>
        <v>3.6491936496514004E-6</v>
      </c>
      <c r="BS149" s="24">
        <f t="shared" si="117"/>
        <v>85.507897078735212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580.48770189284971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-3.4106051316484809E-13</v>
      </c>
      <c r="O150" s="14">
        <f>N150*VLOOKUP('Données projet'!$B$9,Paramètres!$A$1:$I$88,3,0)*VLOOKUP('Données projet'!$B$9,Paramètres!$A$1:$I$88,5,0)</f>
        <v>-1.9065282685915009E-13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461.42631729930201</v>
      </c>
      <c r="T150" s="62">
        <f t="shared" si="142"/>
        <v>570.46734160592086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57.068948538061974</v>
      </c>
      <c r="AA150" s="23">
        <f>EXP(-LN(2)/25)*AA149+(1-EXP(-LN(2)/25))/(LN(2)/25)*Calculateur!V150*Calculateur!X150*VLOOKUP('Données projet'!$B$9,Paramètres!$A$1:$I$88,3,0)*0.475*44/12</f>
        <v>8.1012142143531189</v>
      </c>
      <c r="AB150" s="23">
        <f>EXP(-LN(2)/2)*AB149+(1-EXP(-LN(2)/2))/(LN(2)/2)*V150*Y150*VLOOKUP('Données projet'!$B$9,Paramètres!$A$1:$I$88,3,0)*0.475*44/12</f>
        <v>2.0338512435978846E-11</v>
      </c>
      <c r="AC150" s="24">
        <f t="shared" si="111"/>
        <v>65.170162752435431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2.8421709430404007E-13</v>
      </c>
      <c r="AJ150" s="14">
        <f>AI150*VLOOKUP('Données projet'!$B$10,Paramètres!$A$1:$I$88,3,0)*VLOOKUP('Données projet'!$B$10,Paramètres!$A$1:$I$88,5,0)</f>
        <v>1.7735146684572101E-13</v>
      </c>
      <c r="AK150" s="14">
        <f t="shared" si="143"/>
        <v>2.4924271921531257E-12</v>
      </c>
      <c r="AL150" s="22">
        <f t="shared" si="112"/>
        <v>4.6498644977563242E-12</v>
      </c>
      <c r="AM150" s="62">
        <f t="shared" si="113"/>
        <v>293.33333333333798</v>
      </c>
      <c r="AN150" s="62">
        <f ca="1">AVERAGE(OFFSET($AM$3,0,0,'Données projet'!$E$10+1,1))-AVERAGE(OFFSET($H$3,0,0,'Données projet'!$E$10+1,1))</f>
        <v>272.66985936980086</v>
      </c>
      <c r="AO150" s="62">
        <f t="shared" si="144"/>
        <v>320.12040114313697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49.713622308193138</v>
      </c>
      <c r="AV150" s="23">
        <f>EXP(-LN(2)/25)*AV149+(1-EXP(-LN(2)/25))/(LN(2)/25)*Calculateur!AQ150*Calculateur!AS150*VLOOKUP('Données projet'!$B$10,Paramètres!$A$1:$I$88,3,0)*0.475*44/12</f>
        <v>8.6359838689552859</v>
      </c>
      <c r="AW150" s="23">
        <f>EXP(-LN(2)/2)*AW149+(1-EXP(-LN(2)/2))/(LN(2)/2)*AQ150*AT150*VLOOKUP('Données projet'!$B$10,Paramètres!$A$1:$I$88,3,0)*0.475*44/12</f>
        <v>1.5043241938640504E-10</v>
      </c>
      <c r="AX150" s="23">
        <f t="shared" si="114"/>
        <v>58.349606177298853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-150</v>
      </c>
      <c r="BE150" s="14">
        <f>BD150*VLOOKUP('Données projet'!$B$11,Paramètres!$A$1:$I$88,3,0)*VLOOKUP('Données projet'!$B$11,Paramètres!$A$1:$I$88,5,0)</f>
        <v>-70.2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164.93326103756453</v>
      </c>
      <c r="BJ150" s="62">
        <f t="shared" si="146"/>
        <v>115.86489547584461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74.793316737701829</v>
      </c>
      <c r="BQ150" s="23">
        <f>EXP(-LN(2)/25)*BQ149+(1-EXP(-LN(2)/25))/(LN(2)/25)*Calculateur!BL150*Calculateur!BN150*VLOOKUP('Données projet'!$B$11,Paramètres!$A$1:$I$88,3,0)*0.475*44/12</f>
        <v>8.9665071552627413</v>
      </c>
      <c r="BR150" s="23">
        <f>EXP(-LN(2)/2)*BR149+(1-EXP(-LN(2)/2))/(LN(2)/2)*BL150*BO150*VLOOKUP('Données projet'!$B$11,Paramètres!$A$1:$I$88,3,0)*0.475*44/12</f>
        <v>2.5803695755313918E-6</v>
      </c>
      <c r="BS150" s="24">
        <f t="shared" si="117"/>
        <v>83.759826473334158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582.39387987511509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-3.4106051316484809E-13</v>
      </c>
      <c r="O151" s="14">
        <f>N151*VLOOKUP('Données projet'!$B$9,Paramètres!$A$1:$I$88,3,0)*VLOOKUP('Données projet'!$B$9,Paramètres!$A$1:$I$88,5,0)</f>
        <v>-1.9065282685915009E-13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461.42631729930201</v>
      </c>
      <c r="T151" s="62">
        <f t="shared" si="142"/>
        <v>570.46734160592086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55.949861265852121</v>
      </c>
      <c r="AA151" s="23">
        <f>EXP(-LN(2)/25)*AA150+(1-EXP(-LN(2)/25))/(LN(2)/25)*Calculateur!V151*Calculateur!X151*VLOOKUP('Données projet'!$B$9,Paramètres!$A$1:$I$88,3,0)*0.475*44/12</f>
        <v>7.8796860856372932</v>
      </c>
      <c r="AB151" s="23">
        <f>EXP(-LN(2)/2)*AB150+(1-EXP(-LN(2)/2))/(LN(2)/2)*V151*Y151*VLOOKUP('Données projet'!$B$9,Paramètres!$A$1:$I$88,3,0)*0.475*44/12</f>
        <v>1.4381500062727571E-11</v>
      </c>
      <c r="AC151" s="24">
        <f t="shared" si="111"/>
        <v>63.829547351503798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2.8421709430404007E-13</v>
      </c>
      <c r="AJ151" s="14">
        <f>AI151*VLOOKUP('Données projet'!$B$10,Paramètres!$A$1:$I$88,3,0)*VLOOKUP('Données projet'!$B$10,Paramètres!$A$1:$I$88,5,0)</f>
        <v>1.7735146684572101E-13</v>
      </c>
      <c r="AK151" s="14">
        <f t="shared" si="143"/>
        <v>2.4924271921531257E-12</v>
      </c>
      <c r="AL151" s="22">
        <f t="shared" si="112"/>
        <v>4.6498644977563242E-12</v>
      </c>
      <c r="AM151" s="62">
        <f t="shared" si="113"/>
        <v>293.33333333333798</v>
      </c>
      <c r="AN151" s="62">
        <f ca="1">AVERAGE(OFFSET($AM$3,0,0,'Données projet'!$E$10+1,1))-AVERAGE(OFFSET($H$3,0,0,'Données projet'!$E$10+1,1))</f>
        <v>272.66985936980086</v>
      </c>
      <c r="AO151" s="62">
        <f t="shared" si="144"/>
        <v>320.12040114313697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48.738768497045001</v>
      </c>
      <c r="AV151" s="23">
        <f>EXP(-LN(2)/25)*AV150+(1-EXP(-LN(2)/25))/(LN(2)/25)*Calculateur!AQ151*Calculateur!AS151*VLOOKUP('Données projet'!$B$10,Paramètres!$A$1:$I$88,3,0)*0.475*44/12</f>
        <v>8.3998324359120495</v>
      </c>
      <c r="AW151" s="23">
        <f>EXP(-LN(2)/2)*AW150+(1-EXP(-LN(2)/2))/(LN(2)/2)*AQ151*AT151*VLOOKUP('Données projet'!$B$10,Paramètres!$A$1:$I$88,3,0)*0.475*44/12</f>
        <v>1.0637178385842566E-10</v>
      </c>
      <c r="AX151" s="23">
        <f t="shared" si="114"/>
        <v>57.138600933063415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-150</v>
      </c>
      <c r="BE151" s="14">
        <f>BD151*VLOOKUP('Données projet'!$B$11,Paramètres!$A$1:$I$88,3,0)*VLOOKUP('Données projet'!$B$11,Paramètres!$A$1:$I$88,5,0)</f>
        <v>-70.2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164.93326103756453</v>
      </c>
      <c r="BJ151" s="62">
        <f t="shared" si="146"/>
        <v>115.86489547584461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73.326665415894169</v>
      </c>
      <c r="BQ151" s="23">
        <f>EXP(-LN(2)/25)*BQ150+(1-EXP(-LN(2)/25))/(LN(2)/25)*Calculateur!BL151*Calculateur!BN151*VLOOKUP('Données projet'!$B$11,Paramètres!$A$1:$I$88,3,0)*0.475*44/12</f>
        <v>8.7213175455739638</v>
      </c>
      <c r="BR151" s="23">
        <f>EXP(-LN(2)/2)*BR150+(1-EXP(-LN(2)/2))/(LN(2)/2)*BL151*BO151*VLOOKUP('Données projet'!$B$11,Paramètres!$A$1:$I$88,3,0)*0.475*44/12</f>
        <v>1.8245968248257004E-6</v>
      </c>
      <c r="BS151" s="24">
        <f t="shared" si="117"/>
        <v>82.047984786064958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584.29977680618606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-3.4106051316484809E-13</v>
      </c>
      <c r="O152" s="14">
        <f>N152*VLOOKUP('Données projet'!$B$9,Paramètres!$A$1:$I$88,3,0)*VLOOKUP('Données projet'!$B$9,Paramètres!$A$1:$I$88,5,0)</f>
        <v>-1.9065282685915009E-13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461.42631729930201</v>
      </c>
      <c r="T152" s="62">
        <f t="shared" si="142"/>
        <v>570.46734160592086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54.852718612474469</v>
      </c>
      <c r="AA152" s="23">
        <f>EXP(-LN(2)/25)*AA151+(1-EXP(-LN(2)/25))/(LN(2)/25)*Calculateur!V152*Calculateur!X152*VLOOKUP('Données projet'!$B$9,Paramètres!$A$1:$I$88,3,0)*0.475*44/12</f>
        <v>7.6642156552508593</v>
      </c>
      <c r="AB152" s="23">
        <f>EXP(-LN(2)/2)*AB151+(1-EXP(-LN(2)/2))/(LN(2)/2)*V152*Y152*VLOOKUP('Données projet'!$B$9,Paramètres!$A$1:$I$88,3,0)*0.475*44/12</f>
        <v>1.0169256217989425E-11</v>
      </c>
      <c r="AC152" s="24">
        <f t="shared" si="111"/>
        <v>62.516934267735493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2.8421709430404007E-13</v>
      </c>
      <c r="AJ152" s="14">
        <f>AI152*VLOOKUP('Données projet'!$B$10,Paramètres!$A$1:$I$88,3,0)*VLOOKUP('Données projet'!$B$10,Paramètres!$A$1:$I$88,5,0)</f>
        <v>1.7735146684572101E-13</v>
      </c>
      <c r="AK152" s="14">
        <f t="shared" si="143"/>
        <v>2.4924271921531257E-12</v>
      </c>
      <c r="AL152" s="22">
        <f t="shared" si="112"/>
        <v>4.6498644977563242E-12</v>
      </c>
      <c r="AM152" s="62">
        <f t="shared" si="113"/>
        <v>293.33333333333798</v>
      </c>
      <c r="AN152" s="62">
        <f ca="1">AVERAGE(OFFSET($AM$3,0,0,'Données projet'!$E$10+1,1))-AVERAGE(OFFSET($H$3,0,0,'Données projet'!$E$10+1,1))</f>
        <v>272.66985936980086</v>
      </c>
      <c r="AO152" s="62">
        <f t="shared" si="144"/>
        <v>320.12040114313697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47.783030974531364</v>
      </c>
      <c r="AV152" s="23">
        <f>EXP(-LN(2)/25)*AV151+(1-EXP(-LN(2)/25))/(LN(2)/25)*Calculateur!AQ152*Calculateur!AS152*VLOOKUP('Données projet'!$B$10,Paramètres!$A$1:$I$88,3,0)*0.475*44/12</f>
        <v>8.1701385762240442</v>
      </c>
      <c r="AW152" s="23">
        <f>EXP(-LN(2)/2)*AW151+(1-EXP(-LN(2)/2))/(LN(2)/2)*AQ152*AT152*VLOOKUP('Données projet'!$B$10,Paramètres!$A$1:$I$88,3,0)*0.475*44/12</f>
        <v>7.521620969320252E-11</v>
      </c>
      <c r="AX152" s="23">
        <f t="shared" si="114"/>
        <v>55.953169550830623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-150</v>
      </c>
      <c r="BE152" s="14">
        <f>BD152*VLOOKUP('Données projet'!$B$11,Paramètres!$A$1:$I$88,3,0)*VLOOKUP('Données projet'!$B$11,Paramètres!$A$1:$I$88,5,0)</f>
        <v>-70.2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164.93326103756453</v>
      </c>
      <c r="BJ152" s="62">
        <f t="shared" si="146"/>
        <v>115.86489547584461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71.888774231938172</v>
      </c>
      <c r="BQ152" s="23">
        <f>EXP(-LN(2)/25)*BQ151+(1-EXP(-LN(2)/25))/(LN(2)/25)*Calculateur!BL152*Calculateur!BN152*VLOOKUP('Données projet'!$B$11,Paramètres!$A$1:$I$88,3,0)*0.475*44/12</f>
        <v>8.4828326586560863</v>
      </c>
      <c r="BR152" s="23">
        <f>EXP(-LN(2)/2)*BR151+(1-EXP(-LN(2)/2))/(LN(2)/2)*BL152*BO152*VLOOKUP('Données projet'!$B$11,Paramètres!$A$1:$I$88,3,0)*0.475*44/12</f>
        <v>1.2901847877656961E-6</v>
      </c>
      <c r="BS152" s="24">
        <f t="shared" si="117"/>
        <v>80.371608180779035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586.20539479108152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-3.4106051316484809E-13</v>
      </c>
      <c r="O153" s="14">
        <f>N153*VLOOKUP('Données projet'!$B$9,Paramètres!$A$1:$I$88,3,0)*VLOOKUP('Données projet'!$B$9,Paramètres!$A$1:$I$88,5,0)</f>
        <v>-1.9065282685915009E-13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461.42631729930201</v>
      </c>
      <c r="T153" s="62">
        <f t="shared" si="142"/>
        <v>570.46734160592086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53.777090257338607</v>
      </c>
      <c r="AA153" s="23">
        <f>EXP(-LN(2)/25)*AA152+(1-EXP(-LN(2)/25))/(LN(2)/25)*Calculateur!V153*Calculateur!X153*VLOOKUP('Données projet'!$B$9,Paramètres!$A$1:$I$88,3,0)*0.475*44/12</f>
        <v>7.4546372751144405</v>
      </c>
      <c r="AB153" s="23">
        <f>EXP(-LN(2)/2)*AB152+(1-EXP(-LN(2)/2))/(LN(2)/2)*V153*Y153*VLOOKUP('Données projet'!$B$9,Paramètres!$A$1:$I$88,3,0)*0.475*44/12</f>
        <v>7.1907500313637863E-12</v>
      </c>
      <c r="AC153" s="24">
        <f t="shared" si="111"/>
        <v>61.231727532460241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2.8421709430404007E-13</v>
      </c>
      <c r="AJ153" s="14">
        <f>AI153*VLOOKUP('Données projet'!$B$10,Paramètres!$A$1:$I$88,3,0)*VLOOKUP('Données projet'!$B$10,Paramètres!$A$1:$I$88,5,0)</f>
        <v>1.7735146684572101E-13</v>
      </c>
      <c r="AK153" s="14">
        <f t="shared" si="143"/>
        <v>2.4924271921531257E-12</v>
      </c>
      <c r="AL153" s="22">
        <f t="shared" si="112"/>
        <v>4.6498644977563242E-12</v>
      </c>
      <c r="AM153" s="62">
        <f t="shared" si="113"/>
        <v>293.33333333333798</v>
      </c>
      <c r="AN153" s="62">
        <f ca="1">AVERAGE(OFFSET($AM$3,0,0,'Données projet'!$E$10+1,1))-AVERAGE(OFFSET($H$3,0,0,'Données projet'!$E$10+1,1))</f>
        <v>272.66985936980086</v>
      </c>
      <c r="AO153" s="62">
        <f t="shared" si="144"/>
        <v>320.12040114313697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46.846034881891889</v>
      </c>
      <c r="AV153" s="23">
        <f>EXP(-LN(2)/25)*AV152+(1-EXP(-LN(2)/25))/(LN(2)/25)*Calculateur!AQ153*Calculateur!AS153*VLOOKUP('Données projet'!$B$10,Paramètres!$A$1:$I$88,3,0)*0.475*44/12</f>
        <v>7.9467257072082829</v>
      </c>
      <c r="AW153" s="23">
        <f>EXP(-LN(2)/2)*AW152+(1-EXP(-LN(2)/2))/(LN(2)/2)*AQ153*AT153*VLOOKUP('Données projet'!$B$10,Paramètres!$A$1:$I$88,3,0)*0.475*44/12</f>
        <v>5.318589192921283E-11</v>
      </c>
      <c r="AX153" s="23">
        <f t="shared" si="114"/>
        <v>54.792760589153353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-150</v>
      </c>
      <c r="BE153" s="14">
        <f>BD153*VLOOKUP('Données projet'!$B$11,Paramètres!$A$1:$I$88,3,0)*VLOOKUP('Données projet'!$B$11,Paramètres!$A$1:$I$88,5,0)</f>
        <v>-70.2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164.93326103756453</v>
      </c>
      <c r="BJ153" s="62">
        <f t="shared" si="146"/>
        <v>115.86489547584461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70.479079217072538</v>
      </c>
      <c r="BQ153" s="23">
        <f>EXP(-LN(2)/25)*BQ152+(1-EXP(-LN(2)/25))/(LN(2)/25)*Calculateur!BL153*Calculateur!BN153*VLOOKUP('Données projet'!$B$11,Paramètres!$A$1:$I$88,3,0)*0.475*44/12</f>
        <v>8.2508691535123546</v>
      </c>
      <c r="BR153" s="23">
        <f>EXP(-LN(2)/2)*BR152+(1-EXP(-LN(2)/2))/(LN(2)/2)*BL153*BO153*VLOOKUP('Données projet'!$B$11,Paramètres!$A$1:$I$88,3,0)*0.475*44/12</f>
        <v>9.1229841241285042E-7</v>
      </c>
      <c r="BS153" s="24">
        <f t="shared" si="117"/>
        <v>78.729949282883311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588.11073590513013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projet'!$B$9,Paramètres!$A$1:$I$88,3,0)*VLOOKUP('Données projet'!$B$9,Paramètres!$A$1:$I$88,5,0)</f>
        <v>-1.9065282685915009E-13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461.42631729930201</v>
      </c>
      <c r="T154" s="62">
        <f t="shared" si="142"/>
        <v>570.46734160592086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52.722554318178446</v>
      </c>
      <c r="AA154" s="23">
        <f>EXP(-LN(2)/25)*AA153+(1-EXP(-LN(2)/25))/(LN(2)/25)*Calculateur!V154*Calculateur!X154*VLOOKUP('Données projet'!$B$9,Paramètres!$A$1:$I$88,3,0)*0.475*44/12</f>
        <v>7.2507898268041</v>
      </c>
      <c r="AB154" s="23">
        <f>EXP(-LN(2)/2)*AB153+(1-EXP(-LN(2)/2))/(LN(2)/2)*V154*Y154*VLOOKUP('Données projet'!$B$9,Paramètres!$A$1:$I$88,3,0)*0.475*44/12</f>
        <v>5.0846281089947131E-12</v>
      </c>
      <c r="AC154" s="24">
        <f t="shared" ref="AC154:AC203" si="163">SUM(Z154:AB154)</f>
        <v>59.973344144987635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2.8421709430404007E-13</v>
      </c>
      <c r="AJ154" s="14">
        <f>AI154*VLOOKUP('Données projet'!$B$10,Paramètres!$A$1:$I$88,3,0)*VLOOKUP('Données projet'!$B$10,Paramètres!$A$1:$I$88,5,0)</f>
        <v>1.7735146684572101E-13</v>
      </c>
      <c r="AK154" s="14">
        <f t="shared" ref="AK154:AK203" si="164">EXP(-1.0587+0.8836*LN(AJ154)+0.284)</f>
        <v>2.4924271921531257E-12</v>
      </c>
      <c r="AL154" s="22">
        <f t="shared" ref="AL154:AL203" si="165">(AJ154+AK154)*0.475*44/12</f>
        <v>4.6498644977563242E-12</v>
      </c>
      <c r="AM154" s="62">
        <f t="shared" si="113"/>
        <v>293.33333333333798</v>
      </c>
      <c r="AN154" s="62">
        <f ca="1">AVERAGE(OFFSET($AM$3,0,0,'Données projet'!$E$10+1,1))-AVERAGE(OFFSET($H$3,0,0,'Données projet'!$E$10+1,1))</f>
        <v>272.66985936980086</v>
      </c>
      <c r="AO154" s="62">
        <f t="shared" si="144"/>
        <v>320.12040114313697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45.927412711117888</v>
      </c>
      <c r="AV154" s="23">
        <f>EXP(-LN(2)/25)*AV153+(1-EXP(-LN(2)/25))/(LN(2)/25)*Calculateur!AQ154*Calculateur!AS154*VLOOKUP('Données projet'!$B$10,Paramètres!$A$1:$I$88,3,0)*0.475*44/12</f>
        <v>7.7294220748445301</v>
      </c>
      <c r="AW154" s="23">
        <f>EXP(-LN(2)/2)*AW153+(1-EXP(-LN(2)/2))/(LN(2)/2)*AQ154*AT154*VLOOKUP('Données projet'!$B$10,Paramètres!$A$1:$I$88,3,0)*0.475*44/12</f>
        <v>3.760810484660126E-11</v>
      </c>
      <c r="AX154" s="23">
        <f t="shared" ref="AX154:AX203" si="166">SUM(AU154:AW154)</f>
        <v>53.656834786000026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-150</v>
      </c>
      <c r="BE154" s="14">
        <f>BD154*VLOOKUP('Données projet'!$B$11,Paramètres!$A$1:$I$88,3,0)*VLOOKUP('Données projet'!$B$11,Paramètres!$A$1:$I$88,5,0)</f>
        <v>-70.2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164.93326103756453</v>
      </c>
      <c r="BJ154" s="62">
        <f t="shared" si="146"/>
        <v>115.86489547584461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69.097027461619362</v>
      </c>
      <c r="BQ154" s="23">
        <f>EXP(-LN(2)/25)*BQ153+(1-EXP(-LN(2)/25))/(LN(2)/25)*Calculateur!BL154*Calculateur!BN154*VLOOKUP('Données projet'!$B$11,Paramètres!$A$1:$I$88,3,0)*0.475*44/12</f>
        <v>8.0252487026152082</v>
      </c>
      <c r="BR154" s="23">
        <f>EXP(-LN(2)/2)*BR153+(1-EXP(-LN(2)/2))/(LN(2)/2)*BL154*BO154*VLOOKUP('Données projet'!$B$11,Paramètres!$A$1:$I$88,3,0)*0.475*44/12</f>
        <v>6.4509239388284816E-7</v>
      </c>
      <c r="BS154" s="24">
        <f t="shared" ref="BS154:BS203" si="169">SUM(BP154:BR154)</f>
        <v>77.122276809326962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590.0158021945839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projet'!$B$9,Paramètres!$A$1:$I$88,3,0)*VLOOKUP('Données projet'!$B$9,Paramètres!$A$1:$I$88,5,0)</f>
        <v>-1.9065282685915009E-13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461.42631729930201</v>
      </c>
      <c r="T155" s="62">
        <f t="shared" si="142"/>
        <v>570.46734160592086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51.688697185581802</v>
      </c>
      <c r="AA155" s="23">
        <f>EXP(-LN(2)/25)*AA154+(1-EXP(-LN(2)/25))/(LN(2)/25)*Calculateur!V155*Calculateur!X155*VLOOKUP('Données projet'!$B$9,Paramètres!$A$1:$I$88,3,0)*0.475*44/12</f>
        <v>7.0525165976876769</v>
      </c>
      <c r="AB155" s="23">
        <f>EXP(-LN(2)/2)*AB154+(1-EXP(-LN(2)/2))/(LN(2)/2)*V155*Y155*VLOOKUP('Données projet'!$B$9,Paramètres!$A$1:$I$88,3,0)*0.475*44/12</f>
        <v>3.5953750156818939E-12</v>
      </c>
      <c r="AC155" s="24">
        <f t="shared" si="163"/>
        <v>58.741213783273075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2.8421709430404007E-13</v>
      </c>
      <c r="AJ155" s="14">
        <f>AI155*VLOOKUP('Données projet'!$B$10,Paramètres!$A$1:$I$88,3,0)*VLOOKUP('Données projet'!$B$10,Paramètres!$A$1:$I$88,5,0)</f>
        <v>1.7735146684572101E-13</v>
      </c>
      <c r="AK155" s="14">
        <f t="shared" si="164"/>
        <v>2.4924271921531257E-12</v>
      </c>
      <c r="AL155" s="22">
        <f t="shared" si="165"/>
        <v>4.6498644977563242E-12</v>
      </c>
      <c r="AM155" s="62">
        <f t="shared" si="113"/>
        <v>293.33333333333798</v>
      </c>
      <c r="AN155" s="62">
        <f ca="1">AVERAGE(OFFSET($AM$3,0,0,'Données projet'!$E$10+1,1))-AVERAGE(OFFSET($H$3,0,0,'Données projet'!$E$10+1,1))</f>
        <v>272.66985936980086</v>
      </c>
      <c r="AO155" s="62">
        <f t="shared" si="144"/>
        <v>320.12040114313697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45.026804160808574</v>
      </c>
      <c r="AV155" s="23">
        <f>EXP(-LN(2)/25)*AV154+(1-EXP(-LN(2)/25))/(LN(2)/25)*Calculateur!AQ155*Calculateur!AS155*VLOOKUP('Données projet'!$B$10,Paramètres!$A$1:$I$88,3,0)*0.475*44/12</f>
        <v>7.5180606217352652</v>
      </c>
      <c r="AW155" s="23">
        <f>EXP(-LN(2)/2)*AW154+(1-EXP(-LN(2)/2))/(LN(2)/2)*AQ155*AT155*VLOOKUP('Données projet'!$B$10,Paramètres!$A$1:$I$88,3,0)*0.475*44/12</f>
        <v>2.6592945964606415E-11</v>
      </c>
      <c r="AX155" s="23">
        <f t="shared" si="166"/>
        <v>52.544864782570436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-150</v>
      </c>
      <c r="BE155" s="14">
        <f>BD155*VLOOKUP('Données projet'!$B$11,Paramètres!$A$1:$I$88,3,0)*VLOOKUP('Données projet'!$B$11,Paramètres!$A$1:$I$88,5,0)</f>
        <v>-70.2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164.93326103756453</v>
      </c>
      <c r="BJ155" s="62">
        <f t="shared" si="146"/>
        <v>115.86489547584461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67.742076898122278</v>
      </c>
      <c r="BQ155" s="23">
        <f>EXP(-LN(2)/25)*BQ154+(1-EXP(-LN(2)/25))/(LN(2)/25)*Calculateur!BL155*Calculateur!BN155*VLOOKUP('Données projet'!$B$11,Paramètres!$A$1:$I$88,3,0)*0.475*44/12</f>
        <v>7.8057978548127078</v>
      </c>
      <c r="BR155" s="23">
        <f>EXP(-LN(2)/2)*BR154+(1-EXP(-LN(2)/2))/(LN(2)/2)*BL155*BO155*VLOOKUP('Données projet'!$B$11,Paramètres!$A$1:$I$88,3,0)*0.475*44/12</f>
        <v>4.5614920620642526E-7</v>
      </c>
      <c r="BS155" s="24">
        <f t="shared" si="169"/>
        <v>75.547875209084197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591.92059567721367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projet'!$B$9,Paramètres!$A$1:$I$88,3,0)*VLOOKUP('Données projet'!$B$9,Paramètres!$A$1:$I$88,5,0)</f>
        <v>-1.9065282685915009E-13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461.42631729930201</v>
      </c>
      <c r="T156" s="62">
        <f t="shared" si="142"/>
        <v>570.46734160592086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50.675113360764797</v>
      </c>
      <c r="AA156" s="23">
        <f>EXP(-LN(2)/25)*AA155+(1-EXP(-LN(2)/25))/(LN(2)/25)*Calculateur!V156*Calculateur!X156*VLOOKUP('Données projet'!$B$9,Paramètres!$A$1:$I$88,3,0)*0.475*44/12</f>
        <v>6.859665160448178</v>
      </c>
      <c r="AB156" s="23">
        <f>EXP(-LN(2)/2)*AB155+(1-EXP(-LN(2)/2))/(LN(2)/2)*V156*Y156*VLOOKUP('Données projet'!$B$9,Paramètres!$A$1:$I$88,3,0)*0.475*44/12</f>
        <v>2.542314054497357E-12</v>
      </c>
      <c r="AC156" s="24">
        <f t="shared" si="163"/>
        <v>57.534778521215522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2.8421709430404007E-13</v>
      </c>
      <c r="AJ156" s="14">
        <f>AI156*VLOOKUP('Données projet'!$B$10,Paramètres!$A$1:$I$88,3,0)*VLOOKUP('Données projet'!$B$10,Paramètres!$A$1:$I$88,5,0)</f>
        <v>1.7735146684572101E-13</v>
      </c>
      <c r="AK156" s="14">
        <f t="shared" si="164"/>
        <v>2.4924271921531257E-12</v>
      </c>
      <c r="AL156" s="22">
        <f t="shared" si="165"/>
        <v>4.6498644977563242E-12</v>
      </c>
      <c r="AM156" s="62">
        <f t="shared" si="113"/>
        <v>293.33333333333798</v>
      </c>
      <c r="AN156" s="62">
        <f ca="1">AVERAGE(OFFSET($AM$3,0,0,'Données projet'!$E$10+1,1))-AVERAGE(OFFSET($H$3,0,0,'Données projet'!$E$10+1,1))</f>
        <v>272.66985936980086</v>
      </c>
      <c r="AO156" s="62">
        <f t="shared" si="144"/>
        <v>320.12040114313697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44.143855994853844</v>
      </c>
      <c r="AV156" s="23">
        <f>EXP(-LN(2)/25)*AV155+(1-EXP(-LN(2)/25))/(LN(2)/25)*Calculateur!AQ156*Calculateur!AS156*VLOOKUP('Données projet'!$B$10,Paramètres!$A$1:$I$88,3,0)*0.475*44/12</f>
        <v>7.3124788586762888</v>
      </c>
      <c r="AW156" s="23">
        <f>EXP(-LN(2)/2)*AW155+(1-EXP(-LN(2)/2))/(LN(2)/2)*AQ156*AT156*VLOOKUP('Données projet'!$B$10,Paramètres!$A$1:$I$88,3,0)*0.475*44/12</f>
        <v>1.880405242330063E-11</v>
      </c>
      <c r="AX156" s="23">
        <f t="shared" si="166"/>
        <v>51.456334853548931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-150</v>
      </c>
      <c r="BE156" s="14">
        <f>BD156*VLOOKUP('Données projet'!$B$11,Paramètres!$A$1:$I$88,3,0)*VLOOKUP('Données projet'!$B$11,Paramètres!$A$1:$I$88,5,0)</f>
        <v>-70.2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164.93326103756453</v>
      </c>
      <c r="BJ156" s="62">
        <f t="shared" si="146"/>
        <v>115.86489547584461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66.41369608873714</v>
      </c>
      <c r="BQ156" s="23">
        <f>EXP(-LN(2)/25)*BQ155+(1-EXP(-LN(2)/25))/(LN(2)/25)*Calculateur!BL156*Calculateur!BN156*VLOOKUP('Données projet'!$B$11,Paramètres!$A$1:$I$88,3,0)*0.475*44/12</f>
        <v>7.5923479019837856</v>
      </c>
      <c r="BR156" s="23">
        <f>EXP(-LN(2)/2)*BR155+(1-EXP(-LN(2)/2))/(LN(2)/2)*BL156*BO156*VLOOKUP('Données projet'!$B$11,Paramètres!$A$1:$I$88,3,0)*0.475*44/12</f>
        <v>3.2254619694142413E-7</v>
      </c>
      <c r="BS156" s="24">
        <f t="shared" si="169"/>
        <v>74.006044313267125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593.82511834288903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projet'!$B$9,Paramètres!$A$1:$I$88,3,0)*VLOOKUP('Données projet'!$B$9,Paramètres!$A$1:$I$88,5,0)</f>
        <v>-1.9065282685915009E-13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461.42631729930201</v>
      </c>
      <c r="T157" s="62">
        <f t="shared" si="142"/>
        <v>570.46734160592086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49.681405296527359</v>
      </c>
      <c r="AA157" s="23">
        <f>EXP(-LN(2)/25)*AA156+(1-EXP(-LN(2)/25))/(LN(2)/25)*Calculateur!V157*Calculateur!X157*VLOOKUP('Données projet'!$B$9,Paramètres!$A$1:$I$88,3,0)*0.475*44/12</f>
        <v>6.6720872559016096</v>
      </c>
      <c r="AB157" s="23">
        <f>EXP(-LN(2)/2)*AB156+(1-EXP(-LN(2)/2))/(LN(2)/2)*V157*Y157*VLOOKUP('Données projet'!$B$9,Paramètres!$A$1:$I$88,3,0)*0.475*44/12</f>
        <v>1.7976875078409472E-12</v>
      </c>
      <c r="AC157" s="24">
        <f t="shared" si="163"/>
        <v>56.353492552430765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2.8421709430404007E-13</v>
      </c>
      <c r="AJ157" s="14">
        <f>AI157*VLOOKUP('Données projet'!$B$10,Paramètres!$A$1:$I$88,3,0)*VLOOKUP('Données projet'!$B$10,Paramètres!$A$1:$I$88,5,0)</f>
        <v>1.7735146684572101E-13</v>
      </c>
      <c r="AK157" s="14">
        <f t="shared" si="164"/>
        <v>2.4924271921531257E-12</v>
      </c>
      <c r="AL157" s="22">
        <f t="shared" si="165"/>
        <v>4.6498644977563242E-12</v>
      </c>
      <c r="AM157" s="62">
        <f t="shared" si="113"/>
        <v>293.33333333333798</v>
      </c>
      <c r="AN157" s="62">
        <f ca="1">AVERAGE(OFFSET($AM$3,0,0,'Données projet'!$E$10+1,1))-AVERAGE(OFFSET($H$3,0,0,'Données projet'!$E$10+1,1))</f>
        <v>272.66985936980086</v>
      </c>
      <c r="AO157" s="62">
        <f t="shared" si="144"/>
        <v>320.12040114313697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43.278221903888287</v>
      </c>
      <c r="AV157" s="23">
        <f>EXP(-LN(2)/25)*AV156+(1-EXP(-LN(2)/25))/(LN(2)/25)*Calculateur!AQ157*Calculateur!AS157*VLOOKUP('Données projet'!$B$10,Paramètres!$A$1:$I$88,3,0)*0.475*44/12</f>
        <v>7.1125187397392358</v>
      </c>
      <c r="AW157" s="23">
        <f>EXP(-LN(2)/2)*AW156+(1-EXP(-LN(2)/2))/(LN(2)/2)*AQ157*AT157*VLOOKUP('Données projet'!$B$10,Paramètres!$A$1:$I$88,3,0)*0.475*44/12</f>
        <v>1.3296472982303207E-11</v>
      </c>
      <c r="AX157" s="23">
        <f t="shared" si="166"/>
        <v>50.390740643640818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-150</v>
      </c>
      <c r="BE157" s="14">
        <f>BD157*VLOOKUP('Données projet'!$B$11,Paramètres!$A$1:$I$88,3,0)*VLOOKUP('Données projet'!$B$11,Paramètres!$A$1:$I$88,5,0)</f>
        <v>-70.2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164.93326103756453</v>
      </c>
      <c r="BJ157" s="62">
        <f t="shared" si="146"/>
        <v>115.86489547584461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65.111364016791754</v>
      </c>
      <c r="BQ157" s="23">
        <f>EXP(-LN(2)/25)*BQ156+(1-EXP(-LN(2)/25))/(LN(2)/25)*Calculateur!BL157*Calculateur!BN157*VLOOKUP('Données projet'!$B$11,Paramètres!$A$1:$I$88,3,0)*0.475*44/12</f>
        <v>7.384734749339815</v>
      </c>
      <c r="BR157" s="23">
        <f>EXP(-LN(2)/2)*BR156+(1-EXP(-LN(2)/2))/(LN(2)/2)*BL157*BO157*VLOOKUP('Données projet'!$B$11,Paramètres!$A$1:$I$88,3,0)*0.475*44/12</f>
        <v>2.2807460310321268E-7</v>
      </c>
      <c r="BS157" s="24">
        <f t="shared" si="169"/>
        <v>72.496098994206164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595.72937215414299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projet'!$B$9,Paramètres!$A$1:$I$88,3,0)*VLOOKUP('Données projet'!$B$9,Paramètres!$A$1:$I$88,5,0)</f>
        <v>-1.9065282685915009E-13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461.42631729930201</v>
      </c>
      <c r="T158" s="62">
        <f t="shared" si="142"/>
        <v>570.46734160592086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48.707183241327549</v>
      </c>
      <c r="AA158" s="23">
        <f>EXP(-LN(2)/25)*AA157+(1-EXP(-LN(2)/25))/(LN(2)/25)*Calculateur!V158*Calculateur!X158*VLOOKUP('Données projet'!$B$9,Paramètres!$A$1:$I$88,3,0)*0.475*44/12</f>
        <v>6.4896386790191603</v>
      </c>
      <c r="AB158" s="23">
        <f>EXP(-LN(2)/2)*AB157+(1-EXP(-LN(2)/2))/(LN(2)/2)*V158*Y158*VLOOKUP('Données projet'!$B$9,Paramètres!$A$1:$I$88,3,0)*0.475*44/12</f>
        <v>1.2711570272486787E-12</v>
      </c>
      <c r="AC158" s="24">
        <f t="shared" si="163"/>
        <v>55.196821920347979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2.8421709430404007E-13</v>
      </c>
      <c r="AJ158" s="14">
        <f>AI158*VLOOKUP('Données projet'!$B$10,Paramètres!$A$1:$I$88,3,0)*VLOOKUP('Données projet'!$B$10,Paramètres!$A$1:$I$88,5,0)</f>
        <v>1.7735146684572101E-13</v>
      </c>
      <c r="AK158" s="14">
        <f t="shared" si="164"/>
        <v>2.4924271921531257E-12</v>
      </c>
      <c r="AL158" s="22">
        <f t="shared" si="165"/>
        <v>4.6498644977563242E-12</v>
      </c>
      <c r="AM158" s="62">
        <f t="shared" si="113"/>
        <v>293.33333333333798</v>
      </c>
      <c r="AN158" s="62">
        <f ca="1">AVERAGE(OFFSET($AM$3,0,0,'Données projet'!$E$10+1,1))-AVERAGE(OFFSET($H$3,0,0,'Données projet'!$E$10+1,1))</f>
        <v>272.66985936980086</v>
      </c>
      <c r="AO158" s="62">
        <f t="shared" si="144"/>
        <v>320.12040114313697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42.429562369461898</v>
      </c>
      <c r="AV158" s="23">
        <f>EXP(-LN(2)/25)*AV157+(1-EXP(-LN(2)/25))/(LN(2)/25)*Calculateur!AQ158*Calculateur!AS158*VLOOKUP('Données projet'!$B$10,Paramètres!$A$1:$I$88,3,0)*0.475*44/12</f>
        <v>6.9180265407699615</v>
      </c>
      <c r="AW158" s="23">
        <f>EXP(-LN(2)/2)*AW157+(1-EXP(-LN(2)/2))/(LN(2)/2)*AQ158*AT158*VLOOKUP('Données projet'!$B$10,Paramètres!$A$1:$I$88,3,0)*0.475*44/12</f>
        <v>9.402026211650315E-12</v>
      </c>
      <c r="AX158" s="23">
        <f t="shared" si="166"/>
        <v>49.347588910241264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-150</v>
      </c>
      <c r="BE158" s="14">
        <f>BD158*VLOOKUP('Données projet'!$B$11,Paramètres!$A$1:$I$88,3,0)*VLOOKUP('Données projet'!$B$11,Paramètres!$A$1:$I$88,5,0)</f>
        <v>-70.2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164.93326103756453</v>
      </c>
      <c r="BJ158" s="62">
        <f t="shared" si="146"/>
        <v>115.86489547584461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63.834569882433087</v>
      </c>
      <c r="BQ158" s="23">
        <f>EXP(-LN(2)/25)*BQ157+(1-EXP(-LN(2)/25))/(LN(2)/25)*Calculateur!BL158*Calculateur!BN158*VLOOKUP('Données projet'!$B$11,Paramètres!$A$1:$I$88,3,0)*0.475*44/12</f>
        <v>7.1827987892727956</v>
      </c>
      <c r="BR158" s="23">
        <f>EXP(-LN(2)/2)*BR157+(1-EXP(-LN(2)/2))/(LN(2)/2)*BL158*BO158*VLOOKUP('Données projet'!$B$11,Paramètres!$A$1:$I$88,3,0)*0.475*44/12</f>
        <v>1.6127309847071209E-7</v>
      </c>
      <c r="BS158" s="24">
        <f t="shared" si="169"/>
        <v>71.017368832978974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597.63335904672135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projet'!$B$9,Paramètres!$A$1:$I$88,3,0)*VLOOKUP('Données projet'!$B$9,Paramètres!$A$1:$I$88,5,0)</f>
        <v>-1.9065282685915009E-13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461.42631729930201</v>
      </c>
      <c r="T159" s="62">
        <f t="shared" si="142"/>
        <v>570.46734160592086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47.752065086413424</v>
      </c>
      <c r="AA159" s="23">
        <f>EXP(-LN(2)/25)*AA158+(1-EXP(-LN(2)/25))/(LN(2)/25)*Calculateur!V159*Calculateur!X159*VLOOKUP('Données projet'!$B$9,Paramètres!$A$1:$I$88,3,0)*0.475*44/12</f>
        <v>6.3121791680661152</v>
      </c>
      <c r="AB159" s="23">
        <f>EXP(-LN(2)/2)*AB158+(1-EXP(-LN(2)/2))/(LN(2)/2)*V159*Y159*VLOOKUP('Données projet'!$B$9,Paramètres!$A$1:$I$88,3,0)*0.475*44/12</f>
        <v>8.9884375392047369E-13</v>
      </c>
      <c r="AC159" s="24">
        <f t="shared" si="163"/>
        <v>54.064244254480442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2.8421709430404007E-13</v>
      </c>
      <c r="AJ159" s="14">
        <f>AI159*VLOOKUP('Données projet'!$B$10,Paramètres!$A$1:$I$88,3,0)*VLOOKUP('Données projet'!$B$10,Paramètres!$A$1:$I$88,5,0)</f>
        <v>1.7735146684572101E-13</v>
      </c>
      <c r="AK159" s="14">
        <f t="shared" si="164"/>
        <v>2.4924271921531257E-12</v>
      </c>
      <c r="AL159" s="22">
        <f t="shared" si="165"/>
        <v>4.6498644977563242E-12</v>
      </c>
      <c r="AM159" s="62">
        <f t="shared" si="113"/>
        <v>293.33333333333798</v>
      </c>
      <c r="AN159" s="62">
        <f ca="1">AVERAGE(OFFSET($AM$3,0,0,'Données projet'!$E$10+1,1))-AVERAGE(OFFSET($H$3,0,0,'Données projet'!$E$10+1,1))</f>
        <v>272.66985936980086</v>
      </c>
      <c r="AO159" s="62">
        <f t="shared" si="144"/>
        <v>320.12040114313697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41.597544530874409</v>
      </c>
      <c r="AV159" s="23">
        <f>EXP(-LN(2)/25)*AV158+(1-EXP(-LN(2)/25))/(LN(2)/25)*Calculateur!AQ159*Calculateur!AS159*VLOOKUP('Données projet'!$B$10,Paramètres!$A$1:$I$88,3,0)*0.475*44/12</f>
        <v>6.7288527412094021</v>
      </c>
      <c r="AW159" s="23">
        <f>EXP(-LN(2)/2)*AW158+(1-EXP(-LN(2)/2))/(LN(2)/2)*AQ159*AT159*VLOOKUP('Données projet'!$B$10,Paramètres!$A$1:$I$88,3,0)*0.475*44/12</f>
        <v>6.6482364911516037E-12</v>
      </c>
      <c r="AX159" s="23">
        <f t="shared" si="166"/>
        <v>48.32639727209046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-150</v>
      </c>
      <c r="BE159" s="14">
        <f>BD159*VLOOKUP('Données projet'!$B$11,Paramètres!$A$1:$I$88,3,0)*VLOOKUP('Données projet'!$B$11,Paramètres!$A$1:$I$88,5,0)</f>
        <v>-70.2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164.93326103756453</v>
      </c>
      <c r="BJ159" s="62">
        <f t="shared" si="146"/>
        <v>115.86489547584461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62.582812902281667</v>
      </c>
      <c r="BQ159" s="23">
        <f>EXP(-LN(2)/25)*BQ158+(1-EXP(-LN(2)/25))/(LN(2)/25)*Calculateur!BL159*Calculateur!BN159*VLOOKUP('Données projet'!$B$11,Paramètres!$A$1:$I$88,3,0)*0.475*44/12</f>
        <v>6.986384778653159</v>
      </c>
      <c r="BR159" s="23">
        <f>EXP(-LN(2)/2)*BR158+(1-EXP(-LN(2)/2))/(LN(2)/2)*BL159*BO159*VLOOKUP('Données projet'!$B$11,Paramètres!$A$1:$I$88,3,0)*0.475*44/12</f>
        <v>1.1403730155160635E-7</v>
      </c>
      <c r="BS159" s="24">
        <f t="shared" si="169"/>
        <v>69.569197794972126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599.53708093011733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projet'!$B$9,Paramètres!$A$1:$I$88,3,0)*VLOOKUP('Données projet'!$B$9,Paramètres!$A$1:$I$88,5,0)</f>
        <v>-1.9065282685915009E-13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461.42631729930201</v>
      </c>
      <c r="T160" s="62">
        <f t="shared" si="142"/>
        <v>570.46734160592086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46.815676215952614</v>
      </c>
      <c r="AA160" s="23">
        <f>EXP(-LN(2)/25)*AA159+(1-EXP(-LN(2)/25))/(LN(2)/25)*Calculateur!V160*Calculateur!X160*VLOOKUP('Données projet'!$B$9,Paramètres!$A$1:$I$88,3,0)*0.475*44/12</f>
        <v>6.1395722967722719</v>
      </c>
      <c r="AB160" s="23">
        <f>EXP(-LN(2)/2)*AB159+(1-EXP(-LN(2)/2))/(LN(2)/2)*V160*Y160*VLOOKUP('Données projet'!$B$9,Paramètres!$A$1:$I$88,3,0)*0.475*44/12</f>
        <v>6.3557851362433945E-13</v>
      </c>
      <c r="AC160" s="24">
        <f t="shared" si="163"/>
        <v>52.955248512725518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2.8421709430404007E-13</v>
      </c>
      <c r="AJ160" s="14">
        <f>AI160*VLOOKUP('Données projet'!$B$10,Paramètres!$A$1:$I$88,3,0)*VLOOKUP('Données projet'!$B$10,Paramètres!$A$1:$I$88,5,0)</f>
        <v>1.7735146684572101E-13</v>
      </c>
      <c r="AK160" s="14">
        <f t="shared" si="164"/>
        <v>2.4924271921531257E-12</v>
      </c>
      <c r="AL160" s="22">
        <f t="shared" si="165"/>
        <v>4.6498644977563242E-12</v>
      </c>
      <c r="AM160" s="62">
        <f t="shared" si="113"/>
        <v>293.33333333333798</v>
      </c>
      <c r="AN160" s="62">
        <f ca="1">AVERAGE(OFFSET($AM$3,0,0,'Données projet'!$E$10+1,1))-AVERAGE(OFFSET($H$3,0,0,'Données projet'!$E$10+1,1))</f>
        <v>272.66985936980086</v>
      </c>
      <c r="AO160" s="62">
        <f t="shared" si="144"/>
        <v>320.12040114313697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40.781842054620846</v>
      </c>
      <c r="AV160" s="23">
        <f>EXP(-LN(2)/25)*AV159+(1-EXP(-LN(2)/25))/(LN(2)/25)*Calculateur!AQ160*Calculateur!AS160*VLOOKUP('Données projet'!$B$10,Paramètres!$A$1:$I$88,3,0)*0.475*44/12</f>
        <v>6.5448519091460442</v>
      </c>
      <c r="AW160" s="23">
        <f>EXP(-LN(2)/2)*AW159+(1-EXP(-LN(2)/2))/(LN(2)/2)*AQ160*AT160*VLOOKUP('Données projet'!$B$10,Paramètres!$A$1:$I$88,3,0)*0.475*44/12</f>
        <v>4.7010131058251575E-12</v>
      </c>
      <c r="AX160" s="23">
        <f t="shared" si="166"/>
        <v>47.326693963771596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-150</v>
      </c>
      <c r="BE160" s="14">
        <f>BD160*VLOOKUP('Données projet'!$B$11,Paramètres!$A$1:$I$88,3,0)*VLOOKUP('Données projet'!$B$11,Paramètres!$A$1:$I$88,5,0)</f>
        <v>-70.2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164.93326103756453</v>
      </c>
      <c r="BJ160" s="62">
        <f t="shared" si="146"/>
        <v>115.86489547584461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61.355602113014648</v>
      </c>
      <c r="BQ160" s="23">
        <f>EXP(-LN(2)/25)*BQ159+(1-EXP(-LN(2)/25))/(LN(2)/25)*Calculateur!BL160*Calculateur!BN160*VLOOKUP('Données projet'!$B$11,Paramètres!$A$1:$I$88,3,0)*0.475*44/12</f>
        <v>6.79534171948288</v>
      </c>
      <c r="BR160" s="23">
        <f>EXP(-LN(2)/2)*BR159+(1-EXP(-LN(2)/2))/(LN(2)/2)*BL160*BO160*VLOOKUP('Données projet'!$B$11,Paramètres!$A$1:$I$88,3,0)*0.475*44/12</f>
        <v>8.063654923535606E-8</v>
      </c>
      <c r="BS160" s="24">
        <f t="shared" si="169"/>
        <v>68.150943913134086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601.44053968809271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projet'!$B$9,Paramètres!$A$1:$I$88,3,0)*VLOOKUP('Données projet'!$B$9,Paramètres!$A$1:$I$88,5,0)</f>
        <v>-1.9065282685915009E-13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461.42631729930201</v>
      </c>
      <c r="T161" s="62">
        <f t="shared" si="142"/>
        <v>570.46734160592086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45.897649360100729</v>
      </c>
      <c r="AA161" s="23">
        <f>EXP(-LN(2)/25)*AA160+(1-EXP(-LN(2)/25))/(LN(2)/25)*Calculateur!V161*Calculateur!X161*VLOOKUP('Données projet'!$B$9,Paramètres!$A$1:$I$88,3,0)*0.475*44/12</f>
        <v>5.9716853694509595</v>
      </c>
      <c r="AB161" s="23">
        <f>EXP(-LN(2)/2)*AB160+(1-EXP(-LN(2)/2))/(LN(2)/2)*V161*Y161*VLOOKUP('Données projet'!$B$9,Paramètres!$A$1:$I$88,3,0)*0.475*44/12</f>
        <v>4.4942187696023694E-13</v>
      </c>
      <c r="AC161" s="24">
        <f t="shared" si="163"/>
        <v>51.869334729552136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2.8421709430404007E-13</v>
      </c>
      <c r="AJ161" s="14">
        <f>AI161*VLOOKUP('Données projet'!$B$10,Paramètres!$A$1:$I$88,3,0)*VLOOKUP('Données projet'!$B$10,Paramètres!$A$1:$I$88,5,0)</f>
        <v>1.7735146684572101E-13</v>
      </c>
      <c r="AK161" s="14">
        <f t="shared" si="164"/>
        <v>2.4924271921531257E-12</v>
      </c>
      <c r="AL161" s="22">
        <f t="shared" si="165"/>
        <v>4.6498644977563242E-12</v>
      </c>
      <c r="AM161" s="62">
        <f t="shared" si="113"/>
        <v>293.33333333333798</v>
      </c>
      <c r="AN161" s="62">
        <f ca="1">AVERAGE(OFFSET($AM$3,0,0,'Données projet'!$E$10+1,1))-AVERAGE(OFFSET($H$3,0,0,'Données projet'!$E$10+1,1))</f>
        <v>272.66985936980086</v>
      </c>
      <c r="AO161" s="62">
        <f t="shared" si="144"/>
        <v>320.12040114313697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39.982135006397236</v>
      </c>
      <c r="AV161" s="23">
        <f>EXP(-LN(2)/25)*AV160+(1-EXP(-LN(2)/25))/(LN(2)/25)*Calculateur!AQ161*Calculateur!AS161*VLOOKUP('Données projet'!$B$10,Paramètres!$A$1:$I$88,3,0)*0.475*44/12</f>
        <v>6.3658825895116422</v>
      </c>
      <c r="AW161" s="23">
        <f>EXP(-LN(2)/2)*AW160+(1-EXP(-LN(2)/2))/(LN(2)/2)*AQ161*AT161*VLOOKUP('Données projet'!$B$10,Paramètres!$A$1:$I$88,3,0)*0.475*44/12</f>
        <v>3.3241182455758019E-12</v>
      </c>
      <c r="AX161" s="23">
        <f t="shared" si="166"/>
        <v>46.348017595912204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-150</v>
      </c>
      <c r="BE161" s="14">
        <f>BD161*VLOOKUP('Données projet'!$B$11,Paramètres!$A$1:$I$88,3,0)*VLOOKUP('Données projet'!$B$11,Paramètres!$A$1:$I$88,5,0)</f>
        <v>-70.2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164.93326103756453</v>
      </c>
      <c r="BJ161" s="62">
        <f t="shared" si="146"/>
        <v>115.86489547584461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60.152456178800485</v>
      </c>
      <c r="BQ161" s="23">
        <f>EXP(-LN(2)/25)*BQ160+(1-EXP(-LN(2)/25))/(LN(2)/25)*Calculateur!BL161*Calculateur!BN161*VLOOKUP('Données projet'!$B$11,Paramètres!$A$1:$I$88,3,0)*0.475*44/12</f>
        <v>6.609522742812131</v>
      </c>
      <c r="BR161" s="23">
        <f>EXP(-LN(2)/2)*BR160+(1-EXP(-LN(2)/2))/(LN(2)/2)*BL161*BO161*VLOOKUP('Données projet'!$B$11,Paramètres!$A$1:$I$88,3,0)*0.475*44/12</f>
        <v>5.7018650775803184E-8</v>
      </c>
      <c r="BS161" s="24">
        <f t="shared" si="169"/>
        <v>66.761978978631262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603.34373717918538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projet'!$B$9,Paramètres!$A$1:$I$88,3,0)*VLOOKUP('Données projet'!$B$9,Paramètres!$A$1:$I$88,5,0)</f>
        <v>-1.9065282685915009E-13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461.42631729930201</v>
      </c>
      <c r="T162" s="62">
        <f t="shared" si="142"/>
        <v>570.46734160592086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44.997624450951008</v>
      </c>
      <c r="AA162" s="23">
        <f>EXP(-LN(2)/25)*AA161+(1-EXP(-LN(2)/25))/(LN(2)/25)*Calculateur!V162*Calculateur!X162*VLOOKUP('Données projet'!$B$9,Paramètres!$A$1:$I$88,3,0)*0.475*44/12</f>
        <v>5.8083893189860376</v>
      </c>
      <c r="AB162" s="23">
        <f>EXP(-LN(2)/2)*AB161+(1-EXP(-LN(2)/2))/(LN(2)/2)*V162*Y162*VLOOKUP('Données projet'!$B$9,Paramètres!$A$1:$I$88,3,0)*0.475*44/12</f>
        <v>3.1778925681216977E-13</v>
      </c>
      <c r="AC162" s="24">
        <f t="shared" si="163"/>
        <v>50.806013769937366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2.8421709430404007E-13</v>
      </c>
      <c r="AJ162" s="14">
        <f>AI162*VLOOKUP('Données projet'!$B$10,Paramètres!$A$1:$I$88,3,0)*VLOOKUP('Données projet'!$B$10,Paramètres!$A$1:$I$88,5,0)</f>
        <v>1.7735146684572101E-13</v>
      </c>
      <c r="AK162" s="14">
        <f t="shared" si="164"/>
        <v>2.4924271921531257E-12</v>
      </c>
      <c r="AL162" s="22">
        <f t="shared" si="165"/>
        <v>4.6498644977563242E-12</v>
      </c>
      <c r="AM162" s="62">
        <f t="shared" si="113"/>
        <v>293.33333333333798</v>
      </c>
      <c r="AN162" s="62">
        <f ca="1">AVERAGE(OFFSET($AM$3,0,0,'Données projet'!$E$10+1,1))-AVERAGE(OFFSET($H$3,0,0,'Données projet'!$E$10+1,1))</f>
        <v>272.66985936980086</v>
      </c>
      <c r="AO162" s="62">
        <f t="shared" si="144"/>
        <v>320.12040114313697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39.198109725616156</v>
      </c>
      <c r="AV162" s="23">
        <f>EXP(-LN(2)/25)*AV161+(1-EXP(-LN(2)/25))/(LN(2)/25)*Calculateur!AQ162*Calculateur!AS162*VLOOKUP('Données projet'!$B$10,Paramètres!$A$1:$I$88,3,0)*0.475*44/12</f>
        <v>6.1918071953342304</v>
      </c>
      <c r="AW162" s="23">
        <f>EXP(-LN(2)/2)*AW161+(1-EXP(-LN(2)/2))/(LN(2)/2)*AQ162*AT162*VLOOKUP('Données projet'!$B$10,Paramètres!$A$1:$I$88,3,0)*0.475*44/12</f>
        <v>2.3505065529125787E-12</v>
      </c>
      <c r="AX162" s="23">
        <f t="shared" si="166"/>
        <v>45.389916920952736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-150</v>
      </c>
      <c r="BE162" s="14">
        <f>BD162*VLOOKUP('Données projet'!$B$11,Paramètres!$A$1:$I$88,3,0)*VLOOKUP('Données projet'!$B$11,Paramètres!$A$1:$I$88,5,0)</f>
        <v>-70.2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164.93326103756453</v>
      </c>
      <c r="BJ162" s="62">
        <f t="shared" si="146"/>
        <v>115.86489547584461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58.972903202509698</v>
      </c>
      <c r="BQ162" s="23">
        <f>EXP(-LN(2)/25)*BQ161+(1-EXP(-LN(2)/25))/(LN(2)/25)*Calculateur!BL162*Calculateur!BN162*VLOOKUP('Données projet'!$B$11,Paramètres!$A$1:$I$88,3,0)*0.475*44/12</f>
        <v>6.4287849958302381</v>
      </c>
      <c r="BR162" s="23">
        <f>EXP(-LN(2)/2)*BR161+(1-EXP(-LN(2)/2))/(LN(2)/2)*BL162*BO162*VLOOKUP('Données projet'!$B$11,Paramètres!$A$1:$I$88,3,0)*0.475*44/12</f>
        <v>4.031827461767803E-8</v>
      </c>
      <c r="BS162" s="24">
        <f t="shared" si="169"/>
        <v>65.40168823865821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605.24667523720336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projet'!$B$9,Paramètres!$A$1:$I$88,3,0)*VLOOKUP('Données projet'!$B$9,Paramètres!$A$1:$I$88,5,0)</f>
        <v>-1.9065282685915009E-13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461.42631729930201</v>
      </c>
      <c r="T163" s="62">
        <f t="shared" si="142"/>
        <v>570.46734160592086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44.115248481308726</v>
      </c>
      <c r="AA163" s="23">
        <f>EXP(-LN(2)/25)*AA162+(1-EXP(-LN(2)/25))/(LN(2)/25)*Calculateur!V163*Calculateur!X163*VLOOKUP('Données projet'!$B$9,Paramètres!$A$1:$I$88,3,0)*0.475*44/12</f>
        <v>5.6495586076084452</v>
      </c>
      <c r="AB163" s="23">
        <f>EXP(-LN(2)/2)*AB162+(1-EXP(-LN(2)/2))/(LN(2)/2)*V163*Y163*VLOOKUP('Données projet'!$B$9,Paramètres!$A$1:$I$88,3,0)*0.475*44/12</f>
        <v>2.247109384801185E-13</v>
      </c>
      <c r="AC163" s="24">
        <f t="shared" si="163"/>
        <v>49.764807088917401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2.8421709430404007E-13</v>
      </c>
      <c r="AJ163" s="14">
        <f>AI163*VLOOKUP('Données projet'!$B$10,Paramètres!$A$1:$I$88,3,0)*VLOOKUP('Données projet'!$B$10,Paramètres!$A$1:$I$88,5,0)</f>
        <v>1.7735146684572101E-13</v>
      </c>
      <c r="AK163" s="14">
        <f t="shared" si="164"/>
        <v>2.4924271921531257E-12</v>
      </c>
      <c r="AL163" s="22">
        <f t="shared" si="165"/>
        <v>4.6498644977563242E-12</v>
      </c>
      <c r="AM163" s="62">
        <f t="shared" si="113"/>
        <v>293.33333333333798</v>
      </c>
      <c r="AN163" s="62">
        <f ca="1">AVERAGE(OFFSET($AM$3,0,0,'Données projet'!$E$10+1,1))-AVERAGE(OFFSET($H$3,0,0,'Données projet'!$E$10+1,1))</f>
        <v>272.66985936980086</v>
      </c>
      <c r="AO163" s="62">
        <f t="shared" si="144"/>
        <v>320.12040114313697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38.429458702382988</v>
      </c>
      <c r="AV163" s="23">
        <f>EXP(-LN(2)/25)*AV162+(1-EXP(-LN(2)/25))/(LN(2)/25)*Calculateur!AQ163*Calculateur!AS163*VLOOKUP('Données projet'!$B$10,Paramètres!$A$1:$I$88,3,0)*0.475*44/12</f>
        <v>6.0224919019648269</v>
      </c>
      <c r="AW163" s="23">
        <f>EXP(-LN(2)/2)*AW162+(1-EXP(-LN(2)/2))/(LN(2)/2)*AQ163*AT163*VLOOKUP('Données projet'!$B$10,Paramètres!$A$1:$I$88,3,0)*0.475*44/12</f>
        <v>1.6620591227879009E-12</v>
      </c>
      <c r="AX163" s="23">
        <f t="shared" si="166"/>
        <v>44.451950604349477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-150</v>
      </c>
      <c r="BE163" s="14">
        <f>BD163*VLOOKUP('Données projet'!$B$11,Paramètres!$A$1:$I$88,3,0)*VLOOKUP('Données projet'!$B$11,Paramètres!$A$1:$I$88,5,0)</f>
        <v>-70.2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164.93326103756453</v>
      </c>
      <c r="BJ163" s="62">
        <f t="shared" si="146"/>
        <v>115.86489547584461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57.816480540627701</v>
      </c>
      <c r="BQ163" s="23">
        <f>EXP(-LN(2)/25)*BQ162+(1-EXP(-LN(2)/25))/(LN(2)/25)*Calculateur!BL163*Calculateur!BN163*VLOOKUP('Données projet'!$B$11,Paramètres!$A$1:$I$88,3,0)*0.475*44/12</f>
        <v>6.2529895320441504</v>
      </c>
      <c r="BR163" s="23">
        <f>EXP(-LN(2)/2)*BR162+(1-EXP(-LN(2)/2))/(LN(2)/2)*BL163*BO163*VLOOKUP('Données projet'!$B$11,Paramètres!$A$1:$I$88,3,0)*0.475*44/12</f>
        <v>2.8509325387901592E-8</v>
      </c>
      <c r="BS163" s="24">
        <f t="shared" si="169"/>
        <v>64.069470101181167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607.14935567170596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projet'!$B$9,Paramètres!$A$1:$I$88,3,0)*VLOOKUP('Données projet'!$B$9,Paramètres!$A$1:$I$88,5,0)</f>
        <v>-1.9065282685915009E-13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461.42631729930201</v>
      </c>
      <c r="T164" s="62">
        <f t="shared" si="142"/>
        <v>570.46734160592086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43.250175366234927</v>
      </c>
      <c r="AA164" s="23">
        <f>EXP(-LN(2)/25)*AA163+(1-EXP(-LN(2)/25))/(LN(2)/25)*Calculateur!V164*Calculateur!X164*VLOOKUP('Données projet'!$B$9,Paramètres!$A$1:$I$88,3,0)*0.475*44/12</f>
        <v>5.4950711303860169</v>
      </c>
      <c r="AB164" s="23">
        <f>EXP(-LN(2)/2)*AB163+(1-EXP(-LN(2)/2))/(LN(2)/2)*V164*Y164*VLOOKUP('Données projet'!$B$9,Paramètres!$A$1:$I$88,3,0)*0.475*44/12</f>
        <v>1.5889462840608491E-13</v>
      </c>
      <c r="AC164" s="24">
        <f t="shared" si="163"/>
        <v>48.7452464966211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2.8421709430404007E-13</v>
      </c>
      <c r="AJ164" s="14">
        <f>AI164*VLOOKUP('Données projet'!$B$10,Paramètres!$A$1:$I$88,3,0)*VLOOKUP('Données projet'!$B$10,Paramètres!$A$1:$I$88,5,0)</f>
        <v>1.7735146684572101E-13</v>
      </c>
      <c r="AK164" s="14">
        <f t="shared" si="164"/>
        <v>2.4924271921531257E-12</v>
      </c>
      <c r="AL164" s="22">
        <f t="shared" si="165"/>
        <v>4.6498644977563242E-12</v>
      </c>
      <c r="AM164" s="62">
        <f t="shared" si="113"/>
        <v>293.33333333333798</v>
      </c>
      <c r="AN164" s="62">
        <f ca="1">AVERAGE(OFFSET($AM$3,0,0,'Données projet'!$E$10+1,1))-AVERAGE(OFFSET($H$3,0,0,'Données projet'!$E$10+1,1))</f>
        <v>272.66985936980086</v>
      </c>
      <c r="AO164" s="62">
        <f t="shared" si="144"/>
        <v>320.12040114313697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37.675880456884592</v>
      </c>
      <c r="AV164" s="23">
        <f>EXP(-LN(2)/25)*AV163+(1-EXP(-LN(2)/25))/(LN(2)/25)*Calculateur!AQ164*Calculateur!AS164*VLOOKUP('Données projet'!$B$10,Paramètres!$A$1:$I$88,3,0)*0.475*44/12</f>
        <v>5.8578065441965146</v>
      </c>
      <c r="AW164" s="23">
        <f>EXP(-LN(2)/2)*AW163+(1-EXP(-LN(2)/2))/(LN(2)/2)*AQ164*AT164*VLOOKUP('Données projet'!$B$10,Paramètres!$A$1:$I$88,3,0)*0.475*44/12</f>
        <v>1.1752532764562894E-12</v>
      </c>
      <c r="AX164" s="23">
        <f t="shared" si="166"/>
        <v>43.533687001082278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-150</v>
      </c>
      <c r="BE164" s="14">
        <f>BD164*VLOOKUP('Données projet'!$B$11,Paramètres!$A$1:$I$88,3,0)*VLOOKUP('Données projet'!$B$11,Paramètres!$A$1:$I$88,5,0)</f>
        <v>-70.2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164.93326103756453</v>
      </c>
      <c r="BJ164" s="62">
        <f t="shared" si="146"/>
        <v>115.86489547584461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56.682734621797032</v>
      </c>
      <c r="BQ164" s="23">
        <f>EXP(-LN(2)/25)*BQ163+(1-EXP(-LN(2)/25))/(LN(2)/25)*Calculateur!BL164*Calculateur!BN164*VLOOKUP('Données projet'!$B$11,Paramètres!$A$1:$I$88,3,0)*0.475*44/12</f>
        <v>6.0820012044599752</v>
      </c>
      <c r="BR164" s="23">
        <f>EXP(-LN(2)/2)*BR163+(1-EXP(-LN(2)/2))/(LN(2)/2)*BL164*BO164*VLOOKUP('Données projet'!$B$11,Paramètres!$A$1:$I$88,3,0)*0.475*44/12</f>
        <v>2.0159137308839015E-8</v>
      </c>
      <c r="BS164" s="24">
        <f t="shared" si="169"/>
        <v>62.764735846416144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609.05178026847398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projet'!$B$9,Paramètres!$A$1:$I$88,3,0)*VLOOKUP('Données projet'!$B$9,Paramètres!$A$1:$I$88,5,0)</f>
        <v>-1.9065282685915009E-13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461.42631729930201</v>
      </c>
      <c r="T165" s="62">
        <f t="shared" si="142"/>
        <v>570.46734160592086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42.402065807305227</v>
      </c>
      <c r="AA165" s="23">
        <f>EXP(-LN(2)/25)*AA164+(1-EXP(-LN(2)/25))/(LN(2)/25)*Calculateur!V165*Calculateur!X165*VLOOKUP('Données projet'!$B$9,Paramètres!$A$1:$I$88,3,0)*0.475*44/12</f>
        <v>5.3448081213523793</v>
      </c>
      <c r="AB165" s="23">
        <f>EXP(-LN(2)/2)*AB164+(1-EXP(-LN(2)/2))/(LN(2)/2)*V165*Y165*VLOOKUP('Données projet'!$B$9,Paramètres!$A$1:$I$88,3,0)*0.475*44/12</f>
        <v>1.1235546924005927E-13</v>
      </c>
      <c r="AC165" s="24">
        <f t="shared" si="163"/>
        <v>47.74687392865772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2.8421709430404007E-13</v>
      </c>
      <c r="AJ165" s="14">
        <f>AI165*VLOOKUP('Données projet'!$B$10,Paramètres!$A$1:$I$88,3,0)*VLOOKUP('Données projet'!$B$10,Paramètres!$A$1:$I$88,5,0)</f>
        <v>1.7735146684572101E-13</v>
      </c>
      <c r="AK165" s="14">
        <f t="shared" si="164"/>
        <v>2.4924271921531257E-12</v>
      </c>
      <c r="AL165" s="22">
        <f t="shared" si="165"/>
        <v>4.6498644977563242E-12</v>
      </c>
      <c r="AM165" s="62">
        <f t="shared" si="113"/>
        <v>293.33333333333798</v>
      </c>
      <c r="AN165" s="62">
        <f ca="1">AVERAGE(OFFSET($AM$3,0,0,'Données projet'!$E$10+1,1))-AVERAGE(OFFSET($H$3,0,0,'Données projet'!$E$10+1,1))</f>
        <v>272.66985936980086</v>
      </c>
      <c r="AO165" s="62">
        <f t="shared" si="144"/>
        <v>320.12040114313697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36.937079421143075</v>
      </c>
      <c r="AV165" s="23">
        <f>EXP(-LN(2)/25)*AV164+(1-EXP(-LN(2)/25))/(LN(2)/25)*Calculateur!AQ165*Calculateur!AS165*VLOOKUP('Données projet'!$B$10,Paramètres!$A$1:$I$88,3,0)*0.475*44/12</f>
        <v>5.6976245161968029</v>
      </c>
      <c r="AW165" s="23">
        <f>EXP(-LN(2)/2)*AW164+(1-EXP(-LN(2)/2))/(LN(2)/2)*AQ165*AT165*VLOOKUP('Données projet'!$B$10,Paramètres!$A$1:$I$88,3,0)*0.475*44/12</f>
        <v>8.3102956139395046E-13</v>
      </c>
      <c r="AX165" s="23">
        <f t="shared" si="166"/>
        <v>42.63470393734071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-150</v>
      </c>
      <c r="BE165" s="14">
        <f>BD165*VLOOKUP('Données projet'!$B$11,Paramètres!$A$1:$I$88,3,0)*VLOOKUP('Données projet'!$B$11,Paramètres!$A$1:$I$88,5,0)</f>
        <v>-70.2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164.93326103756453</v>
      </c>
      <c r="BJ165" s="62">
        <f t="shared" si="146"/>
        <v>115.86489547584461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55.571220768917904</v>
      </c>
      <c r="BQ165" s="23">
        <f>EXP(-LN(2)/25)*BQ164+(1-EXP(-LN(2)/25))/(LN(2)/25)*Calculateur!BL165*Calculateur!BN165*VLOOKUP('Données projet'!$B$11,Paramètres!$A$1:$I$88,3,0)*0.475*44/12</f>
        <v>5.9156885616854744</v>
      </c>
      <c r="BR165" s="23">
        <f>EXP(-LN(2)/2)*BR164+(1-EXP(-LN(2)/2))/(LN(2)/2)*BL165*BO165*VLOOKUP('Données projet'!$B$11,Paramètres!$A$1:$I$88,3,0)*0.475*44/12</f>
        <v>1.4254662693950796E-8</v>
      </c>
      <c r="BS165" s="24">
        <f t="shared" si="169"/>
        <v>61.486909344858041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610.95395078996603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projet'!$B$9,Paramètres!$A$1:$I$88,3,0)*VLOOKUP('Données projet'!$B$9,Paramètres!$A$1:$I$88,5,0)</f>
        <v>-1.9065282685915009E-13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461.42631729930201</v>
      </c>
      <c r="T166" s="62">
        <f t="shared" si="142"/>
        <v>570.46734160592086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41.570587159530383</v>
      </c>
      <c r="AA166" s="23">
        <f>EXP(-LN(2)/25)*AA165+(1-EXP(-LN(2)/25))/(LN(2)/25)*Calculateur!V166*Calculateur!X166*VLOOKUP('Données projet'!$B$9,Paramètres!$A$1:$I$88,3,0)*0.475*44/12</f>
        <v>5.1986540622027553</v>
      </c>
      <c r="AB166" s="23">
        <f>EXP(-LN(2)/2)*AB165+(1-EXP(-LN(2)/2))/(LN(2)/2)*V166*Y166*VLOOKUP('Données projet'!$B$9,Paramètres!$A$1:$I$88,3,0)*0.475*44/12</f>
        <v>7.9447314203042469E-14</v>
      </c>
      <c r="AC166" s="24">
        <f t="shared" si="163"/>
        <v>46.769241221733218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2.8421709430404007E-13</v>
      </c>
      <c r="AJ166" s="14">
        <f>AI166*VLOOKUP('Données projet'!$B$10,Paramètres!$A$1:$I$88,3,0)*VLOOKUP('Données projet'!$B$10,Paramètres!$A$1:$I$88,5,0)</f>
        <v>1.7735146684572101E-13</v>
      </c>
      <c r="AK166" s="14">
        <f t="shared" si="164"/>
        <v>2.4924271921531257E-12</v>
      </c>
      <c r="AL166" s="22">
        <f t="shared" si="165"/>
        <v>4.6498644977563242E-12</v>
      </c>
      <c r="AM166" s="62">
        <f t="shared" si="113"/>
        <v>293.33333333333798</v>
      </c>
      <c r="AN166" s="62">
        <f ca="1">AVERAGE(OFFSET($AM$3,0,0,'Données projet'!$E$10+1,1))-AVERAGE(OFFSET($H$3,0,0,'Données projet'!$E$10+1,1))</f>
        <v>272.66985936980086</v>
      </c>
      <c r="AO166" s="62">
        <f t="shared" si="144"/>
        <v>320.12040114313697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36.212765823088311</v>
      </c>
      <c r="AV166" s="23">
        <f>EXP(-LN(2)/25)*AV165+(1-EXP(-LN(2)/25))/(LN(2)/25)*Calculateur!AQ166*Calculateur!AS166*VLOOKUP('Données projet'!$B$10,Paramètres!$A$1:$I$88,3,0)*0.475*44/12</f>
        <v>5.5418226741763501</v>
      </c>
      <c r="AW166" s="23">
        <f>EXP(-LN(2)/2)*AW165+(1-EXP(-LN(2)/2))/(LN(2)/2)*AQ166*AT166*VLOOKUP('Données projet'!$B$10,Paramètres!$A$1:$I$88,3,0)*0.475*44/12</f>
        <v>5.8762663822814469E-13</v>
      </c>
      <c r="AX166" s="23">
        <f t="shared" si="166"/>
        <v>41.754588497265253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-150</v>
      </c>
      <c r="BE166" s="14">
        <f>BD166*VLOOKUP('Données projet'!$B$11,Paramètres!$A$1:$I$88,3,0)*VLOOKUP('Données projet'!$B$11,Paramètres!$A$1:$I$88,5,0)</f>
        <v>-70.2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164.93326103756453</v>
      </c>
      <c r="BJ166" s="62">
        <f t="shared" si="146"/>
        <v>115.86489547584461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54.481503024737229</v>
      </c>
      <c r="BQ166" s="23">
        <f>EXP(-LN(2)/25)*BQ165+(1-EXP(-LN(2)/25))/(LN(2)/25)*Calculateur!BL166*Calculateur!BN166*VLOOKUP('Données projet'!$B$11,Paramètres!$A$1:$I$88,3,0)*0.475*44/12</f>
        <v>5.7539237468736442</v>
      </c>
      <c r="BR166" s="23">
        <f>EXP(-LN(2)/2)*BR165+(1-EXP(-LN(2)/2))/(LN(2)/2)*BL166*BO166*VLOOKUP('Données projet'!$B$11,Paramètres!$A$1:$I$88,3,0)*0.475*44/12</f>
        <v>1.0079568654419507E-8</v>
      </c>
      <c r="BS166" s="24">
        <f t="shared" si="169"/>
        <v>60.235426781690443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612.85586897576445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projet'!$B$9,Paramètres!$A$1:$I$88,3,0)*VLOOKUP('Données projet'!$B$9,Paramètres!$A$1:$I$88,5,0)</f>
        <v>-1.9065282685915009E-13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461.42631729930201</v>
      </c>
      <c r="T167" s="62">
        <f t="shared" si="142"/>
        <v>570.46734160592086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40.755413300886509</v>
      </c>
      <c r="AA167" s="23">
        <f>EXP(-LN(2)/25)*AA166+(1-EXP(-LN(2)/25))/(LN(2)/25)*Calculateur!V167*Calculateur!X167*VLOOKUP('Données projet'!$B$9,Paramètres!$A$1:$I$88,3,0)*0.475*44/12</f>
        <v>5.0564965934864858</v>
      </c>
      <c r="AB167" s="23">
        <f>EXP(-LN(2)/2)*AB166+(1-EXP(-LN(2)/2))/(LN(2)/2)*V167*Y167*VLOOKUP('Données projet'!$B$9,Paramètres!$A$1:$I$88,3,0)*0.475*44/12</f>
        <v>5.6177734620029643E-14</v>
      </c>
      <c r="AC167" s="24">
        <f t="shared" si="163"/>
        <v>45.811909894373052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2.8421709430404007E-13</v>
      </c>
      <c r="AJ167" s="14">
        <f>AI167*VLOOKUP('Données projet'!$B$10,Paramètres!$A$1:$I$88,3,0)*VLOOKUP('Données projet'!$B$10,Paramètres!$A$1:$I$88,5,0)</f>
        <v>1.7735146684572101E-13</v>
      </c>
      <c r="AK167" s="14">
        <f t="shared" si="164"/>
        <v>2.4924271921531257E-12</v>
      </c>
      <c r="AL167" s="22">
        <f t="shared" si="165"/>
        <v>4.6498644977563242E-12</v>
      </c>
      <c r="AM167" s="62">
        <f t="shared" si="113"/>
        <v>293.33333333333798</v>
      </c>
      <c r="AN167" s="62">
        <f ca="1">AVERAGE(OFFSET($AM$3,0,0,'Données projet'!$E$10+1,1))-AVERAGE(OFFSET($H$3,0,0,'Données projet'!$E$10+1,1))</f>
        <v>272.66985936980086</v>
      </c>
      <c r="AO167" s="62">
        <f t="shared" si="144"/>
        <v>320.12040114313697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35.502655572903734</v>
      </c>
      <c r="AV167" s="23">
        <f>EXP(-LN(2)/25)*AV166+(1-EXP(-LN(2)/25))/(LN(2)/25)*Calculateur!AQ167*Calculateur!AS167*VLOOKUP('Données projet'!$B$10,Paramètres!$A$1:$I$88,3,0)*0.475*44/12</f>
        <v>5.390281241719209</v>
      </c>
      <c r="AW167" s="23">
        <f>EXP(-LN(2)/2)*AW166+(1-EXP(-LN(2)/2))/(LN(2)/2)*AQ167*AT167*VLOOKUP('Données projet'!$B$10,Paramètres!$A$1:$I$88,3,0)*0.475*44/12</f>
        <v>4.1551478069697523E-13</v>
      </c>
      <c r="AX167" s="23">
        <f t="shared" si="166"/>
        <v>40.892936814623354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-150</v>
      </c>
      <c r="BE167" s="14">
        <f>BD167*VLOOKUP('Données projet'!$B$11,Paramètres!$A$1:$I$88,3,0)*VLOOKUP('Données projet'!$B$11,Paramètres!$A$1:$I$88,5,0)</f>
        <v>-70.2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164.93326103756453</v>
      </c>
      <c r="BJ167" s="62">
        <f t="shared" si="146"/>
        <v>115.86489547584461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53.413153980857743</v>
      </c>
      <c r="BQ167" s="23">
        <f>EXP(-LN(2)/25)*BQ166+(1-EXP(-LN(2)/25))/(LN(2)/25)*Calculateur!BL167*Calculateur!BN167*VLOOKUP('Données projet'!$B$11,Paramètres!$A$1:$I$88,3,0)*0.475*44/12</f>
        <v>5.5965823994296855</v>
      </c>
      <c r="BR167" s="23">
        <f>EXP(-LN(2)/2)*BR166+(1-EXP(-LN(2)/2))/(LN(2)/2)*BL167*BO167*VLOOKUP('Données projet'!$B$11,Paramètres!$A$1:$I$88,3,0)*0.475*44/12</f>
        <v>7.127331346975398E-9</v>
      </c>
      <c r="BS167" s="24">
        <f t="shared" si="169"/>
        <v>59.009736387414762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614.75753654301047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projet'!$B$9,Paramètres!$A$1:$I$88,3,0)*VLOOKUP('Données projet'!$B$9,Paramètres!$A$1:$I$88,5,0)</f>
        <v>-1.9065282685915009E-13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461.42631729930201</v>
      </c>
      <c r="T168" s="62">
        <f t="shared" si="142"/>
        <v>570.46734160592086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39.956224504403679</v>
      </c>
      <c r="AA168" s="23">
        <f>EXP(-LN(2)/25)*AA167+(1-EXP(-LN(2)/25))/(LN(2)/25)*Calculateur!V168*Calculateur!X168*VLOOKUP('Données projet'!$B$9,Paramètres!$A$1:$I$88,3,0)*0.475*44/12</f>
        <v>4.9182264282279986</v>
      </c>
      <c r="AB168" s="23">
        <f>EXP(-LN(2)/2)*AB167+(1-EXP(-LN(2)/2))/(LN(2)/2)*V168*Y168*VLOOKUP('Données projet'!$B$9,Paramètres!$A$1:$I$88,3,0)*0.475*44/12</f>
        <v>3.9723657101521241E-14</v>
      </c>
      <c r="AC168" s="24">
        <f t="shared" si="163"/>
        <v>44.874450932631717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2.8421709430404007E-13</v>
      </c>
      <c r="AJ168" s="14">
        <f>AI168*VLOOKUP('Données projet'!$B$10,Paramètres!$A$1:$I$88,3,0)*VLOOKUP('Données projet'!$B$10,Paramètres!$A$1:$I$88,5,0)</f>
        <v>1.7735146684572101E-13</v>
      </c>
      <c r="AK168" s="14">
        <f t="shared" si="164"/>
        <v>2.4924271921531257E-12</v>
      </c>
      <c r="AL168" s="22">
        <f t="shared" si="165"/>
        <v>4.6498644977563242E-12</v>
      </c>
      <c r="AM168" s="62">
        <f t="shared" si="113"/>
        <v>293.33333333333798</v>
      </c>
      <c r="AN168" s="62">
        <f ca="1">AVERAGE(OFFSET($AM$3,0,0,'Données projet'!$E$10+1,1))-AVERAGE(OFFSET($H$3,0,0,'Données projet'!$E$10+1,1))</f>
        <v>272.66985936980086</v>
      </c>
      <c r="AO168" s="62">
        <f t="shared" si="144"/>
        <v>320.12040114313697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34.806470151600791</v>
      </c>
      <c r="AV168" s="23">
        <f>EXP(-LN(2)/25)*AV167+(1-EXP(-LN(2)/25))/(LN(2)/25)*Calculateur!AQ168*Calculateur!AS168*VLOOKUP('Données projet'!$B$10,Paramètres!$A$1:$I$88,3,0)*0.475*44/12</f>
        <v>5.2428837177018259</v>
      </c>
      <c r="AW168" s="23">
        <f>EXP(-LN(2)/2)*AW167+(1-EXP(-LN(2)/2))/(LN(2)/2)*AQ168*AT168*VLOOKUP('Données projet'!$B$10,Paramètres!$A$1:$I$88,3,0)*0.475*44/12</f>
        <v>2.9381331911407234E-13</v>
      </c>
      <c r="AX168" s="23">
        <f t="shared" si="166"/>
        <v>40.049353869302912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-150</v>
      </c>
      <c r="BE168" s="14">
        <f>BD168*VLOOKUP('Données projet'!$B$11,Paramètres!$A$1:$I$88,3,0)*VLOOKUP('Données projet'!$B$11,Paramètres!$A$1:$I$88,5,0)</f>
        <v>-70.2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164.93326103756453</v>
      </c>
      <c r="BJ168" s="62">
        <f t="shared" si="146"/>
        <v>115.86489547584461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52.365754610100161</v>
      </c>
      <c r="BQ168" s="23">
        <f>EXP(-LN(2)/25)*BQ167+(1-EXP(-LN(2)/25))/(LN(2)/25)*Calculateur!BL168*Calculateur!BN168*VLOOKUP('Données projet'!$B$11,Paramètres!$A$1:$I$88,3,0)*0.475*44/12</f>
        <v>5.4435435594058035</v>
      </c>
      <c r="BR168" s="23">
        <f>EXP(-LN(2)/2)*BR167+(1-EXP(-LN(2)/2))/(LN(2)/2)*BL168*BO168*VLOOKUP('Données projet'!$B$11,Paramètres!$A$1:$I$88,3,0)*0.475*44/12</f>
        <v>5.0397843272097537E-9</v>
      </c>
      <c r="BS168" s="24">
        <f t="shared" si="169"/>
        <v>57.809298174545752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616.65895518682692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projet'!$B$9,Paramètres!$A$1:$I$88,3,0)*VLOOKUP('Données projet'!$B$9,Paramètres!$A$1:$I$88,5,0)</f>
        <v>-1.9065282685915009E-13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461.42631729930201</v>
      </c>
      <c r="T169" s="62">
        <f t="shared" si="142"/>
        <v>570.46734160592086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39.172707312762846</v>
      </c>
      <c r="AA169" s="23">
        <f>EXP(-LN(2)/25)*AA168+(1-EXP(-LN(2)/25))/(LN(2)/25)*Calculateur!V169*Calculateur!X169*VLOOKUP('Données projet'!$B$9,Paramètres!$A$1:$I$88,3,0)*0.475*44/12</f>
        <v>4.7837372679098165</v>
      </c>
      <c r="AB169" s="23">
        <f>EXP(-LN(2)/2)*AB168+(1-EXP(-LN(2)/2))/(LN(2)/2)*V169*Y169*VLOOKUP('Données projet'!$B$9,Paramètres!$A$1:$I$88,3,0)*0.475*44/12</f>
        <v>2.8088867310014828E-14</v>
      </c>
      <c r="AC169" s="24">
        <f t="shared" si="163"/>
        <v>43.956444580672688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2.8421709430404007E-13</v>
      </c>
      <c r="AJ169" s="14">
        <f>AI169*VLOOKUP('Données projet'!$B$10,Paramètres!$A$1:$I$88,3,0)*VLOOKUP('Données projet'!$B$10,Paramètres!$A$1:$I$88,5,0)</f>
        <v>1.7735146684572101E-13</v>
      </c>
      <c r="AK169" s="14">
        <f t="shared" si="164"/>
        <v>2.4924271921531257E-12</v>
      </c>
      <c r="AL169" s="22">
        <f t="shared" si="165"/>
        <v>4.6498644977563242E-12</v>
      </c>
      <c r="AM169" s="62">
        <f t="shared" si="113"/>
        <v>293.33333333333798</v>
      </c>
      <c r="AN169" s="62">
        <f ca="1">AVERAGE(OFFSET($AM$3,0,0,'Données projet'!$E$10+1,1))-AVERAGE(OFFSET($H$3,0,0,'Données projet'!$E$10+1,1))</f>
        <v>272.66985936980086</v>
      </c>
      <c r="AO169" s="62">
        <f t="shared" si="144"/>
        <v>320.12040114313697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34.123936501778417</v>
      </c>
      <c r="AV169" s="23">
        <f>EXP(-LN(2)/25)*AV168+(1-EXP(-LN(2)/25))/(LN(2)/25)*Calculateur!AQ169*Calculateur!AS169*VLOOKUP('Données projet'!$B$10,Paramètres!$A$1:$I$88,3,0)*0.475*44/12</f>
        <v>5.099516786729998</v>
      </c>
      <c r="AW169" s="23">
        <f>EXP(-LN(2)/2)*AW168+(1-EXP(-LN(2)/2))/(LN(2)/2)*AQ169*AT169*VLOOKUP('Données projet'!$B$10,Paramètres!$A$1:$I$88,3,0)*0.475*44/12</f>
        <v>2.0775739034848762E-13</v>
      </c>
      <c r="AX169" s="23">
        <f t="shared" si="166"/>
        <v>39.223453288508622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-150</v>
      </c>
      <c r="BE169" s="14">
        <f>BD169*VLOOKUP('Données projet'!$B$11,Paramètres!$A$1:$I$88,3,0)*VLOOKUP('Données projet'!$B$11,Paramètres!$A$1:$I$88,5,0)</f>
        <v>-70.2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164.93326103756453</v>
      </c>
      <c r="BJ169" s="62">
        <f t="shared" si="146"/>
        <v>115.86489547584461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51.338894102152601</v>
      </c>
      <c r="BQ169" s="23">
        <f>EXP(-LN(2)/25)*BQ168+(1-EXP(-LN(2)/25))/(LN(2)/25)*Calculateur!BL169*Calculateur!BN169*VLOOKUP('Données projet'!$B$11,Paramètres!$A$1:$I$88,3,0)*0.475*44/12</f>
        <v>5.2946895745103371</v>
      </c>
      <c r="BR169" s="23">
        <f>EXP(-LN(2)/2)*BR168+(1-EXP(-LN(2)/2))/(LN(2)/2)*BL169*BO169*VLOOKUP('Données projet'!$B$11,Paramètres!$A$1:$I$88,3,0)*0.475*44/12</f>
        <v>3.563665673487699E-9</v>
      </c>
      <c r="BS169" s="24">
        <f t="shared" si="169"/>
        <v>56.6335836802266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618.56012658073257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projet'!$B$9,Paramètres!$A$1:$I$88,3,0)*VLOOKUP('Données projet'!$B$9,Paramètres!$A$1:$I$88,5,0)</f>
        <v>-1.9065282685915009E-13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461.42631729930201</v>
      </c>
      <c r="T170" s="62">
        <f t="shared" si="142"/>
        <v>570.46734160592086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38.404554415351789</v>
      </c>
      <c r="AA170" s="23">
        <f>EXP(-LN(2)/25)*AA169+(1-EXP(-LN(2)/25))/(LN(2)/25)*Calculateur!V170*Calculateur!X170*VLOOKUP('Données projet'!$B$9,Paramètres!$A$1:$I$88,3,0)*0.475*44/12</f>
        <v>4.6529257207530126</v>
      </c>
      <c r="AB170" s="23">
        <f>EXP(-LN(2)/2)*AB169+(1-EXP(-LN(2)/2))/(LN(2)/2)*V170*Y170*VLOOKUP('Données projet'!$B$9,Paramètres!$A$1:$I$88,3,0)*0.475*44/12</f>
        <v>1.9861828550760623E-14</v>
      </c>
      <c r="AC170" s="24">
        <f t="shared" si="163"/>
        <v>43.057480136104822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2.8421709430404007E-13</v>
      </c>
      <c r="AJ170" s="14">
        <f>AI170*VLOOKUP('Données projet'!$B$10,Paramètres!$A$1:$I$88,3,0)*VLOOKUP('Données projet'!$B$10,Paramètres!$A$1:$I$88,5,0)</f>
        <v>1.7735146684572101E-13</v>
      </c>
      <c r="AK170" s="14">
        <f t="shared" si="164"/>
        <v>2.4924271921531257E-12</v>
      </c>
      <c r="AL170" s="22">
        <f t="shared" si="165"/>
        <v>4.6498644977563242E-12</v>
      </c>
      <c r="AM170" s="62">
        <f t="shared" si="113"/>
        <v>293.33333333333798</v>
      </c>
      <c r="AN170" s="62">
        <f ca="1">AVERAGE(OFFSET($AM$3,0,0,'Données projet'!$E$10+1,1))-AVERAGE(OFFSET($H$3,0,0,'Données projet'!$E$10+1,1))</f>
        <v>272.66985936980086</v>
      </c>
      <c r="AO170" s="62">
        <f t="shared" si="144"/>
        <v>320.12040114313697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33.45478692052464</v>
      </c>
      <c r="AV170" s="23">
        <f>EXP(-LN(2)/25)*AV169+(1-EXP(-LN(2)/25))/(LN(2)/25)*Calculateur!AQ170*Calculateur!AS170*VLOOKUP('Données projet'!$B$10,Paramètres!$A$1:$I$88,3,0)*0.475*44/12</f>
        <v>4.9600702320249335</v>
      </c>
      <c r="AW170" s="23">
        <f>EXP(-LN(2)/2)*AW169+(1-EXP(-LN(2)/2))/(LN(2)/2)*AQ170*AT170*VLOOKUP('Données projet'!$B$10,Paramètres!$A$1:$I$88,3,0)*0.475*44/12</f>
        <v>1.4690665955703617E-13</v>
      </c>
      <c r="AX170" s="23">
        <f t="shared" si="166"/>
        <v>38.414857152549722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-150</v>
      </c>
      <c r="BE170" s="14">
        <f>BD170*VLOOKUP('Données projet'!$B$11,Paramètres!$A$1:$I$88,3,0)*VLOOKUP('Données projet'!$B$11,Paramètres!$A$1:$I$88,5,0)</f>
        <v>-70.2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164.93326103756453</v>
      </c>
      <c r="BJ170" s="62">
        <f t="shared" si="146"/>
        <v>115.86489547584461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50.332169702442826</v>
      </c>
      <c r="BQ170" s="23">
        <f>EXP(-LN(2)/25)*BQ169+(1-EXP(-LN(2)/25))/(LN(2)/25)*Calculateur!BL170*Calculateur!BN170*VLOOKUP('Données projet'!$B$11,Paramètres!$A$1:$I$88,3,0)*0.475*44/12</f>
        <v>5.1499060096597287</v>
      </c>
      <c r="BR170" s="23">
        <f>EXP(-LN(2)/2)*BR169+(1-EXP(-LN(2)/2))/(LN(2)/2)*BL170*BO170*VLOOKUP('Données projet'!$B$11,Paramètres!$A$1:$I$88,3,0)*0.475*44/12</f>
        <v>2.5198921636048769E-9</v>
      </c>
      <c r="BS170" s="24">
        <f t="shared" si="169"/>
        <v>55.482075714622447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620.46105237704421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projet'!$B$9,Paramètres!$A$1:$I$88,3,0)*VLOOKUP('Données projet'!$B$9,Paramètres!$A$1:$I$88,5,0)</f>
        <v>-1.9065282685915009E-13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461.42631729930201</v>
      </c>
      <c r="T171" s="62">
        <f t="shared" si="142"/>
        <v>570.46734160592086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37.65146452773196</v>
      </c>
      <c r="AA171" s="23">
        <f>EXP(-LN(2)/25)*AA170+(1-EXP(-LN(2)/25))/(LN(2)/25)*Calculateur!V171*Calculateur!X171*VLOOKUP('Données projet'!$B$9,Paramètres!$A$1:$I$88,3,0)*0.475*44/12</f>
        <v>4.5256912222322923</v>
      </c>
      <c r="AB171" s="23">
        <f>EXP(-LN(2)/2)*AB170+(1-EXP(-LN(2)/2))/(LN(2)/2)*V171*Y171*VLOOKUP('Données projet'!$B$9,Paramètres!$A$1:$I$88,3,0)*0.475*44/12</f>
        <v>1.4044433655007416E-14</v>
      </c>
      <c r="AC171" s="24">
        <f t="shared" si="163"/>
        <v>42.177155749964264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2.8421709430404007E-13</v>
      </c>
      <c r="AJ171" s="14">
        <f>AI171*VLOOKUP('Données projet'!$B$10,Paramètres!$A$1:$I$88,3,0)*VLOOKUP('Données projet'!$B$10,Paramètres!$A$1:$I$88,5,0)</f>
        <v>1.7735146684572101E-13</v>
      </c>
      <c r="AK171" s="14">
        <f t="shared" si="164"/>
        <v>2.4924271921531257E-12</v>
      </c>
      <c r="AL171" s="22">
        <f t="shared" si="165"/>
        <v>4.6498644977563242E-12</v>
      </c>
      <c r="AM171" s="62">
        <f t="shared" si="113"/>
        <v>293.33333333333798</v>
      </c>
      <c r="AN171" s="62">
        <f ca="1">AVERAGE(OFFSET($AM$3,0,0,'Données projet'!$E$10+1,1))-AVERAGE(OFFSET($H$3,0,0,'Données projet'!$E$10+1,1))</f>
        <v>272.66985936980086</v>
      </c>
      <c r="AO171" s="62">
        <f t="shared" si="144"/>
        <v>320.12040114313697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32.798758954418304</v>
      </c>
      <c r="AV171" s="23">
        <f>EXP(-LN(2)/25)*AV170+(1-EXP(-LN(2)/25))/(LN(2)/25)*Calculateur!AQ171*Calculateur!AS171*VLOOKUP('Données projet'!$B$10,Paramètres!$A$1:$I$88,3,0)*0.475*44/12</f>
        <v>4.8244368506914546</v>
      </c>
      <c r="AW171" s="23">
        <f>EXP(-LN(2)/2)*AW170+(1-EXP(-LN(2)/2))/(LN(2)/2)*AQ171*AT171*VLOOKUP('Données projet'!$B$10,Paramètres!$A$1:$I$88,3,0)*0.475*44/12</f>
        <v>1.0387869517424381E-13</v>
      </c>
      <c r="AX171" s="23">
        <f t="shared" si="166"/>
        <v>37.623195805109866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-150</v>
      </c>
      <c r="BE171" s="14">
        <f>BD171*VLOOKUP('Données projet'!$B$11,Paramètres!$A$1:$I$88,3,0)*VLOOKUP('Données projet'!$B$11,Paramètres!$A$1:$I$88,5,0)</f>
        <v>-70.2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164.93326103756453</v>
      </c>
      <c r="BJ171" s="62">
        <f t="shared" si="146"/>
        <v>115.86489547584461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49.345186554170105</v>
      </c>
      <c r="BQ171" s="23">
        <f>EXP(-LN(2)/25)*BQ170+(1-EXP(-LN(2)/25))/(LN(2)/25)*Calculateur!BL171*Calculateur!BN171*VLOOKUP('Données projet'!$B$11,Paramètres!$A$1:$I$88,3,0)*0.475*44/12</f>
        <v>5.0090815590037963</v>
      </c>
      <c r="BR171" s="23">
        <f>EXP(-LN(2)/2)*BR170+(1-EXP(-LN(2)/2))/(LN(2)/2)*BL171*BO171*VLOOKUP('Données projet'!$B$11,Paramètres!$A$1:$I$88,3,0)*0.475*44/12</f>
        <v>1.7818328367438495E-9</v>
      </c>
      <c r="BS171" s="24">
        <f t="shared" si="169"/>
        <v>54.354268114955737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622.36173420727039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projet'!$B$9,Paramètres!$A$1:$I$88,3,0)*VLOOKUP('Données projet'!$B$9,Paramètres!$A$1:$I$88,5,0)</f>
        <v>-1.9065282685915009E-13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461.42631729930201</v>
      </c>
      <c r="T172" s="62">
        <f t="shared" si="142"/>
        <v>570.46734160592086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36.913142273468878</v>
      </c>
      <c r="AA172" s="23">
        <f>EXP(-LN(2)/25)*AA171+(1-EXP(-LN(2)/25))/(LN(2)/25)*Calculateur!V172*Calculateur!X172*VLOOKUP('Données projet'!$B$9,Paramètres!$A$1:$I$88,3,0)*0.475*44/12</f>
        <v>4.401935957764592</v>
      </c>
      <c r="AB172" s="23">
        <f>EXP(-LN(2)/2)*AB171+(1-EXP(-LN(2)/2))/(LN(2)/2)*V172*Y172*VLOOKUP('Données projet'!$B$9,Paramètres!$A$1:$I$88,3,0)*0.475*44/12</f>
        <v>9.9309142753803133E-15</v>
      </c>
      <c r="AC172" s="24">
        <f t="shared" si="163"/>
        <v>41.315078231233478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2.8421709430404007E-13</v>
      </c>
      <c r="AJ172" s="14">
        <f>AI172*VLOOKUP('Données projet'!$B$10,Paramètres!$A$1:$I$88,3,0)*VLOOKUP('Données projet'!$B$10,Paramètres!$A$1:$I$88,5,0)</f>
        <v>1.7735146684572101E-13</v>
      </c>
      <c r="AK172" s="14">
        <f t="shared" si="164"/>
        <v>2.4924271921531257E-12</v>
      </c>
      <c r="AL172" s="22">
        <f t="shared" si="165"/>
        <v>4.6498644977563242E-12</v>
      </c>
      <c r="AM172" s="62">
        <f t="shared" si="113"/>
        <v>293.33333333333798</v>
      </c>
      <c r="AN172" s="62">
        <f ca="1">AVERAGE(OFFSET($AM$3,0,0,'Données projet'!$E$10+1,1))-AVERAGE(OFFSET($H$3,0,0,'Données projet'!$E$10+1,1))</f>
        <v>272.66985936980086</v>
      </c>
      <c r="AO172" s="62">
        <f t="shared" si="144"/>
        <v>320.12040114313697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32.155595296589766</v>
      </c>
      <c r="AV172" s="23">
        <f>EXP(-LN(2)/25)*AV171+(1-EXP(-LN(2)/25))/(LN(2)/25)*Calculateur!AQ172*Calculateur!AS172*VLOOKUP('Données projet'!$B$10,Paramètres!$A$1:$I$88,3,0)*0.475*44/12</f>
        <v>4.6925123713031889</v>
      </c>
      <c r="AW172" s="23">
        <f>EXP(-LN(2)/2)*AW171+(1-EXP(-LN(2)/2))/(LN(2)/2)*AQ172*AT172*VLOOKUP('Données projet'!$B$10,Paramètres!$A$1:$I$88,3,0)*0.475*44/12</f>
        <v>7.3453329778518086E-14</v>
      </c>
      <c r="AX172" s="23">
        <f t="shared" si="166"/>
        <v>36.848107667893025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-150</v>
      </c>
      <c r="BE172" s="14">
        <f>BD172*VLOOKUP('Données projet'!$B$11,Paramètres!$A$1:$I$88,3,0)*VLOOKUP('Données projet'!$B$11,Paramètres!$A$1:$I$88,5,0)</f>
        <v>-70.2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164.93326103756453</v>
      </c>
      <c r="BJ172" s="62">
        <f t="shared" si="146"/>
        <v>115.86489547584461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48.37755754343474</v>
      </c>
      <c r="BQ172" s="23">
        <f>EXP(-LN(2)/25)*BQ171+(1-EXP(-LN(2)/25))/(LN(2)/25)*Calculateur!BL172*Calculateur!BN172*VLOOKUP('Données projet'!$B$11,Paramètres!$A$1:$I$88,3,0)*0.475*44/12</f>
        <v>4.8721079603566864</v>
      </c>
      <c r="BR172" s="23">
        <f>EXP(-LN(2)/2)*BR171+(1-EXP(-LN(2)/2))/(LN(2)/2)*BL172*BO172*VLOOKUP('Données projet'!$B$11,Paramètres!$A$1:$I$88,3,0)*0.475*44/12</f>
        <v>1.2599460818024384E-9</v>
      </c>
      <c r="BS172" s="24">
        <f t="shared" si="169"/>
        <v>53.249665505051375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624.26217368249513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projet'!$B$9,Paramètres!$A$1:$I$88,3,0)*VLOOKUP('Données projet'!$B$9,Paramètres!$A$1:$I$88,5,0)</f>
        <v>-1.9065282685915009E-13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461.42631729930201</v>
      </c>
      <c r="T173" s="62">
        <f t="shared" si="142"/>
        <v>570.46734160592086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36.18929806827979</v>
      </c>
      <c r="AA173" s="23">
        <f>EXP(-LN(2)/25)*AA172+(1-EXP(-LN(2)/25))/(LN(2)/25)*Calculateur!V173*Calculateur!X173*VLOOKUP('Données projet'!$B$9,Paramètres!$A$1:$I$88,3,0)*0.475*44/12</f>
        <v>4.2815647875117682</v>
      </c>
      <c r="AB173" s="23">
        <f>EXP(-LN(2)/2)*AB172+(1-EXP(-LN(2)/2))/(LN(2)/2)*V173*Y173*VLOOKUP('Données projet'!$B$9,Paramètres!$A$1:$I$88,3,0)*0.475*44/12</f>
        <v>7.0222168275037086E-15</v>
      </c>
      <c r="AC173" s="24">
        <f t="shared" si="163"/>
        <v>40.470862855791566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2.8421709430404007E-13</v>
      </c>
      <c r="AJ173" s="14">
        <f>AI173*VLOOKUP('Données projet'!$B$10,Paramètres!$A$1:$I$88,3,0)*VLOOKUP('Données projet'!$B$10,Paramètres!$A$1:$I$88,5,0)</f>
        <v>1.7735146684572101E-13</v>
      </c>
      <c r="AK173" s="14">
        <f t="shared" si="164"/>
        <v>2.4924271921531257E-12</v>
      </c>
      <c r="AL173" s="22">
        <f t="shared" si="165"/>
        <v>4.6498644977563242E-12</v>
      </c>
      <c r="AM173" s="62">
        <f t="shared" si="113"/>
        <v>293.33333333333798</v>
      </c>
      <c r="AN173" s="62">
        <f ca="1">AVERAGE(OFFSET($AM$3,0,0,'Données projet'!$E$10+1,1))-AVERAGE(OFFSET($H$3,0,0,'Données projet'!$E$10+1,1))</f>
        <v>272.66985936980086</v>
      </c>
      <c r="AO173" s="62">
        <f t="shared" si="144"/>
        <v>320.12040114313697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31.525043685800153</v>
      </c>
      <c r="AV173" s="23">
        <f>EXP(-LN(2)/25)*AV172+(1-EXP(-LN(2)/25))/(LN(2)/25)*Calculateur!AQ173*Calculateur!AS173*VLOOKUP('Données projet'!$B$10,Paramètres!$A$1:$I$88,3,0)*0.475*44/12</f>
        <v>4.5641953737414021</v>
      </c>
      <c r="AW173" s="23">
        <f>EXP(-LN(2)/2)*AW172+(1-EXP(-LN(2)/2))/(LN(2)/2)*AQ173*AT173*VLOOKUP('Données projet'!$B$10,Paramètres!$A$1:$I$88,3,0)*0.475*44/12</f>
        <v>5.1939347587121904E-14</v>
      </c>
      <c r="AX173" s="23">
        <f t="shared" si="166"/>
        <v>36.089239059541605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-150</v>
      </c>
      <c r="BE173" s="14">
        <f>BD173*VLOOKUP('Données projet'!$B$11,Paramètres!$A$1:$I$88,3,0)*VLOOKUP('Données projet'!$B$11,Paramètres!$A$1:$I$88,5,0)</f>
        <v>-70.2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164.93326103756453</v>
      </c>
      <c r="BJ173" s="62">
        <f t="shared" si="146"/>
        <v>115.86489547584461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47.428903147404476</v>
      </c>
      <c r="BQ173" s="23">
        <f>EXP(-LN(2)/25)*BQ172+(1-EXP(-LN(2)/25))/(LN(2)/25)*Calculateur!BL173*Calculateur!BN173*VLOOKUP('Données projet'!$B$11,Paramètres!$A$1:$I$88,3,0)*0.475*44/12</f>
        <v>4.7388799119677101</v>
      </c>
      <c r="BR173" s="23">
        <f>EXP(-LN(2)/2)*BR172+(1-EXP(-LN(2)/2))/(LN(2)/2)*BL173*BO173*VLOOKUP('Données projet'!$B$11,Paramètres!$A$1:$I$88,3,0)*0.475*44/12</f>
        <v>8.9091641837192475E-10</v>
      </c>
      <c r="BS173" s="24">
        <f t="shared" si="169"/>
        <v>52.167783060263098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626.1623723937513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projet'!$B$9,Paramètres!$A$1:$I$88,3,0)*VLOOKUP('Données projet'!$B$9,Paramètres!$A$1:$I$88,5,0)</f>
        <v>-1.9065282685915009E-13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461.42631729930201</v>
      </c>
      <c r="T174" s="62">
        <f t="shared" si="142"/>
        <v>570.46734160592086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35.47964800645309</v>
      </c>
      <c r="AA174" s="23">
        <f>EXP(-LN(2)/25)*AA173+(1-EXP(-LN(2)/25))/(LN(2)/25)*Calculateur!V174*Calculateur!X174*VLOOKUP('Données projet'!$B$9,Paramètres!$A$1:$I$88,3,0)*0.475*44/12</f>
        <v>4.1644851732395525</v>
      </c>
      <c r="AB174" s="23">
        <f>EXP(-LN(2)/2)*AB173+(1-EXP(-LN(2)/2))/(LN(2)/2)*V174*Y174*VLOOKUP('Données projet'!$B$9,Paramètres!$A$1:$I$88,3,0)*0.475*44/12</f>
        <v>4.9654571376901574E-15</v>
      </c>
      <c r="AC174" s="24">
        <f t="shared" si="163"/>
        <v>39.644133179692652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2.8421709430404007E-13</v>
      </c>
      <c r="AJ174" s="14">
        <f>AI174*VLOOKUP('Données projet'!$B$10,Paramètres!$A$1:$I$88,3,0)*VLOOKUP('Données projet'!$B$10,Paramètres!$A$1:$I$88,5,0)</f>
        <v>1.7735146684572101E-13</v>
      </c>
      <c r="AK174" s="14">
        <f t="shared" si="164"/>
        <v>2.4924271921531257E-12</v>
      </c>
      <c r="AL174" s="22">
        <f t="shared" si="165"/>
        <v>4.6498644977563242E-12</v>
      </c>
      <c r="AM174" s="62">
        <f t="shared" si="113"/>
        <v>293.33333333333798</v>
      </c>
      <c r="AN174" s="62">
        <f ca="1">AVERAGE(OFFSET($AM$3,0,0,'Données projet'!$E$10+1,1))-AVERAGE(OFFSET($H$3,0,0,'Données projet'!$E$10+1,1))</f>
        <v>272.66985936980086</v>
      </c>
      <c r="AO174" s="62">
        <f t="shared" si="144"/>
        <v>320.12040114313697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30.906856807499615</v>
      </c>
      <c r="AV174" s="23">
        <f>EXP(-LN(2)/25)*AV173+(1-EXP(-LN(2)/25))/(LN(2)/25)*Calculateur!AQ174*Calculateur!AS174*VLOOKUP('Données projet'!$B$10,Paramètres!$A$1:$I$88,3,0)*0.475*44/12</f>
        <v>4.4393872112258403</v>
      </c>
      <c r="AW174" s="23">
        <f>EXP(-LN(2)/2)*AW173+(1-EXP(-LN(2)/2))/(LN(2)/2)*AQ174*AT174*VLOOKUP('Données projet'!$B$10,Paramètres!$A$1:$I$88,3,0)*0.475*44/12</f>
        <v>3.6726664889259043E-14</v>
      </c>
      <c r="AX174" s="23">
        <f t="shared" si="166"/>
        <v>35.346244018725493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-150</v>
      </c>
      <c r="BE174" s="14">
        <f>BD174*VLOOKUP('Données projet'!$B$11,Paramètres!$A$1:$I$88,3,0)*VLOOKUP('Données projet'!$B$11,Paramètres!$A$1:$I$88,5,0)</f>
        <v>-70.2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164.93326103756453</v>
      </c>
      <c r="BJ174" s="62">
        <f t="shared" si="146"/>
        <v>115.86489547584461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46.498851285458315</v>
      </c>
      <c r="BQ174" s="23">
        <f>EXP(-LN(2)/25)*BQ173+(1-EXP(-LN(2)/25))/(LN(2)/25)*Calculateur!BL174*Calculateur!BN174*VLOOKUP('Données projet'!$B$11,Paramètres!$A$1:$I$88,3,0)*0.475*44/12</f>
        <v>4.6092949915680892</v>
      </c>
      <c r="BR174" s="23">
        <f>EXP(-LN(2)/2)*BR173+(1-EXP(-LN(2)/2))/(LN(2)/2)*BL174*BO174*VLOOKUP('Données projet'!$B$11,Paramètres!$A$1:$I$88,3,0)*0.475*44/12</f>
        <v>6.2997304090121922E-10</v>
      </c>
      <c r="BS174" s="24">
        <f t="shared" si="169"/>
        <v>51.108146277656381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628.06233191238698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projet'!$B$9,Paramètres!$A$1:$I$88,3,0)*VLOOKUP('Données projet'!$B$9,Paramètres!$A$1:$I$88,5,0)</f>
        <v>-1.9065282685915009E-13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461.42631729930201</v>
      </c>
      <c r="T175" s="62">
        <f t="shared" si="142"/>
        <v>570.46734160592086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34.783913749495014</v>
      </c>
      <c r="AA175" s="23">
        <f>EXP(-LN(2)/25)*AA174+(1-EXP(-LN(2)/25))/(LN(2)/25)*Calculateur!V175*Calculateur!X175*VLOOKUP('Données projet'!$B$9,Paramètres!$A$1:$I$88,3,0)*0.475*44/12</f>
        <v>4.0506071071765595</v>
      </c>
      <c r="AB175" s="23">
        <f>EXP(-LN(2)/2)*AB174+(1-EXP(-LN(2)/2))/(LN(2)/2)*V175*Y175*VLOOKUP('Données projet'!$B$9,Paramètres!$A$1:$I$88,3,0)*0.475*44/12</f>
        <v>3.5111084137518551E-15</v>
      </c>
      <c r="AC175" s="24">
        <f t="shared" si="163"/>
        <v>38.834520856671574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2.8421709430404007E-13</v>
      </c>
      <c r="AJ175" s="14">
        <f>AI175*VLOOKUP('Données projet'!$B$10,Paramètres!$A$1:$I$88,3,0)*VLOOKUP('Données projet'!$B$10,Paramètres!$A$1:$I$88,5,0)</f>
        <v>1.7735146684572101E-13</v>
      </c>
      <c r="AK175" s="14">
        <f t="shared" si="164"/>
        <v>2.4924271921531257E-12</v>
      </c>
      <c r="AL175" s="22">
        <f t="shared" si="165"/>
        <v>4.6498644977563242E-12</v>
      </c>
      <c r="AM175" s="62">
        <f t="shared" si="113"/>
        <v>293.33333333333798</v>
      </c>
      <c r="AN175" s="62">
        <f ca="1">AVERAGE(OFFSET($AM$3,0,0,'Données projet'!$E$10+1,1))-AVERAGE(OFFSET($H$3,0,0,'Données projet'!$E$10+1,1))</f>
        <v>272.66985936980086</v>
      </c>
      <c r="AO175" s="62">
        <f t="shared" si="144"/>
        <v>320.12040114313697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30.300792196825785</v>
      </c>
      <c r="AV175" s="23">
        <f>EXP(-LN(2)/25)*AV174+(1-EXP(-LN(2)/25))/(LN(2)/25)*Calculateur!AQ175*Calculateur!AS175*VLOOKUP('Données projet'!$B$10,Paramètres!$A$1:$I$88,3,0)*0.475*44/12</f>
        <v>4.317991934477643</v>
      </c>
      <c r="AW175" s="23">
        <f>EXP(-LN(2)/2)*AW174+(1-EXP(-LN(2)/2))/(LN(2)/2)*AQ175*AT175*VLOOKUP('Données projet'!$B$10,Paramètres!$A$1:$I$88,3,0)*0.475*44/12</f>
        <v>2.5969673793560952E-14</v>
      </c>
      <c r="AX175" s="23">
        <f t="shared" si="166"/>
        <v>34.618784131303457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-150</v>
      </c>
      <c r="BE175" s="14">
        <f>BD175*VLOOKUP('Données projet'!$B$11,Paramètres!$A$1:$I$88,3,0)*VLOOKUP('Données projet'!$B$11,Paramètres!$A$1:$I$88,5,0)</f>
        <v>-70.2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164.93326103756453</v>
      </c>
      <c r="BJ175" s="62">
        <f t="shared" si="146"/>
        <v>115.86489547584461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45.587037173249293</v>
      </c>
      <c r="BQ175" s="23">
        <f>EXP(-LN(2)/25)*BQ174+(1-EXP(-LN(2)/25))/(LN(2)/25)*Calculateur!BL175*Calculateur!BN175*VLOOKUP('Données projet'!$B$11,Paramètres!$A$1:$I$88,3,0)*0.475*44/12</f>
        <v>4.4832535776313707</v>
      </c>
      <c r="BR175" s="23">
        <f>EXP(-LN(2)/2)*BR174+(1-EXP(-LN(2)/2))/(LN(2)/2)*BL175*BO175*VLOOKUP('Données projet'!$B$11,Paramètres!$A$1:$I$88,3,0)*0.475*44/12</f>
        <v>4.4545820918596238E-10</v>
      </c>
      <c r="BS175" s="24">
        <f t="shared" si="169"/>
        <v>50.070290751326127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629.96205379042158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projet'!$B$9,Paramètres!$A$1:$I$88,3,0)*VLOOKUP('Données projet'!$B$9,Paramètres!$A$1:$I$88,5,0)</f>
        <v>-1.9065282685915009E-13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461.42631729930201</v>
      </c>
      <c r="T176" s="62">
        <f t="shared" si="142"/>
        <v>570.46734160592086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34.101822416959891</v>
      </c>
      <c r="AA176" s="23">
        <f>EXP(-LN(2)/25)*AA175+(1-EXP(-LN(2)/25))/(LN(2)/25)*Calculateur!V176*Calculateur!X176*VLOOKUP('Données projet'!$B$9,Paramètres!$A$1:$I$88,3,0)*0.475*44/12</f>
        <v>3.9398430428186466</v>
      </c>
      <c r="AB176" s="23">
        <f>EXP(-LN(2)/2)*AB175+(1-EXP(-LN(2)/2))/(LN(2)/2)*V176*Y176*VLOOKUP('Données projet'!$B$9,Paramètres!$A$1:$I$88,3,0)*0.475*44/12</f>
        <v>2.4827285688450791E-15</v>
      </c>
      <c r="AC176" s="24">
        <f t="shared" si="163"/>
        <v>38.041665459778535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2.8421709430404007E-13</v>
      </c>
      <c r="AJ176" s="14">
        <f>AI176*VLOOKUP('Données projet'!$B$10,Paramètres!$A$1:$I$88,3,0)*VLOOKUP('Données projet'!$B$10,Paramètres!$A$1:$I$88,5,0)</f>
        <v>1.7735146684572101E-13</v>
      </c>
      <c r="AK176" s="14">
        <f t="shared" si="164"/>
        <v>2.4924271921531257E-12</v>
      </c>
      <c r="AL176" s="22">
        <f t="shared" si="165"/>
        <v>4.6498644977563242E-12</v>
      </c>
      <c r="AM176" s="62">
        <f t="shared" si="113"/>
        <v>293.33333333333798</v>
      </c>
      <c r="AN176" s="62">
        <f ca="1">AVERAGE(OFFSET($AM$3,0,0,'Données projet'!$E$10+1,1))-AVERAGE(OFFSET($H$3,0,0,'Données projet'!$E$10+1,1))</f>
        <v>272.66985936980086</v>
      </c>
      <c r="AO176" s="62">
        <f t="shared" si="144"/>
        <v>320.12040114313697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29.706612143504358</v>
      </c>
      <c r="AV176" s="23">
        <f>EXP(-LN(2)/25)*AV175+(1-EXP(-LN(2)/25))/(LN(2)/25)*Calculateur!AQ176*Calculateur!AS176*VLOOKUP('Données projet'!$B$10,Paramètres!$A$1:$I$88,3,0)*0.475*44/12</f>
        <v>4.1999162179560248</v>
      </c>
      <c r="AW176" s="23">
        <f>EXP(-LN(2)/2)*AW175+(1-EXP(-LN(2)/2))/(LN(2)/2)*AQ176*AT176*VLOOKUP('Données projet'!$B$10,Paramètres!$A$1:$I$88,3,0)*0.475*44/12</f>
        <v>1.8363332444629521E-14</v>
      </c>
      <c r="AX176" s="23">
        <f t="shared" si="166"/>
        <v>33.906528361460403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-150</v>
      </c>
      <c r="BE176" s="14">
        <f>BD176*VLOOKUP('Données projet'!$B$11,Paramètres!$A$1:$I$88,3,0)*VLOOKUP('Données projet'!$B$11,Paramètres!$A$1:$I$88,5,0)</f>
        <v>-70.2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164.93326103756453</v>
      </c>
      <c r="BJ176" s="62">
        <f t="shared" si="146"/>
        <v>115.86489547584461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44.693103179628999</v>
      </c>
      <c r="BQ176" s="23">
        <f>EXP(-LN(2)/25)*BQ175+(1-EXP(-LN(2)/25))/(LN(2)/25)*Calculateur!BL176*Calculateur!BN176*VLOOKUP('Données projet'!$B$11,Paramètres!$A$1:$I$88,3,0)*0.475*44/12</f>
        <v>4.3606587727869819</v>
      </c>
      <c r="BR176" s="23">
        <f>EXP(-LN(2)/2)*BR175+(1-EXP(-LN(2)/2))/(LN(2)/2)*BL176*BO176*VLOOKUP('Données projet'!$B$11,Paramètres!$A$1:$I$88,3,0)*0.475*44/12</f>
        <v>3.1498652045060961E-10</v>
      </c>
      <c r="BS176" s="24">
        <f t="shared" si="169"/>
        <v>49.053761952730966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631.86153956089356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projet'!$B$9,Paramètres!$A$1:$I$88,3,0)*VLOOKUP('Données projet'!$B$9,Paramètres!$A$1:$I$88,5,0)</f>
        <v>-1.9065282685915009E-13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461.42631729930201</v>
      </c>
      <c r="T177" s="62">
        <f t="shared" si="142"/>
        <v>570.46734160592086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33.433106479421149</v>
      </c>
      <c r="AA177" s="23">
        <f>EXP(-LN(2)/25)*AA176+(1-EXP(-LN(2)/25))/(LN(2)/25)*Calculateur!V177*Calculateur!X177*VLOOKUP('Données projet'!$B$9,Paramètres!$A$1:$I$88,3,0)*0.475*44/12</f>
        <v>3.8321078276254297</v>
      </c>
      <c r="AB177" s="23">
        <f>EXP(-LN(2)/2)*AB176+(1-EXP(-LN(2)/2))/(LN(2)/2)*V177*Y177*VLOOKUP('Données projet'!$B$9,Paramètres!$A$1:$I$88,3,0)*0.475*44/12</f>
        <v>1.7555542068759277E-15</v>
      </c>
      <c r="AC177" s="24">
        <f t="shared" si="163"/>
        <v>37.265214307046577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2.8421709430404007E-13</v>
      </c>
      <c r="AJ177" s="14">
        <f>AI177*VLOOKUP('Données projet'!$B$10,Paramètres!$A$1:$I$88,3,0)*VLOOKUP('Données projet'!$B$10,Paramètres!$A$1:$I$88,5,0)</f>
        <v>1.7735146684572101E-13</v>
      </c>
      <c r="AK177" s="14">
        <f t="shared" si="164"/>
        <v>2.4924271921531257E-12</v>
      </c>
      <c r="AL177" s="22">
        <f t="shared" si="165"/>
        <v>4.6498644977563242E-12</v>
      </c>
      <c r="AM177" s="62">
        <f t="shared" si="113"/>
        <v>293.33333333333798</v>
      </c>
      <c r="AN177" s="62">
        <f ca="1">AVERAGE(OFFSET($AM$3,0,0,'Données projet'!$E$10+1,1))-AVERAGE(OFFSET($H$3,0,0,'Données projet'!$E$10+1,1))</f>
        <v>272.66985936980086</v>
      </c>
      <c r="AO177" s="62">
        <f t="shared" si="144"/>
        <v>320.12040114313697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29.124083598614519</v>
      </c>
      <c r="AV177" s="23">
        <f>EXP(-LN(2)/25)*AV176+(1-EXP(-LN(2)/25))/(LN(2)/25)*Calculateur!AQ177*Calculateur!AS177*VLOOKUP('Données projet'!$B$10,Paramètres!$A$1:$I$88,3,0)*0.475*44/12</f>
        <v>4.0850692881120221</v>
      </c>
      <c r="AW177" s="23">
        <f>EXP(-LN(2)/2)*AW176+(1-EXP(-LN(2)/2))/(LN(2)/2)*AQ177*AT177*VLOOKUP('Données projet'!$B$10,Paramètres!$A$1:$I$88,3,0)*0.475*44/12</f>
        <v>1.2984836896780476E-14</v>
      </c>
      <c r="AX177" s="23">
        <f t="shared" si="166"/>
        <v>33.209152886726557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-150</v>
      </c>
      <c r="BE177" s="14">
        <f>BD177*VLOOKUP('Données projet'!$B$11,Paramètres!$A$1:$I$88,3,0)*VLOOKUP('Données projet'!$B$11,Paramètres!$A$1:$I$88,5,0)</f>
        <v>-70.2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164.93326103756453</v>
      </c>
      <c r="BJ177" s="62">
        <f t="shared" si="146"/>
        <v>115.86489547584461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43.816698686377705</v>
      </c>
      <c r="BQ177" s="23">
        <f>EXP(-LN(2)/25)*BQ176+(1-EXP(-LN(2)/25))/(LN(2)/25)*Calculateur!BL177*Calculateur!BN177*VLOOKUP('Données projet'!$B$11,Paramètres!$A$1:$I$88,3,0)*0.475*44/12</f>
        <v>4.2414163293280431</v>
      </c>
      <c r="BR177" s="23">
        <f>EXP(-LN(2)/2)*BR176+(1-EXP(-LN(2)/2))/(LN(2)/2)*BL177*BO177*VLOOKUP('Données projet'!$B$11,Paramètres!$A$1:$I$88,3,0)*0.475*44/12</f>
        <v>2.2272910459298119E-10</v>
      </c>
      <c r="BS177" s="24">
        <f t="shared" si="169"/>
        <v>48.058115015928479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633.76079073820119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projet'!$B$9,Paramètres!$A$1:$I$88,3,0)*VLOOKUP('Données projet'!$B$9,Paramètres!$A$1:$I$88,5,0)</f>
        <v>-1.9065282685915009E-13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461.42631729930201</v>
      </c>
      <c r="T178" s="62">
        <f t="shared" si="142"/>
        <v>570.46734160592086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32.777503653541089</v>
      </c>
      <c r="AA178" s="23">
        <f>EXP(-LN(2)/25)*AA177+(1-EXP(-LN(2)/25))/(LN(2)/25)*Calculateur!V178*Calculateur!X178*VLOOKUP('Données projet'!$B$9,Paramètres!$A$1:$I$88,3,0)*0.475*44/12</f>
        <v>3.7273186375572203</v>
      </c>
      <c r="AB178" s="23">
        <f>EXP(-LN(2)/2)*AB177+(1-EXP(-LN(2)/2))/(LN(2)/2)*V178*Y178*VLOOKUP('Données projet'!$B$9,Paramètres!$A$1:$I$88,3,0)*0.475*44/12</f>
        <v>1.2413642844225398E-15</v>
      </c>
      <c r="AC178" s="24">
        <f t="shared" si="163"/>
        <v>36.504822291098307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2.8421709430404007E-13</v>
      </c>
      <c r="AJ178" s="14">
        <f>AI178*VLOOKUP('Données projet'!$B$10,Paramètres!$A$1:$I$88,3,0)*VLOOKUP('Données projet'!$B$10,Paramètres!$A$1:$I$88,5,0)</f>
        <v>1.7735146684572101E-13</v>
      </c>
      <c r="AK178" s="14">
        <f t="shared" si="164"/>
        <v>2.4924271921531257E-12</v>
      </c>
      <c r="AL178" s="22">
        <f t="shared" si="165"/>
        <v>4.6498644977563242E-12</v>
      </c>
      <c r="AM178" s="62">
        <f t="shared" si="113"/>
        <v>293.33333333333798</v>
      </c>
      <c r="AN178" s="62">
        <f ca="1">AVERAGE(OFFSET($AM$3,0,0,'Données projet'!$E$10+1,1))-AVERAGE(OFFSET($H$3,0,0,'Données projet'!$E$10+1,1))</f>
        <v>272.66985936980086</v>
      </c>
      <c r="AO178" s="62">
        <f t="shared" si="144"/>
        <v>320.12040114313697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28.552978083182641</v>
      </c>
      <c r="AV178" s="23">
        <f>EXP(-LN(2)/25)*AV177+(1-EXP(-LN(2)/25))/(LN(2)/25)*Calculateur!AQ178*Calculateur!AS178*VLOOKUP('Données projet'!$B$10,Paramètres!$A$1:$I$88,3,0)*0.475*44/12</f>
        <v>3.9733628536041414</v>
      </c>
      <c r="AW178" s="23">
        <f>EXP(-LN(2)/2)*AW177+(1-EXP(-LN(2)/2))/(LN(2)/2)*AQ178*AT178*VLOOKUP('Données projet'!$B$10,Paramètres!$A$1:$I$88,3,0)*0.475*44/12</f>
        <v>9.1816662223147607E-15</v>
      </c>
      <c r="AX178" s="23">
        <f t="shared" si="166"/>
        <v>32.526340936786788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-150</v>
      </c>
      <c r="BE178" s="14">
        <f>BD178*VLOOKUP('Données projet'!$B$11,Paramètres!$A$1:$I$88,3,0)*VLOOKUP('Données projet'!$B$11,Paramètres!$A$1:$I$88,5,0)</f>
        <v>-70.2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164.93326103756453</v>
      </c>
      <c r="BJ178" s="62">
        <f t="shared" si="146"/>
        <v>115.86489547584461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42.957479950685112</v>
      </c>
      <c r="BQ178" s="23">
        <f>EXP(-LN(2)/25)*BQ177+(1-EXP(-LN(2)/25))/(LN(2)/25)*Calculateur!BL178*Calculateur!BN178*VLOOKUP('Données projet'!$B$11,Paramètres!$A$1:$I$88,3,0)*0.475*44/12</f>
        <v>4.1254345767561773</v>
      </c>
      <c r="BR178" s="23">
        <f>EXP(-LN(2)/2)*BR177+(1-EXP(-LN(2)/2))/(LN(2)/2)*BL178*BO178*VLOOKUP('Données projet'!$B$11,Paramètres!$A$1:$I$88,3,0)*0.475*44/12</f>
        <v>1.574932602253048E-10</v>
      </c>
      <c r="BS178" s="24">
        <f t="shared" si="169"/>
        <v>47.082914527598781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635.65980881843325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projet'!$B$9,Paramètres!$A$1:$I$88,3,0)*VLOOKUP('Données projet'!$B$9,Paramètres!$A$1:$I$88,5,0)</f>
        <v>-1.9065282685915009E-13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461.42631729930201</v>
      </c>
      <c r="T179" s="62">
        <f t="shared" si="142"/>
        <v>570.46734160592086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32.1347567991983</v>
      </c>
      <c r="AA179" s="23">
        <f>EXP(-LN(2)/25)*AA178+(1-EXP(-LN(2)/25))/(LN(2)/25)*Calculateur!V179*Calculateur!X179*VLOOKUP('Données projet'!$B$9,Paramètres!$A$1:$I$88,3,0)*0.475*44/12</f>
        <v>3.62539491340205</v>
      </c>
      <c r="AB179" s="23">
        <f>EXP(-LN(2)/2)*AB178+(1-EXP(-LN(2)/2))/(LN(2)/2)*V179*Y179*VLOOKUP('Données projet'!$B$9,Paramètres!$A$1:$I$88,3,0)*0.475*44/12</f>
        <v>8.7777710343796406E-16</v>
      </c>
      <c r="AC179" s="24">
        <f t="shared" si="163"/>
        <v>35.760151712600347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2.8421709430404007E-13</v>
      </c>
      <c r="AJ179" s="14">
        <f>AI179*VLOOKUP('Données projet'!$B$10,Paramètres!$A$1:$I$88,3,0)*VLOOKUP('Données projet'!$B$10,Paramètres!$A$1:$I$88,5,0)</f>
        <v>1.7735146684572101E-13</v>
      </c>
      <c r="AK179" s="14">
        <f t="shared" si="164"/>
        <v>2.4924271921531257E-12</v>
      </c>
      <c r="AL179" s="22">
        <f t="shared" si="165"/>
        <v>4.6498644977563242E-12</v>
      </c>
      <c r="AM179" s="62">
        <f t="shared" si="113"/>
        <v>293.33333333333798</v>
      </c>
      <c r="AN179" s="62">
        <f ca="1">AVERAGE(OFFSET($AM$3,0,0,'Données projet'!$E$10+1,1))-AVERAGE(OFFSET($H$3,0,0,'Données projet'!$E$10+1,1))</f>
        <v>272.66985936980086</v>
      </c>
      <c r="AO179" s="62">
        <f t="shared" si="144"/>
        <v>320.12040114313697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27.993071598568413</v>
      </c>
      <c r="AV179" s="23">
        <f>EXP(-LN(2)/25)*AV178+(1-EXP(-LN(2)/25))/(LN(2)/25)*Calculateur!AQ179*Calculateur!AS179*VLOOKUP('Données projet'!$B$10,Paramètres!$A$1:$I$88,3,0)*0.475*44/12</f>
        <v>3.8647110374222651</v>
      </c>
      <c r="AW179" s="23">
        <f>EXP(-LN(2)/2)*AW178+(1-EXP(-LN(2)/2))/(LN(2)/2)*AQ179*AT179*VLOOKUP('Données projet'!$B$10,Paramètres!$A$1:$I$88,3,0)*0.475*44/12</f>
        <v>6.492418448390238E-15</v>
      </c>
      <c r="AX179" s="23">
        <f t="shared" si="166"/>
        <v>31.857782635990684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-150</v>
      </c>
      <c r="BE179" s="14">
        <f>BD179*VLOOKUP('Données projet'!$B$11,Paramètres!$A$1:$I$88,3,0)*VLOOKUP('Données projet'!$B$11,Paramètres!$A$1:$I$88,5,0)</f>
        <v>-70.2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164.93326103756453</v>
      </c>
      <c r="BJ179" s="62">
        <f t="shared" si="146"/>
        <v>115.86489547584461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42.115109970327765</v>
      </c>
      <c r="BQ179" s="23">
        <f>EXP(-LN(2)/25)*BQ178+(1-EXP(-LN(2)/25))/(LN(2)/25)*Calculateur!BL179*Calculateur!BN179*VLOOKUP('Données projet'!$B$11,Paramètres!$A$1:$I$88,3,0)*0.475*44/12</f>
        <v>4.0126243513076041</v>
      </c>
      <c r="BR179" s="23">
        <f>EXP(-LN(2)/2)*BR178+(1-EXP(-LN(2)/2))/(LN(2)/2)*BL179*BO179*VLOOKUP('Données projet'!$B$11,Paramètres!$A$1:$I$88,3,0)*0.475*44/12</f>
        <v>1.1136455229649059E-10</v>
      </c>
      <c r="BS179" s="24">
        <f t="shared" si="169"/>
        <v>46.127734321746736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637.55859527969415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projet'!$B$9,Paramètres!$A$1:$I$88,3,0)*VLOOKUP('Données projet'!$B$9,Paramètres!$A$1:$I$88,5,0)</f>
        <v>-1.9065282685915009E-13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461.42631729930201</v>
      </c>
      <c r="T180" s="62">
        <f t="shared" si="142"/>
        <v>570.46734160592086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31.504613818632304</v>
      </c>
      <c r="AA180" s="23">
        <f>EXP(-LN(2)/25)*AA179+(1-EXP(-LN(2)/25))/(LN(2)/25)*Calculateur!V180*Calculateur!X180*VLOOKUP('Données projet'!$B$9,Paramètres!$A$1:$I$88,3,0)*0.475*44/12</f>
        <v>3.5262582988438385</v>
      </c>
      <c r="AB180" s="23">
        <f>EXP(-LN(2)/2)*AB179+(1-EXP(-LN(2)/2))/(LN(2)/2)*V180*Y180*VLOOKUP('Données projet'!$B$9,Paramètres!$A$1:$I$88,3,0)*0.475*44/12</f>
        <v>6.2068214221126998E-16</v>
      </c>
      <c r="AC180" s="24">
        <f t="shared" si="163"/>
        <v>35.030872117476143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2.8421709430404007E-13</v>
      </c>
      <c r="AJ180" s="14">
        <f>AI180*VLOOKUP('Données projet'!$B$10,Paramètres!$A$1:$I$88,3,0)*VLOOKUP('Données projet'!$B$10,Paramètres!$A$1:$I$88,5,0)</f>
        <v>1.7735146684572101E-13</v>
      </c>
      <c r="AK180" s="14">
        <f t="shared" si="164"/>
        <v>2.4924271921531257E-12</v>
      </c>
      <c r="AL180" s="22">
        <f t="shared" si="165"/>
        <v>4.6498644977563242E-12</v>
      </c>
      <c r="AM180" s="62">
        <f t="shared" si="113"/>
        <v>293.33333333333798</v>
      </c>
      <c r="AN180" s="62">
        <f ca="1">AVERAGE(OFFSET($AM$3,0,0,'Données projet'!$E$10+1,1))-AVERAGE(OFFSET($H$3,0,0,'Données projet'!$E$10+1,1))</f>
        <v>272.66985936980086</v>
      </c>
      <c r="AO180" s="62">
        <f t="shared" si="144"/>
        <v>320.12040114313697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27.444144538608235</v>
      </c>
      <c r="AV180" s="23">
        <f>EXP(-LN(2)/25)*AV179+(1-EXP(-LN(2)/25))/(LN(2)/25)*Calculateur!AQ180*Calculateur!AS180*VLOOKUP('Données projet'!$B$10,Paramètres!$A$1:$I$88,3,0)*0.475*44/12</f>
        <v>3.7590303108676326</v>
      </c>
      <c r="AW180" s="23">
        <f>EXP(-LN(2)/2)*AW179+(1-EXP(-LN(2)/2))/(LN(2)/2)*AQ180*AT180*VLOOKUP('Données projet'!$B$10,Paramètres!$A$1:$I$88,3,0)*0.475*44/12</f>
        <v>4.5908331111573804E-15</v>
      </c>
      <c r="AX180" s="23">
        <f t="shared" si="166"/>
        <v>31.203174849475872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-150</v>
      </c>
      <c r="BE180" s="14">
        <f>BD180*VLOOKUP('Données projet'!$B$11,Paramètres!$A$1:$I$88,3,0)*VLOOKUP('Données projet'!$B$11,Paramètres!$A$1:$I$88,5,0)</f>
        <v>-70.2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164.93326103756453</v>
      </c>
      <c r="BJ180" s="62">
        <f t="shared" si="146"/>
        <v>115.86489547584461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41.289258351490268</v>
      </c>
      <c r="BQ180" s="23">
        <f>EXP(-LN(2)/25)*BQ179+(1-EXP(-LN(2)/25))/(LN(2)/25)*Calculateur!BL180*Calculateur!BN180*VLOOKUP('Données projet'!$B$11,Paramètres!$A$1:$I$88,3,0)*0.475*44/12</f>
        <v>3.9028989274063539</v>
      </c>
      <c r="BR180" s="23">
        <f>EXP(-LN(2)/2)*BR179+(1-EXP(-LN(2)/2))/(LN(2)/2)*BL180*BO180*VLOOKUP('Données projet'!$B$11,Paramètres!$A$1:$I$88,3,0)*0.475*44/12</f>
        <v>7.8746630112652402E-11</v>
      </c>
      <c r="BS180" s="24">
        <f t="shared" si="169"/>
        <v>45.192157278975372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639.4571515824199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projet'!$B$9,Paramètres!$A$1:$I$88,3,0)*VLOOKUP('Données projet'!$B$9,Paramètres!$A$1:$I$88,5,0)</f>
        <v>-1.9065282685915009E-13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461.42631729930201</v>
      </c>
      <c r="T181" s="62">
        <f t="shared" si="142"/>
        <v>570.46734160592086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30.88682755756594</v>
      </c>
      <c r="AA181" s="23">
        <f>EXP(-LN(2)/25)*AA180+(1-EXP(-LN(2)/25))/(LN(2)/25)*Calculateur!V181*Calculateur!X181*VLOOKUP('Données projet'!$B$9,Paramètres!$A$1:$I$88,3,0)*0.475*44/12</f>
        <v>3.429832580224089</v>
      </c>
      <c r="AB181" s="23">
        <f>EXP(-LN(2)/2)*AB180+(1-EXP(-LN(2)/2))/(LN(2)/2)*V181*Y181*VLOOKUP('Données projet'!$B$9,Paramètres!$A$1:$I$88,3,0)*0.475*44/12</f>
        <v>4.3888855171898208E-16</v>
      </c>
      <c r="AC181" s="24">
        <f t="shared" si="163"/>
        <v>34.316660137790031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2.8421709430404007E-13</v>
      </c>
      <c r="AJ181" s="14">
        <f>AI181*VLOOKUP('Données projet'!$B$10,Paramètres!$A$1:$I$88,3,0)*VLOOKUP('Données projet'!$B$10,Paramètres!$A$1:$I$88,5,0)</f>
        <v>1.7735146684572101E-13</v>
      </c>
      <c r="AK181" s="14">
        <f t="shared" si="164"/>
        <v>2.4924271921531257E-12</v>
      </c>
      <c r="AL181" s="22">
        <f t="shared" si="165"/>
        <v>4.6498644977563242E-12</v>
      </c>
      <c r="AM181" s="62">
        <f t="shared" si="113"/>
        <v>293.33333333333798</v>
      </c>
      <c r="AN181" s="62">
        <f ca="1">AVERAGE(OFFSET($AM$3,0,0,'Données projet'!$E$10+1,1))-AVERAGE(OFFSET($H$3,0,0,'Données projet'!$E$10+1,1))</f>
        <v>272.66985936980086</v>
      </c>
      <c r="AO181" s="62">
        <f t="shared" si="144"/>
        <v>320.12040114313697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26.905981603481429</v>
      </c>
      <c r="AV181" s="23">
        <f>EXP(-LN(2)/25)*AV180+(1-EXP(-LN(2)/25))/(LN(2)/25)*Calculateur!AQ181*Calculateur!AS181*VLOOKUP('Données projet'!$B$10,Paramètres!$A$1:$I$88,3,0)*0.475*44/12</f>
        <v>3.6562394293381444</v>
      </c>
      <c r="AW181" s="23">
        <f>EXP(-LN(2)/2)*AW180+(1-EXP(-LN(2)/2))/(LN(2)/2)*AQ181*AT181*VLOOKUP('Données projet'!$B$10,Paramètres!$A$1:$I$88,3,0)*0.475*44/12</f>
        <v>3.246209224195119E-15</v>
      </c>
      <c r="AX181" s="23">
        <f t="shared" si="166"/>
        <v>30.562221032819576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-150</v>
      </c>
      <c r="BE181" s="14">
        <f>BD181*VLOOKUP('Données projet'!$B$11,Paramètres!$A$1:$I$88,3,0)*VLOOKUP('Données projet'!$B$11,Paramètres!$A$1:$I$88,5,0)</f>
        <v>-70.2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164.93326103756453</v>
      </c>
      <c r="BJ181" s="62">
        <f t="shared" si="146"/>
        <v>115.86489547584461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40.479601179178431</v>
      </c>
      <c r="BQ181" s="23">
        <f>EXP(-LN(2)/25)*BQ180+(1-EXP(-LN(2)/25))/(LN(2)/25)*Calculateur!BL181*Calculateur!BN181*VLOOKUP('Données projet'!$B$11,Paramètres!$A$1:$I$88,3,0)*0.475*44/12</f>
        <v>3.7961739509918928</v>
      </c>
      <c r="BR181" s="23">
        <f>EXP(-LN(2)/2)*BR180+(1-EXP(-LN(2)/2))/(LN(2)/2)*BL181*BO181*VLOOKUP('Données projet'!$B$11,Paramètres!$A$1:$I$88,3,0)*0.475*44/12</f>
        <v>5.5682276148245297E-11</v>
      </c>
      <c r="BS181" s="24">
        <f t="shared" si="169"/>
        <v>44.275775130226009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641.35547916968733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projet'!$B$9,Paramètres!$A$1:$I$88,3,0)*VLOOKUP('Données projet'!$B$9,Paramètres!$A$1:$I$88,5,0)</f>
        <v>-1.9065282685915009E-13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461.42631729930201</v>
      </c>
      <c r="T182" s="62">
        <f t="shared" si="142"/>
        <v>570.46734160592086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30.281155708266674</v>
      </c>
      <c r="AA182" s="23">
        <f>EXP(-LN(2)/25)*AA181+(1-EXP(-LN(2)/25))/(LN(2)/25)*Calculateur!V182*Calculateur!X182*VLOOKUP('Données projet'!$B$9,Paramètres!$A$1:$I$88,3,0)*0.475*44/12</f>
        <v>3.3360436279508048</v>
      </c>
      <c r="AB182" s="23">
        <f>EXP(-LN(2)/2)*AB181+(1-EXP(-LN(2)/2))/(LN(2)/2)*V182*Y182*VLOOKUP('Données projet'!$B$9,Paramètres!$A$1:$I$88,3,0)*0.475*44/12</f>
        <v>3.1034107110563504E-16</v>
      </c>
      <c r="AC182" s="24">
        <f t="shared" si="163"/>
        <v>33.617199336217482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2.8421709430404007E-13</v>
      </c>
      <c r="AJ182" s="14">
        <f>AI182*VLOOKUP('Données projet'!$B$10,Paramètres!$A$1:$I$88,3,0)*VLOOKUP('Données projet'!$B$10,Paramètres!$A$1:$I$88,5,0)</f>
        <v>1.7735146684572101E-13</v>
      </c>
      <c r="AK182" s="14">
        <f t="shared" si="164"/>
        <v>2.4924271921531257E-12</v>
      </c>
      <c r="AL182" s="22">
        <f t="shared" si="165"/>
        <v>4.6498644977563242E-12</v>
      </c>
      <c r="AM182" s="62">
        <f t="shared" si="113"/>
        <v>293.33333333333798</v>
      </c>
      <c r="AN182" s="62">
        <f ca="1">AVERAGE(OFFSET($AM$3,0,0,'Données projet'!$E$10+1,1))-AVERAGE(OFFSET($H$3,0,0,'Données projet'!$E$10+1,1))</f>
        <v>272.66985936980086</v>
      </c>
      <c r="AO182" s="62">
        <f t="shared" si="144"/>
        <v>320.12040114313697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26.37837171526548</v>
      </c>
      <c r="AV182" s="23">
        <f>EXP(-LN(2)/25)*AV181+(1-EXP(-LN(2)/25))/(LN(2)/25)*Calculateur!AQ182*Calculateur!AS182*VLOOKUP('Données projet'!$B$10,Paramètres!$A$1:$I$88,3,0)*0.475*44/12</f>
        <v>3.5562593698696179</v>
      </c>
      <c r="AW182" s="23">
        <f>EXP(-LN(2)/2)*AW181+(1-EXP(-LN(2)/2))/(LN(2)/2)*AQ182*AT182*VLOOKUP('Données projet'!$B$10,Paramètres!$A$1:$I$88,3,0)*0.475*44/12</f>
        <v>2.2954165555786902E-15</v>
      </c>
      <c r="AX182" s="23">
        <f t="shared" si="166"/>
        <v>29.934631085135102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-150</v>
      </c>
      <c r="BE182" s="14">
        <f>BD182*VLOOKUP('Données projet'!$B$11,Paramètres!$A$1:$I$88,3,0)*VLOOKUP('Données projet'!$B$11,Paramètres!$A$1:$I$88,5,0)</f>
        <v>-70.2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164.93326103756453</v>
      </c>
      <c r="BJ182" s="62">
        <f t="shared" si="146"/>
        <v>115.86489547584461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39.685820890173517</v>
      </c>
      <c r="BQ182" s="23">
        <f>EXP(-LN(2)/25)*BQ181+(1-EXP(-LN(2)/25))/(LN(2)/25)*Calculateur!BL182*Calculateur!BN182*VLOOKUP('Données projet'!$B$11,Paramètres!$A$1:$I$88,3,0)*0.475*44/12</f>
        <v>3.6923673746699075</v>
      </c>
      <c r="BR182" s="23">
        <f>EXP(-LN(2)/2)*BR181+(1-EXP(-LN(2)/2))/(LN(2)/2)*BL182*BO182*VLOOKUP('Données projet'!$B$11,Paramètres!$A$1:$I$88,3,0)*0.475*44/12</f>
        <v>3.9373315056326201E-11</v>
      </c>
      <c r="BS182" s="24">
        <f t="shared" si="169"/>
        <v>43.378188264882795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643.2535794675166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projet'!$B$9,Paramètres!$A$1:$I$88,3,0)*VLOOKUP('Données projet'!$B$9,Paramètres!$A$1:$I$88,5,0)</f>
        <v>-1.9065282685915009E-13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461.42631729930201</v>
      </c>
      <c r="T183" s="62">
        <f t="shared" si="142"/>
        <v>570.46734160592086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29.687360714508817</v>
      </c>
      <c r="AA183" s="23">
        <f>EXP(-LN(2)/25)*AA182+(1-EXP(-LN(2)/25))/(LN(2)/25)*Calculateur!V183*Calculateur!X183*VLOOKUP('Données projet'!$B$9,Paramètres!$A$1:$I$88,3,0)*0.475*44/12</f>
        <v>3.2448193395095801</v>
      </c>
      <c r="AB183" s="23">
        <f>EXP(-LN(2)/2)*AB182+(1-EXP(-LN(2)/2))/(LN(2)/2)*V183*Y183*VLOOKUP('Données projet'!$B$9,Paramètres!$A$1:$I$88,3,0)*0.475*44/12</f>
        <v>2.1944427585949107E-16</v>
      </c>
      <c r="AC183" s="24">
        <f t="shared" si="163"/>
        <v>32.932180054018396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2.8421709430404007E-13</v>
      </c>
      <c r="AJ183" s="14">
        <f>AI183*VLOOKUP('Données projet'!$B$10,Paramètres!$A$1:$I$88,3,0)*VLOOKUP('Données projet'!$B$10,Paramètres!$A$1:$I$88,5,0)</f>
        <v>1.7735146684572101E-13</v>
      </c>
      <c r="AK183" s="14">
        <f t="shared" si="164"/>
        <v>2.4924271921531257E-12</v>
      </c>
      <c r="AL183" s="22">
        <f t="shared" si="165"/>
        <v>4.6498644977563242E-12</v>
      </c>
      <c r="AM183" s="62">
        <f t="shared" si="113"/>
        <v>293.33333333333798</v>
      </c>
      <c r="AN183" s="62">
        <f ca="1">AVERAGE(OFFSET($AM$3,0,0,'Données projet'!$E$10+1,1))-AVERAGE(OFFSET($H$3,0,0,'Données projet'!$E$10+1,1))</f>
        <v>272.66985936980086</v>
      </c>
      <c r="AO183" s="62">
        <f t="shared" si="144"/>
        <v>320.12040114313697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25.861107935147192</v>
      </c>
      <c r="AV183" s="23">
        <f>EXP(-LN(2)/25)*AV182+(1-EXP(-LN(2)/25))/(LN(2)/25)*Calculateur!AQ183*Calculateur!AS183*VLOOKUP('Données projet'!$B$10,Paramètres!$A$1:$I$88,3,0)*0.475*44/12</f>
        <v>3.4590132703849807</v>
      </c>
      <c r="AW183" s="23">
        <f>EXP(-LN(2)/2)*AW182+(1-EXP(-LN(2)/2))/(LN(2)/2)*AQ183*AT183*VLOOKUP('Données projet'!$B$10,Paramètres!$A$1:$I$88,3,0)*0.475*44/12</f>
        <v>1.6231046120975595E-15</v>
      </c>
      <c r="AX183" s="23">
        <f t="shared" si="166"/>
        <v>29.320121205532175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-150</v>
      </c>
      <c r="BE183" s="14">
        <f>BD183*VLOOKUP('Données projet'!$B$11,Paramètres!$A$1:$I$88,3,0)*VLOOKUP('Données projet'!$B$11,Paramètres!$A$1:$I$88,5,0)</f>
        <v>-70.2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164.93326103756453</v>
      </c>
      <c r="BJ183" s="62">
        <f t="shared" si="146"/>
        <v>115.86489547584461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38.907606148477818</v>
      </c>
      <c r="BQ183" s="23">
        <f>EXP(-LN(2)/25)*BQ182+(1-EXP(-LN(2)/25))/(LN(2)/25)*Calculateur!BL183*Calculateur!BN183*VLOOKUP('Données projet'!$B$11,Paramètres!$A$1:$I$88,3,0)*0.475*44/12</f>
        <v>3.5913993946363978</v>
      </c>
      <c r="BR183" s="23">
        <f>EXP(-LN(2)/2)*BR182+(1-EXP(-LN(2)/2))/(LN(2)/2)*BL183*BO183*VLOOKUP('Données projet'!$B$11,Paramètres!$A$1:$I$88,3,0)*0.475*44/12</f>
        <v>2.7841138074122648E-11</v>
      </c>
      <c r="BS183" s="24">
        <f t="shared" si="169"/>
        <v>42.499005543142054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645.15145388516635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projet'!$B$9,Paramètres!$A$1:$I$88,3,0)*VLOOKUP('Données projet'!$B$9,Paramètres!$A$1:$I$88,5,0)</f>
        <v>-1.9065282685915009E-13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461.42631729930201</v>
      </c>
      <c r="T184" s="62">
        <f t="shared" si="142"/>
        <v>570.46734160592086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29.105209678399365</v>
      </c>
      <c r="AA184" s="23">
        <f>EXP(-LN(2)/25)*AA183+(1-EXP(-LN(2)/25))/(LN(2)/25)*Calculateur!V184*Calculateur!X184*VLOOKUP('Données projet'!$B$9,Paramètres!$A$1:$I$88,3,0)*0.475*44/12</f>
        <v>3.1560895840330576</v>
      </c>
      <c r="AB184" s="23">
        <f>EXP(-LN(2)/2)*AB183+(1-EXP(-LN(2)/2))/(LN(2)/2)*V184*Y184*VLOOKUP('Données projet'!$B$9,Paramètres!$A$1:$I$88,3,0)*0.475*44/12</f>
        <v>1.5517053555281754E-16</v>
      </c>
      <c r="AC184" s="24">
        <f t="shared" si="163"/>
        <v>32.261299262432424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2.8421709430404007E-13</v>
      </c>
      <c r="AJ184" s="14">
        <f>AI184*VLOOKUP('Données projet'!$B$10,Paramètres!$A$1:$I$88,3,0)*VLOOKUP('Données projet'!$B$10,Paramètres!$A$1:$I$88,5,0)</f>
        <v>1.7735146684572101E-13</v>
      </c>
      <c r="AK184" s="14">
        <f t="shared" si="164"/>
        <v>2.4924271921531257E-12</v>
      </c>
      <c r="AL184" s="22">
        <f t="shared" si="165"/>
        <v>4.6498644977563242E-12</v>
      </c>
      <c r="AM184" s="62">
        <f t="shared" si="113"/>
        <v>293.33333333333798</v>
      </c>
      <c r="AN184" s="62">
        <f ca="1">AVERAGE(OFFSET($AM$3,0,0,'Données projet'!$E$10+1,1))-AVERAGE(OFFSET($H$3,0,0,'Données projet'!$E$10+1,1))</f>
        <v>272.66985936980086</v>
      </c>
      <c r="AO184" s="62">
        <f t="shared" si="144"/>
        <v>320.12040114313697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25.353987382257269</v>
      </c>
      <c r="AV184" s="23">
        <f>EXP(-LN(2)/25)*AV183+(1-EXP(-LN(2)/25))/(LN(2)/25)*Calculateur!AQ184*Calculateur!AS184*VLOOKUP('Données projet'!$B$10,Paramètres!$A$1:$I$88,3,0)*0.475*44/12</f>
        <v>3.3644263706047011</v>
      </c>
      <c r="AW184" s="23">
        <f>EXP(-LN(2)/2)*AW183+(1-EXP(-LN(2)/2))/(LN(2)/2)*AQ184*AT184*VLOOKUP('Données projet'!$B$10,Paramètres!$A$1:$I$88,3,0)*0.475*44/12</f>
        <v>1.1477082777893451E-15</v>
      </c>
      <c r="AX184" s="23">
        <f t="shared" si="166"/>
        <v>28.71841375286197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-150</v>
      </c>
      <c r="BE184" s="14">
        <f>BD184*VLOOKUP('Données projet'!$B$11,Paramètres!$A$1:$I$88,3,0)*VLOOKUP('Données projet'!$B$11,Paramètres!$A$1:$I$88,5,0)</f>
        <v>-70.2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164.93326103756453</v>
      </c>
      <c r="BJ184" s="62">
        <f t="shared" si="146"/>
        <v>115.86489547584461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38.144651723202649</v>
      </c>
      <c r="BQ184" s="23">
        <f>EXP(-LN(2)/25)*BQ183+(1-EXP(-LN(2)/25))/(LN(2)/25)*Calculateur!BL184*Calculateur!BN184*VLOOKUP('Données projet'!$B$11,Paramètres!$A$1:$I$88,3,0)*0.475*44/12</f>
        <v>3.4931923893265795</v>
      </c>
      <c r="BR184" s="23">
        <f>EXP(-LN(2)/2)*BR183+(1-EXP(-LN(2)/2))/(LN(2)/2)*BL184*BO184*VLOOKUP('Données projet'!$B$11,Paramètres!$A$1:$I$88,3,0)*0.475*44/12</f>
        <v>1.9686657528163101E-11</v>
      </c>
      <c r="BS184" s="24">
        <f t="shared" si="169"/>
        <v>41.637844112548919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647.0491038154214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projet'!$B$9,Paramètres!$A$1:$I$88,3,0)*VLOOKUP('Données projet'!$B$9,Paramètres!$A$1:$I$88,5,0)</f>
        <v>-1.9065282685915009E-13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461.42631729930201</v>
      </c>
      <c r="T185" s="62">
        <f t="shared" si="142"/>
        <v>570.46734160592086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28.534474269030952</v>
      </c>
      <c r="AA185" s="23">
        <f>EXP(-LN(2)/25)*AA184+(1-EXP(-LN(2)/25))/(LN(2)/25)*Calculateur!V185*Calculateur!X185*VLOOKUP('Données projet'!$B$9,Paramètres!$A$1:$I$88,3,0)*0.475*44/12</f>
        <v>3.0697861483861359</v>
      </c>
      <c r="AB185" s="23">
        <f>EXP(-LN(2)/2)*AB184+(1-EXP(-LN(2)/2))/(LN(2)/2)*V185*Y185*VLOOKUP('Données projet'!$B$9,Paramètres!$A$1:$I$88,3,0)*0.475*44/12</f>
        <v>1.0972213792974556E-16</v>
      </c>
      <c r="AC185" s="24">
        <f t="shared" si="163"/>
        <v>31.604260417417088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2.8421709430404007E-13</v>
      </c>
      <c r="AJ185" s="14">
        <f>AI185*VLOOKUP('Données projet'!$B$10,Paramètres!$A$1:$I$88,3,0)*VLOOKUP('Données projet'!$B$10,Paramètres!$A$1:$I$88,5,0)</f>
        <v>1.7735146684572101E-13</v>
      </c>
      <c r="AK185" s="14">
        <f t="shared" si="164"/>
        <v>2.4924271921531257E-12</v>
      </c>
      <c r="AL185" s="22">
        <f t="shared" si="165"/>
        <v>4.6498644977563242E-12</v>
      </c>
      <c r="AM185" s="62">
        <f t="shared" si="113"/>
        <v>293.33333333333798</v>
      </c>
      <c r="AN185" s="62">
        <f ca="1">AVERAGE(OFFSET($AM$3,0,0,'Données projet'!$E$10+1,1))-AVERAGE(OFFSET($H$3,0,0,'Données projet'!$E$10+1,1))</f>
        <v>272.66985936980086</v>
      </c>
      <c r="AO185" s="62">
        <f t="shared" si="144"/>
        <v>320.12040114313697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24.856811154096523</v>
      </c>
      <c r="AV185" s="23">
        <f>EXP(-LN(2)/25)*AV184+(1-EXP(-LN(2)/25))/(LN(2)/25)*Calculateur!AQ185*Calculateur!AS185*VLOOKUP('Données projet'!$B$10,Paramètres!$A$1:$I$88,3,0)*0.475*44/12</f>
        <v>3.2724259545730221</v>
      </c>
      <c r="AW185" s="23">
        <f>EXP(-LN(2)/2)*AW184+(1-EXP(-LN(2)/2))/(LN(2)/2)*AQ185*AT185*VLOOKUP('Données projet'!$B$10,Paramètres!$A$1:$I$88,3,0)*0.475*44/12</f>
        <v>8.1155230604877975E-16</v>
      </c>
      <c r="AX185" s="23">
        <f t="shared" si="166"/>
        <v>28.129237108669546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-150</v>
      </c>
      <c r="BE185" s="14">
        <f>BD185*VLOOKUP('Données projet'!$B$11,Paramètres!$A$1:$I$88,3,0)*VLOOKUP('Données projet'!$B$11,Paramètres!$A$1:$I$88,5,0)</f>
        <v>-70.2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164.93326103756453</v>
      </c>
      <c r="BJ185" s="62">
        <f t="shared" si="146"/>
        <v>115.86489547584461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37.396658368850879</v>
      </c>
      <c r="BQ185" s="23">
        <f>EXP(-LN(2)/25)*BQ184+(1-EXP(-LN(2)/25))/(LN(2)/25)*Calculateur!BL185*Calculateur!BN185*VLOOKUP('Données projet'!$B$11,Paramètres!$A$1:$I$88,3,0)*0.475*44/12</f>
        <v>3.39767085974144</v>
      </c>
      <c r="BR185" s="23">
        <f>EXP(-LN(2)/2)*BR184+(1-EXP(-LN(2)/2))/(LN(2)/2)*BL185*BO185*VLOOKUP('Données projet'!$B$11,Paramètres!$A$1:$I$88,3,0)*0.475*44/12</f>
        <v>1.3920569037061324E-11</v>
      </c>
      <c r="BS185" s="24">
        <f t="shared" si="169"/>
        <v>40.794329228606237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648.94653063487635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projet'!$B$9,Paramètres!$A$1:$I$88,3,0)*VLOOKUP('Données projet'!$B$9,Paramètres!$A$1:$I$88,5,0)</f>
        <v>-1.9065282685915009E-13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461.42631729930201</v>
      </c>
      <c r="T186" s="62">
        <f t="shared" si="142"/>
        <v>570.46734160592086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27.974930632926025</v>
      </c>
      <c r="AA186" s="23">
        <f>EXP(-LN(2)/25)*AA185+(1-EXP(-LN(2)/25))/(LN(2)/25)*Calculateur!V186*Calculateur!X186*VLOOKUP('Données projet'!$B$9,Paramètres!$A$1:$I$88,3,0)*0.475*44/12</f>
        <v>2.9858426847254798</v>
      </c>
      <c r="AB186" s="23">
        <f>EXP(-LN(2)/2)*AB185+(1-EXP(-LN(2)/2))/(LN(2)/2)*V186*Y186*VLOOKUP('Données projet'!$B$9,Paramètres!$A$1:$I$88,3,0)*0.475*44/12</f>
        <v>7.7585267776408784E-17</v>
      </c>
      <c r="AC186" s="24">
        <f t="shared" si="163"/>
        <v>30.960773317651505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2.8421709430404007E-13</v>
      </c>
      <c r="AJ186" s="14">
        <f>AI186*VLOOKUP('Données projet'!$B$10,Paramètres!$A$1:$I$88,3,0)*VLOOKUP('Données projet'!$B$10,Paramètres!$A$1:$I$88,5,0)</f>
        <v>1.7735146684572101E-13</v>
      </c>
      <c r="AK186" s="14">
        <f t="shared" si="164"/>
        <v>2.4924271921531257E-12</v>
      </c>
      <c r="AL186" s="22">
        <f t="shared" si="165"/>
        <v>4.6498644977563242E-12</v>
      </c>
      <c r="AM186" s="62">
        <f t="shared" si="113"/>
        <v>293.33333333333798</v>
      </c>
      <c r="AN186" s="62">
        <f ca="1">AVERAGE(OFFSET($AM$3,0,0,'Données projet'!$E$10+1,1))-AVERAGE(OFFSET($H$3,0,0,'Données projet'!$E$10+1,1))</f>
        <v>272.66985936980086</v>
      </c>
      <c r="AO186" s="62">
        <f t="shared" si="144"/>
        <v>320.12040114313697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24.369384248522454</v>
      </c>
      <c r="AV186" s="23">
        <f>EXP(-LN(2)/25)*AV185+(1-EXP(-LN(2)/25))/(LN(2)/25)*Calculateur!AQ186*Calculateur!AS186*VLOOKUP('Données projet'!$B$10,Paramètres!$A$1:$I$88,3,0)*0.475*44/12</f>
        <v>3.1829412947558211</v>
      </c>
      <c r="AW186" s="23">
        <f>EXP(-LN(2)/2)*AW185+(1-EXP(-LN(2)/2))/(LN(2)/2)*AQ186*AT186*VLOOKUP('Données projet'!$B$10,Paramètres!$A$1:$I$88,3,0)*0.475*44/12</f>
        <v>5.7385413889467254E-16</v>
      </c>
      <c r="AX186" s="23">
        <f t="shared" si="166"/>
        <v>27.552325543278275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-150</v>
      </c>
      <c r="BE186" s="14">
        <f>BD186*VLOOKUP('Données projet'!$B$11,Paramètres!$A$1:$I$88,3,0)*VLOOKUP('Données projet'!$B$11,Paramètres!$A$1:$I$88,5,0)</f>
        <v>-70.2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164.93326103756453</v>
      </c>
      <c r="BJ186" s="62">
        <f t="shared" si="146"/>
        <v>115.86489547584461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36.663332707947049</v>
      </c>
      <c r="BQ186" s="23">
        <f>EXP(-LN(2)/25)*BQ185+(1-EXP(-LN(2)/25))/(LN(2)/25)*Calculateur!BL186*Calculateur!BN186*VLOOKUP('Données projet'!$B$11,Paramètres!$A$1:$I$88,3,0)*0.475*44/12</f>
        <v>3.3047613714060655</v>
      </c>
      <c r="BR186" s="23">
        <f>EXP(-LN(2)/2)*BR185+(1-EXP(-LN(2)/2))/(LN(2)/2)*BL186*BO186*VLOOKUP('Données projet'!$B$11,Paramètres!$A$1:$I$88,3,0)*0.475*44/12</f>
        <v>9.8433287640815503E-12</v>
      </c>
      <c r="BS186" s="24">
        <f t="shared" si="169"/>
        <v>39.968094079362956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650.84373570420951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projet'!$B$9,Paramètres!$A$1:$I$88,3,0)*VLOOKUP('Données projet'!$B$9,Paramètres!$A$1:$I$88,5,0)</f>
        <v>-1.9065282685915009E-13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461.42631729930201</v>
      </c>
      <c r="T187" s="62">
        <f t="shared" si="142"/>
        <v>570.46734160592086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27.426359306237199</v>
      </c>
      <c r="AA187" s="23">
        <f>EXP(-LN(2)/25)*AA186+(1-EXP(-LN(2)/25))/(LN(2)/25)*Calculateur!V187*Calculateur!X187*VLOOKUP('Données projet'!$B$9,Paramètres!$A$1:$I$88,3,0)*0.475*44/12</f>
        <v>2.9041946594930188</v>
      </c>
      <c r="AB187" s="23">
        <f>EXP(-LN(2)/2)*AB186+(1-EXP(-LN(2)/2))/(LN(2)/2)*V187*Y187*VLOOKUP('Données projet'!$B$9,Paramètres!$A$1:$I$88,3,0)*0.475*44/12</f>
        <v>5.4861068964872785E-17</v>
      </c>
      <c r="AC187" s="24">
        <f t="shared" si="163"/>
        <v>30.330553965730218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2.8421709430404007E-13</v>
      </c>
      <c r="AJ187" s="14">
        <f>AI187*VLOOKUP('Données projet'!$B$10,Paramètres!$A$1:$I$88,3,0)*VLOOKUP('Données projet'!$B$10,Paramètres!$A$1:$I$88,5,0)</f>
        <v>1.7735146684572101E-13</v>
      </c>
      <c r="AK187" s="14">
        <f t="shared" si="164"/>
        <v>2.4924271921531257E-12</v>
      </c>
      <c r="AL187" s="22">
        <f t="shared" si="165"/>
        <v>4.6498644977563242E-12</v>
      </c>
      <c r="AM187" s="62">
        <f t="shared" si="113"/>
        <v>293.33333333333798</v>
      </c>
      <c r="AN187" s="62">
        <f ca="1">AVERAGE(OFFSET($AM$3,0,0,'Données projet'!$E$10+1,1))-AVERAGE(OFFSET($H$3,0,0,'Données projet'!$E$10+1,1))</f>
        <v>272.66985936980086</v>
      </c>
      <c r="AO187" s="62">
        <f t="shared" si="144"/>
        <v>320.12040114313697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23.891515487265636</v>
      </c>
      <c r="AV187" s="23">
        <f>EXP(-LN(2)/25)*AV186+(1-EXP(-LN(2)/25))/(LN(2)/25)*Calculateur!AQ187*Calculateur!AS187*VLOOKUP('Données projet'!$B$10,Paramètres!$A$1:$I$88,3,0)*0.475*44/12</f>
        <v>3.0959035976671152</v>
      </c>
      <c r="AW187" s="23">
        <f>EXP(-LN(2)/2)*AW186+(1-EXP(-LN(2)/2))/(LN(2)/2)*AQ187*AT187*VLOOKUP('Données projet'!$B$10,Paramètres!$A$1:$I$88,3,0)*0.475*44/12</f>
        <v>4.0577615302438987E-16</v>
      </c>
      <c r="AX187" s="23">
        <f t="shared" si="166"/>
        <v>26.98741908493275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-150</v>
      </c>
      <c r="BE187" s="14">
        <f>BD187*VLOOKUP('Données projet'!$B$11,Paramètres!$A$1:$I$88,3,0)*VLOOKUP('Données projet'!$B$11,Paramètres!$A$1:$I$88,5,0)</f>
        <v>-70.2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164.93326103756453</v>
      </c>
      <c r="BJ187" s="62">
        <f t="shared" si="146"/>
        <v>115.86489547584461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35.94438711596905</v>
      </c>
      <c r="BQ187" s="23">
        <f>EXP(-LN(2)/25)*BQ186+(1-EXP(-LN(2)/25))/(LN(2)/25)*Calculateur!BL187*Calculateur!BN187*VLOOKUP('Données projet'!$B$11,Paramètres!$A$1:$I$88,3,0)*0.475*44/12</f>
        <v>3.2143924979151191</v>
      </c>
      <c r="BR187" s="23">
        <f>EXP(-LN(2)/2)*BR186+(1-EXP(-LN(2)/2))/(LN(2)/2)*BL187*BO187*VLOOKUP('Données projet'!$B$11,Paramètres!$A$1:$I$88,3,0)*0.475*44/12</f>
        <v>6.9602845185306621E-12</v>
      </c>
      <c r="BS187" s="24">
        <f t="shared" si="169"/>
        <v>39.158779613891134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652.74072036845359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projet'!$B$9,Paramètres!$A$1:$I$88,3,0)*VLOOKUP('Données projet'!$B$9,Paramètres!$A$1:$I$88,5,0)</f>
        <v>-1.9065282685915009E-13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461.42631729930201</v>
      </c>
      <c r="T188" s="62">
        <f t="shared" si="142"/>
        <v>570.46734160592086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26.888545128669268</v>
      </c>
      <c r="AA188" s="23">
        <f>EXP(-LN(2)/25)*AA187+(1-EXP(-LN(2)/25))/(LN(2)/25)*Calculateur!V188*Calculateur!X188*VLOOKUP('Données projet'!$B$9,Paramètres!$A$1:$I$88,3,0)*0.475*44/12</f>
        <v>2.8247793038042226</v>
      </c>
      <c r="AB188" s="23">
        <f>EXP(-LN(2)/2)*AB187+(1-EXP(-LN(2)/2))/(LN(2)/2)*V188*Y188*VLOOKUP('Données projet'!$B$9,Paramètres!$A$1:$I$88,3,0)*0.475*44/12</f>
        <v>3.8792633888204398E-17</v>
      </c>
      <c r="AC188" s="24">
        <f t="shared" si="163"/>
        <v>29.713324432473492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2.8421709430404007E-13</v>
      </c>
      <c r="AJ188" s="14">
        <f>AI188*VLOOKUP('Données projet'!$B$10,Paramètres!$A$1:$I$88,3,0)*VLOOKUP('Données projet'!$B$10,Paramètres!$A$1:$I$88,5,0)</f>
        <v>1.7735146684572101E-13</v>
      </c>
      <c r="AK188" s="14">
        <f t="shared" si="164"/>
        <v>2.4924271921531257E-12</v>
      </c>
      <c r="AL188" s="22">
        <f t="shared" si="165"/>
        <v>4.6498644977563242E-12</v>
      </c>
      <c r="AM188" s="62">
        <f t="shared" si="113"/>
        <v>293.33333333333798</v>
      </c>
      <c r="AN188" s="62">
        <f ca="1">AVERAGE(OFFSET($AM$3,0,0,'Données projet'!$E$10+1,1))-AVERAGE(OFFSET($H$3,0,0,'Données projet'!$E$10+1,1))</f>
        <v>272.66985936980086</v>
      </c>
      <c r="AO188" s="62">
        <f t="shared" si="144"/>
        <v>320.12040114313697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23.423017440945902</v>
      </c>
      <c r="AV188" s="23">
        <f>EXP(-LN(2)/25)*AV187+(1-EXP(-LN(2)/25))/(LN(2)/25)*Calculateur!AQ188*Calculateur!AS188*VLOOKUP('Données projet'!$B$10,Paramètres!$A$1:$I$88,3,0)*0.475*44/12</f>
        <v>3.0112459509824134</v>
      </c>
      <c r="AW188" s="23">
        <f>EXP(-LN(2)/2)*AW187+(1-EXP(-LN(2)/2))/(LN(2)/2)*AQ188*AT188*VLOOKUP('Données projet'!$B$10,Paramètres!$A$1:$I$88,3,0)*0.475*44/12</f>
        <v>2.8692706944733627E-16</v>
      </c>
      <c r="AX188" s="23">
        <f t="shared" si="166"/>
        <v>26.434263391928315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-150</v>
      </c>
      <c r="BE188" s="14">
        <f>BD188*VLOOKUP('Données projet'!$B$11,Paramètres!$A$1:$I$88,3,0)*VLOOKUP('Données projet'!$B$11,Paramètres!$A$1:$I$88,5,0)</f>
        <v>-70.2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164.93326103756453</v>
      </c>
      <c r="BJ188" s="62">
        <f t="shared" si="146"/>
        <v>115.86489547584461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35.239539608536234</v>
      </c>
      <c r="BQ188" s="23">
        <f>EXP(-LN(2)/25)*BQ187+(1-EXP(-LN(2)/25))/(LN(2)/25)*Calculateur!BL188*Calculateur!BN188*VLOOKUP('Données projet'!$B$11,Paramètres!$A$1:$I$88,3,0)*0.475*44/12</f>
        <v>3.1264947660220752</v>
      </c>
      <c r="BR188" s="23">
        <f>EXP(-LN(2)/2)*BR187+(1-EXP(-LN(2)/2))/(LN(2)/2)*BL188*BO188*VLOOKUP('Données projet'!$B$11,Paramètres!$A$1:$I$88,3,0)*0.475*44/12</f>
        <v>4.9216643820407751E-12</v>
      </c>
      <c r="BS188" s="24">
        <f t="shared" si="169"/>
        <v>38.366034374563235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654.63748595725838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projet'!$B$9,Paramètres!$A$1:$I$88,3,0)*VLOOKUP('Données projet'!$B$9,Paramètres!$A$1:$I$88,5,0)</f>
        <v>-1.9065282685915009E-13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461.42631729930201</v>
      </c>
      <c r="T189" s="62">
        <f t="shared" si="142"/>
        <v>570.46734160592086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26.361277159089187</v>
      </c>
      <c r="AA189" s="23">
        <f>EXP(-LN(2)/25)*AA188+(1-EXP(-LN(2)/25))/(LN(2)/25)*Calculateur!V189*Calculateur!X189*VLOOKUP('Données projet'!$B$9,Paramètres!$A$1:$I$88,3,0)*0.475*44/12</f>
        <v>2.7475355651930085</v>
      </c>
      <c r="AB189" s="23">
        <f>EXP(-LN(2)/2)*AB188+(1-EXP(-LN(2)/2))/(LN(2)/2)*V189*Y189*VLOOKUP('Données projet'!$B$9,Paramètres!$A$1:$I$88,3,0)*0.475*44/12</f>
        <v>2.7430534482436399E-17</v>
      </c>
      <c r="AC189" s="24">
        <f t="shared" si="163"/>
        <v>29.108812724282195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2.8421709430404007E-13</v>
      </c>
      <c r="AJ189" s="14">
        <f>AI189*VLOOKUP('Données projet'!$B$10,Paramètres!$A$1:$I$88,3,0)*VLOOKUP('Données projet'!$B$10,Paramètres!$A$1:$I$88,5,0)</f>
        <v>1.7735146684572101E-13</v>
      </c>
      <c r="AK189" s="14">
        <f t="shared" si="164"/>
        <v>2.4924271921531257E-12</v>
      </c>
      <c r="AL189" s="22">
        <f t="shared" si="165"/>
        <v>4.6498644977563242E-12</v>
      </c>
      <c r="AM189" s="62">
        <f t="shared" si="113"/>
        <v>293.33333333333798</v>
      </c>
      <c r="AN189" s="62">
        <f ca="1">AVERAGE(OFFSET($AM$3,0,0,'Données projet'!$E$10+1,1))-AVERAGE(OFFSET($H$3,0,0,'Données projet'!$E$10+1,1))</f>
        <v>272.66985936980086</v>
      </c>
      <c r="AO189" s="62">
        <f t="shared" si="144"/>
        <v>320.12040114313697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22.963706355558905</v>
      </c>
      <c r="AV189" s="23">
        <f>EXP(-LN(2)/25)*AV188+(1-EXP(-LN(2)/25))/(LN(2)/25)*Calculateur!AQ189*Calculateur!AS189*VLOOKUP('Données projet'!$B$10,Paramètres!$A$1:$I$88,3,0)*0.475*44/12</f>
        <v>2.9289032720982573</v>
      </c>
      <c r="AW189" s="23">
        <f>EXP(-LN(2)/2)*AW188+(1-EXP(-LN(2)/2))/(LN(2)/2)*AQ189*AT189*VLOOKUP('Données projet'!$B$10,Paramètres!$A$1:$I$88,3,0)*0.475*44/12</f>
        <v>2.0288807651219494E-16</v>
      </c>
      <c r="AX189" s="23">
        <f t="shared" si="166"/>
        <v>25.892609627657162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-150</v>
      </c>
      <c r="BE189" s="14">
        <f>BD189*VLOOKUP('Données projet'!$B$11,Paramètres!$A$1:$I$88,3,0)*VLOOKUP('Données projet'!$B$11,Paramètres!$A$1:$I$88,5,0)</f>
        <v>-70.2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164.93326103756453</v>
      </c>
      <c r="BJ189" s="62">
        <f t="shared" si="146"/>
        <v>115.86489547584461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34.548513730809645</v>
      </c>
      <c r="BQ189" s="23">
        <f>EXP(-LN(2)/25)*BQ188+(1-EXP(-LN(2)/25))/(LN(2)/25)*Calculateur!BL189*Calculateur!BN189*VLOOKUP('Données projet'!$B$11,Paramètres!$A$1:$I$88,3,0)*0.475*44/12</f>
        <v>3.0410006022299876</v>
      </c>
      <c r="BR189" s="23">
        <f>EXP(-LN(2)/2)*BR188+(1-EXP(-LN(2)/2))/(LN(2)/2)*BL189*BO189*VLOOKUP('Données projet'!$B$11,Paramètres!$A$1:$I$88,3,0)*0.475*44/12</f>
        <v>3.4801422592653311E-12</v>
      </c>
      <c r="BS189" s="24">
        <f t="shared" si="169"/>
        <v>37.589514333043113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656.53403378514918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projet'!$B$9,Paramètres!$A$1:$I$88,3,0)*VLOOKUP('Données projet'!$B$9,Paramètres!$A$1:$I$88,5,0)</f>
        <v>-1.9065282685915009E-13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461.42631729930201</v>
      </c>
      <c r="T190" s="62">
        <f t="shared" si="142"/>
        <v>570.46734160592086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25.844348592790865</v>
      </c>
      <c r="AA190" s="23">
        <f>EXP(-LN(2)/25)*AA189+(1-EXP(-LN(2)/25))/(LN(2)/25)*Calculateur!V190*Calculateur!X190*VLOOKUP('Données projet'!$B$9,Paramètres!$A$1:$I$88,3,0)*0.475*44/12</f>
        <v>2.6724040606761896</v>
      </c>
      <c r="AB190" s="23">
        <f>EXP(-LN(2)/2)*AB189+(1-EXP(-LN(2)/2))/(LN(2)/2)*V190*Y190*VLOOKUP('Données projet'!$B$9,Paramètres!$A$1:$I$88,3,0)*0.475*44/12</f>
        <v>1.9396316944102202E-17</v>
      </c>
      <c r="AC190" s="24">
        <f t="shared" si="163"/>
        <v>28.516752653467055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2.8421709430404007E-13</v>
      </c>
      <c r="AJ190" s="14">
        <f>AI190*VLOOKUP('Données projet'!$B$10,Paramètres!$A$1:$I$88,3,0)*VLOOKUP('Données projet'!$B$10,Paramètres!$A$1:$I$88,5,0)</f>
        <v>1.7735146684572101E-13</v>
      </c>
      <c r="AK190" s="14">
        <f t="shared" si="164"/>
        <v>2.4924271921531257E-12</v>
      </c>
      <c r="AL190" s="22">
        <f t="shared" si="165"/>
        <v>4.6498644977563242E-12</v>
      </c>
      <c r="AM190" s="62">
        <f t="shared" si="113"/>
        <v>293.33333333333798</v>
      </c>
      <c r="AN190" s="62">
        <f ca="1">AVERAGE(OFFSET($AM$3,0,0,'Données projet'!$E$10+1,1))-AVERAGE(OFFSET($H$3,0,0,'Données projet'!$E$10+1,1))</f>
        <v>272.66985936980086</v>
      </c>
      <c r="AO190" s="62">
        <f t="shared" si="144"/>
        <v>320.12040114313697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22.513402080404248</v>
      </c>
      <c r="AV190" s="23">
        <f>EXP(-LN(2)/25)*AV189+(1-EXP(-LN(2)/25))/(LN(2)/25)*Calculateur!AQ190*Calculateur!AS190*VLOOKUP('Données projet'!$B$10,Paramètres!$A$1:$I$88,3,0)*0.475*44/12</f>
        <v>2.8488122580984014</v>
      </c>
      <c r="AW190" s="23">
        <f>EXP(-LN(2)/2)*AW189+(1-EXP(-LN(2)/2))/(LN(2)/2)*AQ190*AT190*VLOOKUP('Données projet'!$B$10,Paramètres!$A$1:$I$88,3,0)*0.475*44/12</f>
        <v>1.4346353472366814E-16</v>
      </c>
      <c r="AX190" s="23">
        <f t="shared" si="166"/>
        <v>25.36221433850265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-150</v>
      </c>
      <c r="BE190" s="14">
        <f>BD190*VLOOKUP('Données projet'!$B$11,Paramètres!$A$1:$I$88,3,0)*VLOOKUP('Données projet'!$B$11,Paramètres!$A$1:$I$88,5,0)</f>
        <v>-70.2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164.93326103756453</v>
      </c>
      <c r="BJ190" s="62">
        <f t="shared" si="146"/>
        <v>115.86489547584461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33.871038449061103</v>
      </c>
      <c r="BQ190" s="23">
        <f>EXP(-LN(2)/25)*BQ189+(1-EXP(-LN(2)/25))/(LN(2)/25)*Calculateur!BL190*Calculateur!BN190*VLOOKUP('Données projet'!$B$11,Paramètres!$A$1:$I$88,3,0)*0.475*44/12</f>
        <v>2.9578442808427372</v>
      </c>
      <c r="BR190" s="23">
        <f>EXP(-LN(2)/2)*BR189+(1-EXP(-LN(2)/2))/(LN(2)/2)*BL190*BO190*VLOOKUP('Données projet'!$B$11,Paramètres!$A$1:$I$88,3,0)*0.475*44/12</f>
        <v>2.4608321910203876E-12</v>
      </c>
      <c r="BS190" s="24">
        <f t="shared" si="169"/>
        <v>36.828882729906297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658.43036515177823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projet'!$B$9,Paramètres!$A$1:$I$88,3,0)*VLOOKUP('Données projet'!$B$9,Paramètres!$A$1:$I$88,5,0)</f>
        <v>-1.9065282685915009E-13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461.42631729930201</v>
      </c>
      <c r="T191" s="62">
        <f t="shared" si="142"/>
        <v>570.46734160592086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25.337556680382363</v>
      </c>
      <c r="AA191" s="23">
        <f>EXP(-LN(2)/25)*AA190+(1-EXP(-LN(2)/25))/(LN(2)/25)*Calculateur!V191*Calculateur!X191*VLOOKUP('Données projet'!$B$9,Paramètres!$A$1:$I$88,3,0)*0.475*44/12</f>
        <v>2.5993270311013776</v>
      </c>
      <c r="AB191" s="23">
        <f>EXP(-LN(2)/2)*AB190+(1-EXP(-LN(2)/2))/(LN(2)/2)*V191*Y191*VLOOKUP('Données projet'!$B$9,Paramètres!$A$1:$I$88,3,0)*0.475*44/12</f>
        <v>1.3715267241218201E-17</v>
      </c>
      <c r="AC191" s="24">
        <f t="shared" si="163"/>
        <v>27.936883711483741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2.8421709430404007E-13</v>
      </c>
      <c r="AJ191" s="14">
        <f>AI191*VLOOKUP('Données projet'!$B$10,Paramètres!$A$1:$I$88,3,0)*VLOOKUP('Données projet'!$B$10,Paramètres!$A$1:$I$88,5,0)</f>
        <v>1.7735146684572101E-13</v>
      </c>
      <c r="AK191" s="14">
        <f t="shared" si="164"/>
        <v>2.4924271921531257E-12</v>
      </c>
      <c r="AL191" s="22">
        <f t="shared" si="165"/>
        <v>4.6498644977563242E-12</v>
      </c>
      <c r="AM191" s="62">
        <f t="shared" si="113"/>
        <v>293.33333333333798</v>
      </c>
      <c r="AN191" s="62">
        <f ca="1">AVERAGE(OFFSET($AM$3,0,0,'Données projet'!$E$10+1,1))-AVERAGE(OFFSET($H$3,0,0,'Données projet'!$E$10+1,1))</f>
        <v>272.66985936980086</v>
      </c>
      <c r="AO191" s="62">
        <f t="shared" si="144"/>
        <v>320.12040114313697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22.071927997426886</v>
      </c>
      <c r="AV191" s="23">
        <f>EXP(-LN(2)/25)*AV190+(1-EXP(-LN(2)/25))/(LN(2)/25)*Calculateur!AQ191*Calculateur!AS191*VLOOKUP('Données projet'!$B$10,Paramètres!$A$1:$I$88,3,0)*0.475*44/12</f>
        <v>2.7709113370881751</v>
      </c>
      <c r="AW191" s="23">
        <f>EXP(-LN(2)/2)*AW190+(1-EXP(-LN(2)/2))/(LN(2)/2)*AQ191*AT191*VLOOKUP('Données projet'!$B$10,Paramètres!$A$1:$I$88,3,0)*0.475*44/12</f>
        <v>1.0144403825609747E-16</v>
      </c>
      <c r="AX191" s="23">
        <f t="shared" si="166"/>
        <v>24.842839334515062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-150</v>
      </c>
      <c r="BE191" s="14">
        <f>BD191*VLOOKUP('Données projet'!$B$11,Paramètres!$A$1:$I$88,3,0)*VLOOKUP('Données projet'!$B$11,Paramètres!$A$1:$I$88,5,0)</f>
        <v>-70.2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164.93326103756453</v>
      </c>
      <c r="BJ191" s="62">
        <f t="shared" si="146"/>
        <v>115.86489547584461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33.206848044368535</v>
      </c>
      <c r="BQ191" s="23">
        <f>EXP(-LN(2)/25)*BQ190+(1-EXP(-LN(2)/25))/(LN(2)/25)*Calculateur!BL191*Calculateur!BN191*VLOOKUP('Données projet'!$B$11,Paramètres!$A$1:$I$88,3,0)*0.475*44/12</f>
        <v>2.8769618734368221</v>
      </c>
      <c r="BR191" s="23">
        <f>EXP(-LN(2)/2)*BR190+(1-EXP(-LN(2)/2))/(LN(2)/2)*BL191*BO191*VLOOKUP('Données projet'!$B$11,Paramètres!$A$1:$I$88,3,0)*0.475*44/12</f>
        <v>1.7400711296326655E-12</v>
      </c>
      <c r="BS191" s="24">
        <f t="shared" si="169"/>
        <v>36.083809917807095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660.32648134217106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projet'!$B$9,Paramètres!$A$1:$I$88,3,0)*VLOOKUP('Données projet'!$B$9,Paramètres!$A$1:$I$88,5,0)</f>
        <v>-1.9065282685915009E-13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461.42631729930201</v>
      </c>
      <c r="T192" s="62">
        <f t="shared" si="142"/>
        <v>570.46734160592086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24.840702648263647</v>
      </c>
      <c r="AA192" s="23">
        <f>EXP(-LN(2)/25)*AA191+(1-EXP(-LN(2)/25))/(LN(2)/25)*Calculateur!V192*Calculateur!X192*VLOOKUP('Données projet'!$B$9,Paramètres!$A$1:$I$88,3,0)*0.475*44/12</f>
        <v>2.5282482967432429</v>
      </c>
      <c r="AB192" s="23">
        <f>EXP(-LN(2)/2)*AB191+(1-EXP(-LN(2)/2))/(LN(2)/2)*V192*Y192*VLOOKUP('Données projet'!$B$9,Paramètres!$A$1:$I$88,3,0)*0.475*44/12</f>
        <v>9.6981584720511026E-18</v>
      </c>
      <c r="AC192" s="24">
        <f t="shared" si="163"/>
        <v>27.36895094500689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2.8421709430404007E-13</v>
      </c>
      <c r="AJ192" s="14">
        <f>AI192*VLOOKUP('Données projet'!$B$10,Paramètres!$A$1:$I$88,3,0)*VLOOKUP('Données projet'!$B$10,Paramètres!$A$1:$I$88,5,0)</f>
        <v>1.7735146684572101E-13</v>
      </c>
      <c r="AK192" s="14">
        <f t="shared" si="164"/>
        <v>2.4924271921531257E-12</v>
      </c>
      <c r="AL192" s="22">
        <f t="shared" si="165"/>
        <v>4.6498644977563242E-12</v>
      </c>
      <c r="AM192" s="62">
        <f t="shared" si="113"/>
        <v>293.33333333333798</v>
      </c>
      <c r="AN192" s="62">
        <f ca="1">AVERAGE(OFFSET($AM$3,0,0,'Données projet'!$E$10+1,1))-AVERAGE(OFFSET($H$3,0,0,'Données projet'!$E$10+1,1))</f>
        <v>272.66985936980086</v>
      </c>
      <c r="AO192" s="62">
        <f t="shared" si="144"/>
        <v>320.12040114313697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21.639110951944108</v>
      </c>
      <c r="AV192" s="23">
        <f>EXP(-LN(2)/25)*AV191+(1-EXP(-LN(2)/25))/(LN(2)/25)*Calculateur!AQ192*Calculateur!AS192*VLOOKUP('Données projet'!$B$10,Paramètres!$A$1:$I$88,3,0)*0.475*44/12</f>
        <v>2.6951406208596045</v>
      </c>
      <c r="AW192" s="23">
        <f>EXP(-LN(2)/2)*AW191+(1-EXP(-LN(2)/2))/(LN(2)/2)*AQ192*AT192*VLOOKUP('Données projet'!$B$10,Paramètres!$A$1:$I$88,3,0)*0.475*44/12</f>
        <v>7.1731767361834068E-17</v>
      </c>
      <c r="AX192" s="23">
        <f t="shared" si="166"/>
        <v>24.334251572803712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-150</v>
      </c>
      <c r="BE192" s="14">
        <f>BD192*VLOOKUP('Données projet'!$B$11,Paramètres!$A$1:$I$88,3,0)*VLOOKUP('Données projet'!$B$11,Paramètres!$A$1:$I$88,5,0)</f>
        <v>-70.2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164.93326103756453</v>
      </c>
      <c r="BJ192" s="62">
        <f t="shared" si="146"/>
        <v>115.86489547584461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32.555682008395841</v>
      </c>
      <c r="BQ192" s="23">
        <f>EXP(-LN(2)/25)*BQ191+(1-EXP(-LN(2)/25))/(LN(2)/25)*Calculateur!BL192*Calculateur!BN192*VLOOKUP('Données projet'!$B$11,Paramètres!$A$1:$I$88,3,0)*0.475*44/12</f>
        <v>2.7982911997148427</v>
      </c>
      <c r="BR192" s="23">
        <f>EXP(-LN(2)/2)*BR191+(1-EXP(-LN(2)/2))/(LN(2)/2)*BL192*BO192*VLOOKUP('Données projet'!$B$11,Paramètres!$A$1:$I$88,3,0)*0.475*44/12</f>
        <v>1.2304160955101938E-12</v>
      </c>
      <c r="BS192" s="24">
        <f t="shared" si="169"/>
        <v>35.353973208111917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662.22238362696817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projet'!$B$9,Paramètres!$A$1:$I$88,3,0)*VLOOKUP('Données projet'!$B$9,Paramètres!$A$1:$I$88,5,0)</f>
        <v>-1.9065282685915009E-13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461.42631729930201</v>
      </c>
      <c r="T193" s="62">
        <f t="shared" si="142"/>
        <v>570.46734160592086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24.353591620663742</v>
      </c>
      <c r="AA193" s="23">
        <f>EXP(-LN(2)/25)*AA192+(1-EXP(-LN(2)/25))/(LN(2)/25)*Calculateur!V193*Calculateur!X193*VLOOKUP('Données projet'!$B$9,Paramètres!$A$1:$I$88,3,0)*0.475*44/12</f>
        <v>2.4591132141139993</v>
      </c>
      <c r="AB193" s="23">
        <f>EXP(-LN(2)/2)*AB192+(1-EXP(-LN(2)/2))/(LN(2)/2)*V193*Y193*VLOOKUP('Données projet'!$B$9,Paramètres!$A$1:$I$88,3,0)*0.475*44/12</f>
        <v>6.8576336206091012E-18</v>
      </c>
      <c r="AC193" s="24">
        <f t="shared" si="163"/>
        <v>26.81270483477774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2.8421709430404007E-13</v>
      </c>
      <c r="AJ193" s="14">
        <f>AI193*VLOOKUP('Données projet'!$B$10,Paramètres!$A$1:$I$88,3,0)*VLOOKUP('Données projet'!$B$10,Paramètres!$A$1:$I$88,5,0)</f>
        <v>1.7735146684572101E-13</v>
      </c>
      <c r="AK193" s="14">
        <f t="shared" si="164"/>
        <v>2.4924271921531257E-12</v>
      </c>
      <c r="AL193" s="22">
        <f t="shared" si="165"/>
        <v>4.6498644977563242E-12</v>
      </c>
      <c r="AM193" s="62">
        <f t="shared" si="113"/>
        <v>293.33333333333798</v>
      </c>
      <c r="AN193" s="62">
        <f ca="1">AVERAGE(OFFSET($AM$3,0,0,'Données projet'!$E$10+1,1))-AVERAGE(OFFSET($H$3,0,0,'Données projet'!$E$10+1,1))</f>
        <v>272.66985936980086</v>
      </c>
      <c r="AO193" s="62">
        <f t="shared" si="144"/>
        <v>320.12040114313697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21.214781184730917</v>
      </c>
      <c r="AV193" s="23">
        <f>EXP(-LN(2)/25)*AV192+(1-EXP(-LN(2)/25))/(LN(2)/25)*Calculateur!AQ193*Calculateur!AS193*VLOOKUP('Données projet'!$B$10,Paramètres!$A$1:$I$88,3,0)*0.475*44/12</f>
        <v>2.621441858850913</v>
      </c>
      <c r="AW193" s="23">
        <f>EXP(-LN(2)/2)*AW192+(1-EXP(-LN(2)/2))/(LN(2)/2)*AQ193*AT193*VLOOKUP('Données projet'!$B$10,Paramètres!$A$1:$I$88,3,0)*0.475*44/12</f>
        <v>5.0722019128048734E-17</v>
      </c>
      <c r="AX193" s="23">
        <f t="shared" si="166"/>
        <v>23.836223043581832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-150</v>
      </c>
      <c r="BE193" s="14">
        <f>BD193*VLOOKUP('Données projet'!$B$11,Paramètres!$A$1:$I$88,3,0)*VLOOKUP('Données projet'!$B$11,Paramètres!$A$1:$I$88,5,0)</f>
        <v>-70.2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164.93326103756453</v>
      </c>
      <c r="BJ193" s="62">
        <f t="shared" si="146"/>
        <v>115.86489547584461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31.917284941216508</v>
      </c>
      <c r="BQ193" s="23">
        <f>EXP(-LN(2)/25)*BQ192+(1-EXP(-LN(2)/25))/(LN(2)/25)*Calculateur!BL193*Calculateur!BN193*VLOOKUP('Données projet'!$B$11,Paramètres!$A$1:$I$88,3,0)*0.475*44/12</f>
        <v>2.7217717797029017</v>
      </c>
      <c r="BR193" s="23">
        <f>EXP(-LN(2)/2)*BR192+(1-EXP(-LN(2)/2))/(LN(2)/2)*BL193*BO193*VLOOKUP('Données projet'!$B$11,Paramètres!$A$1:$I$88,3,0)*0.475*44/12</f>
        <v>8.7003556481633277E-13</v>
      </c>
      <c r="BS193" s="24">
        <f t="shared" si="169"/>
        <v>34.63905672092028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664.11807326266057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projet'!$B$9,Paramètres!$A$1:$I$88,3,0)*VLOOKUP('Données projet'!$B$9,Paramètres!$A$1:$I$88,5,0)</f>
        <v>-1.9065282685915009E-13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461.42631729930201</v>
      </c>
      <c r="T194" s="62">
        <f t="shared" si="142"/>
        <v>570.46734160592086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23.876032543206684</v>
      </c>
      <c r="AA194" s="23">
        <f>EXP(-LN(2)/25)*AA193+(1-EXP(-LN(2)/25))/(LN(2)/25)*Calculateur!V194*Calculateur!X194*VLOOKUP('Données projet'!$B$9,Paramètres!$A$1:$I$88,3,0)*0.475*44/12</f>
        <v>2.3918686339549082</v>
      </c>
      <c r="AB194" s="23">
        <f>EXP(-LN(2)/2)*AB193+(1-EXP(-LN(2)/2))/(LN(2)/2)*V194*Y194*VLOOKUP('Données projet'!$B$9,Paramètres!$A$1:$I$88,3,0)*0.475*44/12</f>
        <v>4.8490792360255521E-18</v>
      </c>
      <c r="AC194" s="24">
        <f t="shared" si="163"/>
        <v>26.26790117716159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2.8421709430404007E-13</v>
      </c>
      <c r="AJ194" s="14">
        <f>AI194*VLOOKUP('Données projet'!$B$10,Paramètres!$A$1:$I$88,3,0)*VLOOKUP('Données projet'!$B$10,Paramètres!$A$1:$I$88,5,0)</f>
        <v>1.7735146684572101E-13</v>
      </c>
      <c r="AK194" s="14">
        <f t="shared" si="164"/>
        <v>2.4924271921531257E-12</v>
      </c>
      <c r="AL194" s="22">
        <f t="shared" si="165"/>
        <v>4.6498644977563242E-12</v>
      </c>
      <c r="AM194" s="62">
        <f t="shared" si="113"/>
        <v>293.33333333333798</v>
      </c>
      <c r="AN194" s="62">
        <f ca="1">AVERAGE(OFFSET($AM$3,0,0,'Données projet'!$E$10+1,1))-AVERAGE(OFFSET($H$3,0,0,'Données projet'!$E$10+1,1))</f>
        <v>272.66985936980086</v>
      </c>
      <c r="AO194" s="62">
        <f t="shared" si="144"/>
        <v>320.12040114313697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20.798772265437172</v>
      </c>
      <c r="AV194" s="23">
        <f>EXP(-LN(2)/25)*AV193+(1-EXP(-LN(2)/25))/(LN(2)/25)*Calculateur!AQ194*Calculateur!AS194*VLOOKUP('Données projet'!$B$10,Paramètres!$A$1:$I$88,3,0)*0.475*44/12</f>
        <v>2.549758393364999</v>
      </c>
      <c r="AW194" s="23">
        <f>EXP(-LN(2)/2)*AW193+(1-EXP(-LN(2)/2))/(LN(2)/2)*AQ194*AT194*VLOOKUP('Données projet'!$B$10,Paramètres!$A$1:$I$88,3,0)*0.475*44/12</f>
        <v>3.5865883680917034E-17</v>
      </c>
      <c r="AX194" s="23">
        <f t="shared" si="166"/>
        <v>23.348530658802172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-150</v>
      </c>
      <c r="BE194" s="14">
        <f>BD194*VLOOKUP('Données projet'!$B$11,Paramètres!$A$1:$I$88,3,0)*VLOOKUP('Données projet'!$B$11,Paramètres!$A$1:$I$88,5,0)</f>
        <v>-70.2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164.93326103756453</v>
      </c>
      <c r="BJ194" s="62">
        <f t="shared" si="146"/>
        <v>115.86489547584461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31.291406451140798</v>
      </c>
      <c r="BQ194" s="23">
        <f>EXP(-LN(2)/25)*BQ193+(1-EXP(-LN(2)/25))/(LN(2)/25)*Calculateur!BL194*Calculateur!BN194*VLOOKUP('Données projet'!$B$11,Paramètres!$A$1:$I$88,3,0)*0.475*44/12</f>
        <v>2.6473447872551685</v>
      </c>
      <c r="BR194" s="23">
        <f>EXP(-LN(2)/2)*BR193+(1-EXP(-LN(2)/2))/(LN(2)/2)*BL194*BO194*VLOOKUP('Données projet'!$B$11,Paramètres!$A$1:$I$88,3,0)*0.475*44/12</f>
        <v>6.1520804775509689E-13</v>
      </c>
      <c r="BS194" s="24">
        <f t="shared" si="169"/>
        <v>33.938751238396584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666.01355149182064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projet'!$B$9,Paramètres!$A$1:$I$88,3,0)*VLOOKUP('Données projet'!$B$9,Paramètres!$A$1:$I$88,5,0)</f>
        <v>-1.9065282685915009E-13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461.42631729930201</v>
      </c>
      <c r="T195" s="62">
        <f t="shared" si="142"/>
        <v>570.46734160592086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23.407838107976282</v>
      </c>
      <c r="AA195" s="23">
        <f>EXP(-LN(2)/25)*AA194+(1-EXP(-LN(2)/25))/(LN(2)/25)*Calculateur!V195*Calculateur!X195*VLOOKUP('Données projet'!$B$9,Paramètres!$A$1:$I$88,3,0)*0.475*44/12</f>
        <v>2.3264628603765063</v>
      </c>
      <c r="AB195" s="23">
        <f>EXP(-LN(2)/2)*AB194+(1-EXP(-LN(2)/2))/(LN(2)/2)*V195*Y195*VLOOKUP('Données projet'!$B$9,Paramètres!$A$1:$I$88,3,0)*0.475*44/12</f>
        <v>3.4288168103045514E-18</v>
      </c>
      <c r="AC195" s="24">
        <f t="shared" si="163"/>
        <v>25.734300968352787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2.8421709430404007E-13</v>
      </c>
      <c r="AJ195" s="14">
        <f>AI195*VLOOKUP('Données projet'!$B$10,Paramètres!$A$1:$I$88,3,0)*VLOOKUP('Données projet'!$B$10,Paramètres!$A$1:$I$88,5,0)</f>
        <v>1.7735146684572101E-13</v>
      </c>
      <c r="AK195" s="14">
        <f t="shared" si="164"/>
        <v>2.4924271921531257E-12</v>
      </c>
      <c r="AL195" s="22">
        <f t="shared" si="165"/>
        <v>4.6498644977563242E-12</v>
      </c>
      <c r="AM195" s="62">
        <f t="shared" si="113"/>
        <v>293.33333333333798</v>
      </c>
      <c r="AN195" s="62">
        <f ca="1">AVERAGE(OFFSET($AM$3,0,0,'Données projet'!$E$10+1,1))-AVERAGE(OFFSET($H$3,0,0,'Données projet'!$E$10+1,1))</f>
        <v>272.66985936980086</v>
      </c>
      <c r="AO195" s="62">
        <f t="shared" si="144"/>
        <v>320.12040114313697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20.390921027310394</v>
      </c>
      <c r="AV195" s="23">
        <f>EXP(-LN(2)/25)*AV194+(1-EXP(-LN(2)/25))/(LN(2)/25)*Calculateur!AQ195*Calculateur!AS195*VLOOKUP('Données projet'!$B$10,Paramètres!$A$1:$I$88,3,0)*0.475*44/12</f>
        <v>2.4800351160124667</v>
      </c>
      <c r="AW195" s="23">
        <f>EXP(-LN(2)/2)*AW194+(1-EXP(-LN(2)/2))/(LN(2)/2)*AQ195*AT195*VLOOKUP('Données projet'!$B$10,Paramètres!$A$1:$I$88,3,0)*0.475*44/12</f>
        <v>2.5361009564024367E-17</v>
      </c>
      <c r="AX195" s="23">
        <f t="shared" si="166"/>
        <v>22.870956143322861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-150</v>
      </c>
      <c r="BE195" s="14">
        <f>BD195*VLOOKUP('Données projet'!$B$11,Paramètres!$A$1:$I$88,3,0)*VLOOKUP('Données projet'!$B$11,Paramètres!$A$1:$I$88,5,0)</f>
        <v>-70.2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164.93326103756453</v>
      </c>
      <c r="BJ195" s="62">
        <f t="shared" si="146"/>
        <v>115.86489547584461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30.677801056507288</v>
      </c>
      <c r="BQ195" s="23">
        <f>EXP(-LN(2)/25)*BQ194+(1-EXP(-LN(2)/25))/(LN(2)/25)*Calculateur!BL195*Calculateur!BN195*VLOOKUP('Données projet'!$B$11,Paramètres!$A$1:$I$88,3,0)*0.475*44/12</f>
        <v>2.5749530048298643</v>
      </c>
      <c r="BR195" s="23">
        <f>EXP(-LN(2)/2)*BR194+(1-EXP(-LN(2)/2))/(LN(2)/2)*BL195*BO195*VLOOKUP('Données projet'!$B$11,Paramètres!$A$1:$I$88,3,0)*0.475*44/12</f>
        <v>4.3501778240816638E-13</v>
      </c>
      <c r="BS195" s="24">
        <f t="shared" si="169"/>
        <v>33.252754061337583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667.90881954332758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projet'!$B$9,Paramètres!$A$1:$I$88,3,0)*VLOOKUP('Données projet'!$B$9,Paramètres!$A$1:$I$88,5,0)</f>
        <v>-1.9065282685915009E-13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461.42631729930201</v>
      </c>
      <c r="T196" s="62">
        <f t="shared" si="142"/>
        <v>570.46734160592086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22.94882468005034</v>
      </c>
      <c r="AA196" s="23">
        <f>EXP(-LN(2)/25)*AA195+(1-EXP(-LN(2)/25))/(LN(2)/25)*Calculateur!V196*Calculateur!X196*VLOOKUP('Données projet'!$B$9,Paramètres!$A$1:$I$88,3,0)*0.475*44/12</f>
        <v>2.2628456111161461</v>
      </c>
      <c r="AB196" s="23">
        <f>EXP(-LN(2)/2)*AB195+(1-EXP(-LN(2)/2))/(LN(2)/2)*V196*Y196*VLOOKUP('Données projet'!$B$9,Paramètres!$A$1:$I$88,3,0)*0.475*44/12</f>
        <v>2.4245396180127764E-18</v>
      </c>
      <c r="AC196" s="24">
        <f t="shared" si="163"/>
        <v>25.211670291166485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2.8421709430404007E-13</v>
      </c>
      <c r="AJ196" s="14">
        <f>AI196*VLOOKUP('Données projet'!$B$10,Paramètres!$A$1:$I$88,3,0)*VLOOKUP('Données projet'!$B$10,Paramètres!$A$1:$I$88,5,0)</f>
        <v>1.7735146684572101E-13</v>
      </c>
      <c r="AK196" s="14">
        <f t="shared" si="164"/>
        <v>2.4924271921531257E-12</v>
      </c>
      <c r="AL196" s="22">
        <f t="shared" si="165"/>
        <v>4.6498644977563242E-12</v>
      </c>
      <c r="AM196" s="62">
        <f t="shared" ref="AM196:AM203" si="193">AL196+(AD196+AE196)*44/12</f>
        <v>293.33333333333798</v>
      </c>
      <c r="AN196" s="62">
        <f ca="1">AVERAGE(OFFSET($AM$3,0,0,'Données projet'!$E$10+1,1))-AVERAGE(OFFSET($H$3,0,0,'Données projet'!$E$10+1,1))</f>
        <v>272.66985936980086</v>
      </c>
      <c r="AO196" s="62">
        <f t="shared" si="144"/>
        <v>320.12040114313697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19.99106750319859</v>
      </c>
      <c r="AV196" s="23">
        <f>EXP(-LN(2)/25)*AV195+(1-EXP(-LN(2)/25))/(LN(2)/25)*Calculateur!AQ196*Calculateur!AS196*VLOOKUP('Données projet'!$B$10,Paramètres!$A$1:$I$88,3,0)*0.475*44/12</f>
        <v>2.4122184253457273</v>
      </c>
      <c r="AW196" s="23">
        <f>EXP(-LN(2)/2)*AW195+(1-EXP(-LN(2)/2))/(LN(2)/2)*AQ196*AT196*VLOOKUP('Données projet'!$B$10,Paramètres!$A$1:$I$88,3,0)*0.475*44/12</f>
        <v>1.7932941840458517E-17</v>
      </c>
      <c r="AX196" s="23">
        <f t="shared" si="166"/>
        <v>22.403285928544317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-150</v>
      </c>
      <c r="BE196" s="14">
        <f>BD196*VLOOKUP('Données projet'!$B$11,Paramètres!$A$1:$I$88,3,0)*VLOOKUP('Données projet'!$B$11,Paramètres!$A$1:$I$88,5,0)</f>
        <v>-70.2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164.93326103756453</v>
      </c>
      <c r="BJ196" s="62">
        <f t="shared" si="146"/>
        <v>115.86489547584461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30.076228089400207</v>
      </c>
      <c r="BQ196" s="23">
        <f>EXP(-LN(2)/25)*BQ195+(1-EXP(-LN(2)/25))/(LN(2)/25)*Calculateur!BL196*Calculateur!BN196*VLOOKUP('Données projet'!$B$11,Paramètres!$A$1:$I$88,3,0)*0.475*44/12</f>
        <v>2.5045407795018981</v>
      </c>
      <c r="BR196" s="23">
        <f>EXP(-LN(2)/2)*BR195+(1-EXP(-LN(2)/2))/(LN(2)/2)*BL196*BO196*VLOOKUP('Données projet'!$B$11,Paramètres!$A$1:$I$88,3,0)*0.475*44/12</f>
        <v>3.0760402387754845E-13</v>
      </c>
      <c r="BS196" s="24">
        <f t="shared" si="169"/>
        <v>32.58076886890241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669.80387863258932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projet'!$B$9,Paramètres!$A$1:$I$88,3,0)*VLOOKUP('Données projet'!$B$9,Paramètres!$A$1:$I$88,5,0)</f>
        <v>-1.9065282685915009E-13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461.42631729930201</v>
      </c>
      <c r="T197" s="62">
        <f t="shared" ref="T197:T203" si="204">$T$3</f>
        <v>570.46734160592086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22.498812225475479</v>
      </c>
      <c r="AA197" s="23">
        <f>EXP(-LN(2)/25)*AA196+(1-EXP(-LN(2)/25))/(LN(2)/25)*Calculateur!V197*Calculateur!X197*VLOOKUP('Données projet'!$B$9,Paramètres!$A$1:$I$88,3,0)*0.475*44/12</f>
        <v>2.200967978882296</v>
      </c>
      <c r="AB197" s="23">
        <f>EXP(-LN(2)/2)*AB196+(1-EXP(-LN(2)/2))/(LN(2)/2)*V197*Y197*VLOOKUP('Données projet'!$B$9,Paramètres!$A$1:$I$88,3,0)*0.475*44/12</f>
        <v>1.7144084051522759E-18</v>
      </c>
      <c r="AC197" s="24">
        <f t="shared" si="163"/>
        <v>24.699780204357776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2.8421709430404007E-13</v>
      </c>
      <c r="AJ197" s="14">
        <f>AI197*VLOOKUP('Données projet'!$B$10,Paramètres!$A$1:$I$88,3,0)*VLOOKUP('Données projet'!$B$10,Paramètres!$A$1:$I$88,5,0)</f>
        <v>1.7735146684572101E-13</v>
      </c>
      <c r="AK197" s="14">
        <f t="shared" si="164"/>
        <v>2.4924271921531257E-12</v>
      </c>
      <c r="AL197" s="22">
        <f t="shared" si="165"/>
        <v>4.6498644977563242E-12</v>
      </c>
      <c r="AM197" s="62">
        <f t="shared" si="193"/>
        <v>293.33333333333798</v>
      </c>
      <c r="AN197" s="62">
        <f ca="1">AVERAGE(OFFSET($AM$3,0,0,'Données projet'!$E$10+1,1))-AVERAGE(OFFSET($H$3,0,0,'Données projet'!$E$10+1,1))</f>
        <v>272.66985936980086</v>
      </c>
      <c r="AO197" s="62">
        <f t="shared" ref="AO197:AO203" si="205">$AO$3</f>
        <v>320.12040114313697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19.59905486280805</v>
      </c>
      <c r="AV197" s="23">
        <f>EXP(-LN(2)/25)*AV196+(1-EXP(-LN(2)/25))/(LN(2)/25)*Calculateur!AQ197*Calculateur!AS197*VLOOKUP('Données projet'!$B$10,Paramètres!$A$1:$I$88,3,0)*0.475*44/12</f>
        <v>2.3462561856515944</v>
      </c>
      <c r="AW197" s="23">
        <f>EXP(-LN(2)/2)*AW196+(1-EXP(-LN(2)/2))/(LN(2)/2)*AQ197*AT197*VLOOKUP('Données projet'!$B$10,Paramètres!$A$1:$I$88,3,0)*0.475*44/12</f>
        <v>1.2680504782012184E-17</v>
      </c>
      <c r="AX197" s="23">
        <f t="shared" si="166"/>
        <v>21.945311048459644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-150</v>
      </c>
      <c r="BE197" s="14">
        <f>BD197*VLOOKUP('Données projet'!$B$11,Paramètres!$A$1:$I$88,3,0)*VLOOKUP('Données projet'!$B$11,Paramètres!$A$1:$I$88,5,0)</f>
        <v>-70.2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164.93326103756453</v>
      </c>
      <c r="BJ197" s="62">
        <f t="shared" ref="BJ197:BJ203" si="206">$BJ$3</f>
        <v>115.86489547584461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29.486451601254817</v>
      </c>
      <c r="BQ197" s="23">
        <f>EXP(-LN(2)/25)*BQ196+(1-EXP(-LN(2)/25))/(LN(2)/25)*Calculateur!BL197*Calculateur!BN197*VLOOKUP('Données projet'!$B$11,Paramètres!$A$1:$I$88,3,0)*0.475*44/12</f>
        <v>2.4360539801783432</v>
      </c>
      <c r="BR197" s="23">
        <f>EXP(-LN(2)/2)*BR196+(1-EXP(-LN(2)/2))/(LN(2)/2)*BL197*BO197*VLOOKUP('Données projet'!$B$11,Paramètres!$A$1:$I$88,3,0)*0.475*44/12</f>
        <v>2.1750889120408319E-13</v>
      </c>
      <c r="BS197" s="24">
        <f t="shared" si="169"/>
        <v>31.922505581433377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671.69872996175832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projet'!$B$9,Paramètres!$A$1:$I$88,3,0)*VLOOKUP('Données projet'!$B$9,Paramètres!$A$1:$I$88,5,0)</f>
        <v>-1.9065282685915009E-13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461.42631729930201</v>
      </c>
      <c r="T198" s="62">
        <f t="shared" si="204"/>
        <v>570.46734160592086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22.057624240654338</v>
      </c>
      <c r="AA198" s="23">
        <f>EXP(-LN(2)/25)*AA197+(1-EXP(-LN(2)/25))/(LN(2)/25)*Calculateur!V198*Calculateur!X198*VLOOKUP('Données projet'!$B$9,Paramètres!$A$1:$I$88,3,0)*0.475*44/12</f>
        <v>2.1407823937558841</v>
      </c>
      <c r="AB198" s="23">
        <f>EXP(-LN(2)/2)*AB197+(1-EXP(-LN(2)/2))/(LN(2)/2)*V198*Y198*VLOOKUP('Données projet'!$B$9,Paramètres!$A$1:$I$88,3,0)*0.475*44/12</f>
        <v>1.2122698090063884E-18</v>
      </c>
      <c r="AC198" s="24">
        <f t="shared" si="163"/>
        <v>24.198406634410222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2.8421709430404007E-13</v>
      </c>
      <c r="AJ198" s="14">
        <f>AI198*VLOOKUP('Données projet'!$B$10,Paramètres!$A$1:$I$88,3,0)*VLOOKUP('Données projet'!$B$10,Paramètres!$A$1:$I$88,5,0)</f>
        <v>1.7735146684572101E-13</v>
      </c>
      <c r="AK198" s="14">
        <f t="shared" si="164"/>
        <v>2.4924271921531257E-12</v>
      </c>
      <c r="AL198" s="22">
        <f t="shared" si="165"/>
        <v>4.6498644977563242E-12</v>
      </c>
      <c r="AM198" s="62">
        <f t="shared" si="193"/>
        <v>293.33333333333798</v>
      </c>
      <c r="AN198" s="62">
        <f ca="1">AVERAGE(OFFSET($AM$3,0,0,'Données projet'!$E$10+1,1))-AVERAGE(OFFSET($H$3,0,0,'Données projet'!$E$10+1,1))</f>
        <v>272.66985936980086</v>
      </c>
      <c r="AO198" s="62">
        <f t="shared" si="205"/>
        <v>320.12040114313697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19.214729351191465</v>
      </c>
      <c r="AV198" s="23">
        <f>EXP(-LN(2)/25)*AV197+(1-EXP(-LN(2)/25))/(LN(2)/25)*Calculateur!AQ198*Calculateur!AS198*VLOOKUP('Données projet'!$B$10,Paramètres!$A$1:$I$88,3,0)*0.475*44/12</f>
        <v>2.282097686870701</v>
      </c>
      <c r="AW198" s="23">
        <f>EXP(-LN(2)/2)*AW197+(1-EXP(-LN(2)/2))/(LN(2)/2)*AQ198*AT198*VLOOKUP('Données projet'!$B$10,Paramètres!$A$1:$I$88,3,0)*0.475*44/12</f>
        <v>8.9664709202292585E-18</v>
      </c>
      <c r="AX198" s="23">
        <f t="shared" si="166"/>
        <v>21.496827038062165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-150</v>
      </c>
      <c r="BE198" s="14">
        <f>BD198*VLOOKUP('Données projet'!$B$11,Paramètres!$A$1:$I$88,3,0)*VLOOKUP('Données projet'!$B$11,Paramètres!$A$1:$I$88,5,0)</f>
        <v>-70.2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164.93326103756453</v>
      </c>
      <c r="BJ198" s="62">
        <f t="shared" si="206"/>
        <v>115.86489547584461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28.908240270313819</v>
      </c>
      <c r="BQ198" s="23">
        <f>EXP(-LN(2)/25)*BQ197+(1-EXP(-LN(2)/25))/(LN(2)/25)*Calculateur!BL198*Calculateur!BN198*VLOOKUP('Données projet'!$B$11,Paramètres!$A$1:$I$88,3,0)*0.475*44/12</f>
        <v>2.369439955983855</v>
      </c>
      <c r="BR198" s="23">
        <f>EXP(-LN(2)/2)*BR197+(1-EXP(-LN(2)/2))/(LN(2)/2)*BL198*BO198*VLOOKUP('Données projet'!$B$11,Paramètres!$A$1:$I$88,3,0)*0.475*44/12</f>
        <v>1.5380201193877422E-13</v>
      </c>
      <c r="BS198" s="24">
        <f t="shared" si="169"/>
        <v>31.277680226297825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673.59337471994309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projet'!$B$9,Paramètres!$A$1:$I$88,3,0)*VLOOKUP('Données projet'!$B$9,Paramètres!$A$1:$I$88,5,0)</f>
        <v>-1.9065282685915009E-13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461.42631729930201</v>
      </c>
      <c r="T199" s="62">
        <f t="shared" si="204"/>
        <v>570.46734160592086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21.625087683117439</v>
      </c>
      <c r="AA199" s="23">
        <f>EXP(-LN(2)/25)*AA198+(1-EXP(-LN(2)/25))/(LN(2)/25)*Calculateur!V199*Calculateur!X199*VLOOKUP('Données projet'!$B$9,Paramètres!$A$1:$I$88,3,0)*0.475*44/12</f>
        <v>2.0822425866197762</v>
      </c>
      <c r="AB199" s="23">
        <f>EXP(-LN(2)/2)*AB198+(1-EXP(-LN(2)/2))/(LN(2)/2)*V199*Y199*VLOOKUP('Données projet'!$B$9,Paramètres!$A$1:$I$88,3,0)*0.475*44/12</f>
        <v>8.5720420257613813E-19</v>
      </c>
      <c r="AC199" s="24">
        <f t="shared" si="163"/>
        <v>23.707330269737216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2.8421709430404007E-13</v>
      </c>
      <c r="AJ199" s="14">
        <f>AI199*VLOOKUP('Données projet'!$B$10,Paramètres!$A$1:$I$88,3,0)*VLOOKUP('Données projet'!$B$10,Paramètres!$A$1:$I$88,5,0)</f>
        <v>1.7735146684572101E-13</v>
      </c>
      <c r="AK199" s="14">
        <f t="shared" si="164"/>
        <v>2.4924271921531257E-12</v>
      </c>
      <c r="AL199" s="22">
        <f t="shared" si="165"/>
        <v>4.6498644977563242E-12</v>
      </c>
      <c r="AM199" s="62">
        <f t="shared" si="193"/>
        <v>293.33333333333798</v>
      </c>
      <c r="AN199" s="62">
        <f ca="1">AVERAGE(OFFSET($AM$3,0,0,'Données projet'!$E$10+1,1))-AVERAGE(OFFSET($H$3,0,0,'Données projet'!$E$10+1,1))</f>
        <v>272.66985936980086</v>
      </c>
      <c r="AO199" s="62">
        <f t="shared" si="205"/>
        <v>320.12040114313697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18.837940228442267</v>
      </c>
      <c r="AV199" s="23">
        <f>EXP(-LN(2)/25)*AV198+(1-EXP(-LN(2)/25))/(LN(2)/25)*Calculateur!AQ199*Calculateur!AS199*VLOOKUP('Données projet'!$B$10,Paramètres!$A$1:$I$88,3,0)*0.475*44/12</f>
        <v>2.2196936056129202</v>
      </c>
      <c r="AW199" s="23">
        <f>EXP(-LN(2)/2)*AW198+(1-EXP(-LN(2)/2))/(LN(2)/2)*AQ199*AT199*VLOOKUP('Données projet'!$B$10,Paramètres!$A$1:$I$88,3,0)*0.475*44/12</f>
        <v>6.3402523910060918E-18</v>
      </c>
      <c r="AX199" s="23">
        <f t="shared" si="166"/>
        <v>21.057633834055189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-150</v>
      </c>
      <c r="BE199" s="14">
        <f>BD199*VLOOKUP('Données projet'!$B$11,Paramètres!$A$1:$I$88,3,0)*VLOOKUP('Données projet'!$B$11,Paramètres!$A$1:$I$88,5,0)</f>
        <v>-70.2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164.93326103756453</v>
      </c>
      <c r="BJ199" s="62">
        <f t="shared" si="206"/>
        <v>115.86489547584461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28.341367310898487</v>
      </c>
      <c r="BQ199" s="23">
        <f>EXP(-LN(2)/25)*BQ198+(1-EXP(-LN(2)/25))/(LN(2)/25)*Calculateur!BL199*Calculateur!BN199*VLOOKUP('Données projet'!$B$11,Paramètres!$A$1:$I$88,3,0)*0.475*44/12</f>
        <v>2.3046474957840446</v>
      </c>
      <c r="BR199" s="23">
        <f>EXP(-LN(2)/2)*BR198+(1-EXP(-LN(2)/2))/(LN(2)/2)*BL199*BO199*VLOOKUP('Données projet'!$B$11,Paramètres!$A$1:$I$88,3,0)*0.475*44/12</f>
        <v>1.087544456020416E-13</v>
      </c>
      <c r="BS199" s="24">
        <f t="shared" si="169"/>
        <v>30.646014806682643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675.48781408341597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projet'!$B$9,Paramètres!$A$1:$I$88,3,0)*VLOOKUP('Données projet'!$B$9,Paramètres!$A$1:$I$88,5,0)</f>
        <v>-1.9065282685915009E-13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461.42631729930201</v>
      </c>
      <c r="T200" s="62">
        <f t="shared" si="204"/>
        <v>570.46734160592086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21.201032903652589</v>
      </c>
      <c r="AA200" s="23">
        <f>EXP(-LN(2)/25)*AA199+(1-EXP(-LN(2)/25))/(LN(2)/25)*Calculateur!V200*Calculateur!X200*VLOOKUP('Données projet'!$B$9,Paramètres!$A$1:$I$88,3,0)*0.475*44/12</f>
        <v>2.0253035535882797</v>
      </c>
      <c r="AB200" s="23">
        <f>EXP(-LN(2)/2)*AB199+(1-EXP(-LN(2)/2))/(LN(2)/2)*V200*Y200*VLOOKUP('Données projet'!$B$9,Paramètres!$A$1:$I$88,3,0)*0.475*44/12</f>
        <v>6.061349045031943E-19</v>
      </c>
      <c r="AC200" s="24">
        <f t="shared" si="163"/>
        <v>23.226336457240869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2.8421709430404007E-13</v>
      </c>
      <c r="AJ200" s="14">
        <f>AI200*VLOOKUP('Données projet'!$B$10,Paramètres!$A$1:$I$88,3,0)*VLOOKUP('Données projet'!$B$10,Paramètres!$A$1:$I$88,5,0)</f>
        <v>1.7735146684572101E-13</v>
      </c>
      <c r="AK200" s="14">
        <f t="shared" si="164"/>
        <v>2.4924271921531257E-12</v>
      </c>
      <c r="AL200" s="22">
        <f t="shared" si="165"/>
        <v>4.6498644977563242E-12</v>
      </c>
      <c r="AM200" s="62">
        <f t="shared" si="193"/>
        <v>293.33333333333798</v>
      </c>
      <c r="AN200" s="62">
        <f ca="1">AVERAGE(OFFSET($AM$3,0,0,'Données projet'!$E$10+1,1))-AVERAGE(OFFSET($H$3,0,0,'Données projet'!$E$10+1,1))</f>
        <v>272.66985936980086</v>
      </c>
      <c r="AO200" s="62">
        <f t="shared" si="205"/>
        <v>320.12040114313697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18.468539710571509</v>
      </c>
      <c r="AV200" s="23">
        <f>EXP(-LN(2)/25)*AV199+(1-EXP(-LN(2)/25))/(LN(2)/25)*Calculateur!AQ200*Calculateur!AS200*VLOOKUP('Données projet'!$B$10,Paramètres!$A$1:$I$88,3,0)*0.475*44/12</f>
        <v>2.1589959672388215</v>
      </c>
      <c r="AW200" s="23">
        <f>EXP(-LN(2)/2)*AW199+(1-EXP(-LN(2)/2))/(LN(2)/2)*AQ200*AT200*VLOOKUP('Données projet'!$B$10,Paramètres!$A$1:$I$88,3,0)*0.475*44/12</f>
        <v>4.4832354601146293E-18</v>
      </c>
      <c r="AX200" s="23">
        <f t="shared" si="166"/>
        <v>20.627535677810329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-150</v>
      </c>
      <c r="BE200" s="14">
        <f>BD200*VLOOKUP('Données projet'!$B$11,Paramètres!$A$1:$I$88,3,0)*VLOOKUP('Données projet'!$B$11,Paramètres!$A$1:$I$88,5,0)</f>
        <v>-70.2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164.93326103756453</v>
      </c>
      <c r="BJ200" s="62">
        <f t="shared" si="206"/>
        <v>115.86489547584461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27.785610384458924</v>
      </c>
      <c r="BQ200" s="23">
        <f>EXP(-LN(2)/25)*BQ199+(1-EXP(-LN(2)/25))/(LN(2)/25)*Calculateur!BL200*Calculateur!BN200*VLOOKUP('Données projet'!$B$11,Paramètres!$A$1:$I$88,3,0)*0.475*44/12</f>
        <v>2.2416267888156853</v>
      </c>
      <c r="BR200" s="23">
        <f>EXP(-LN(2)/2)*BR199+(1-EXP(-LN(2)/2))/(LN(2)/2)*BL200*BO200*VLOOKUP('Données projet'!$B$11,Paramètres!$A$1:$I$88,3,0)*0.475*44/12</f>
        <v>7.6901005969387111E-14</v>
      </c>
      <c r="BS200" s="24">
        <f t="shared" si="169"/>
        <v>30.027237173274688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677.3820492158161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projet'!$B$9,Paramètres!$A$1:$I$88,3,0)*VLOOKUP('Données projet'!$B$9,Paramètres!$A$1:$I$88,5,0)</f>
        <v>-1.9065282685915009E-13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461.42631729930201</v>
      </c>
      <c r="T201" s="62">
        <f t="shared" si="204"/>
        <v>570.46734160592086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20.785293579765167</v>
      </c>
      <c r="AA201" s="23">
        <f>EXP(-LN(2)/25)*AA200+(1-EXP(-LN(2)/25))/(LN(2)/25)*Calculateur!V201*Calculateur!X201*VLOOKUP('Données projet'!$B$9,Paramètres!$A$1:$I$88,3,0)*0.475*44/12</f>
        <v>1.9699215214093233</v>
      </c>
      <c r="AB201" s="23">
        <f>EXP(-LN(2)/2)*AB200+(1-EXP(-LN(2)/2))/(LN(2)/2)*V201*Y201*VLOOKUP('Données projet'!$B$9,Paramètres!$A$1:$I$88,3,0)*0.475*44/12</f>
        <v>4.2860210128806911E-19</v>
      </c>
      <c r="AC201" s="24">
        <f t="shared" si="163"/>
        <v>22.755215101174489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2.8421709430404007E-13</v>
      </c>
      <c r="AJ201" s="14">
        <f>AI201*VLOOKUP('Données projet'!$B$10,Paramètres!$A$1:$I$88,3,0)*VLOOKUP('Données projet'!$B$10,Paramètres!$A$1:$I$88,5,0)</f>
        <v>1.7735146684572101E-13</v>
      </c>
      <c r="AK201" s="14">
        <f t="shared" si="164"/>
        <v>2.4924271921531257E-12</v>
      </c>
      <c r="AL201" s="22">
        <f t="shared" si="165"/>
        <v>4.6498644977563242E-12</v>
      </c>
      <c r="AM201" s="62">
        <f t="shared" si="193"/>
        <v>293.33333333333798</v>
      </c>
      <c r="AN201" s="62">
        <f ca="1">AVERAGE(OFFSET($AM$3,0,0,'Données projet'!$E$10+1,1))-AVERAGE(OFFSET($H$3,0,0,'Données projet'!$E$10+1,1))</f>
        <v>272.66985936980086</v>
      </c>
      <c r="AO201" s="62">
        <f t="shared" si="205"/>
        <v>320.12040114313697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18.106382911544127</v>
      </c>
      <c r="AV201" s="23">
        <f>EXP(-LN(2)/25)*AV200+(1-EXP(-LN(2)/25))/(LN(2)/25)*Calculateur!AQ201*Calculateur!AS201*VLOOKUP('Données projet'!$B$10,Paramètres!$A$1:$I$88,3,0)*0.475*44/12</f>
        <v>2.0999581089780124</v>
      </c>
      <c r="AW201" s="23">
        <f>EXP(-LN(2)/2)*AW200+(1-EXP(-LN(2)/2))/(LN(2)/2)*AQ201*AT201*VLOOKUP('Données projet'!$B$10,Paramètres!$A$1:$I$88,3,0)*0.475*44/12</f>
        <v>3.1701261955030459E-18</v>
      </c>
      <c r="AX201" s="23">
        <f t="shared" si="166"/>
        <v>20.206341020522139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-150</v>
      </c>
      <c r="BE201" s="14">
        <f>BD201*VLOOKUP('Données projet'!$B$11,Paramètres!$A$1:$I$88,3,0)*VLOOKUP('Données projet'!$B$11,Paramètres!$A$1:$I$88,5,0)</f>
        <v>-70.2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164.93326103756453</v>
      </c>
      <c r="BJ201" s="62">
        <f t="shared" si="206"/>
        <v>115.86489547584461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27.240751512368586</v>
      </c>
      <c r="BQ201" s="23">
        <f>EXP(-LN(2)/25)*BQ200+(1-EXP(-LN(2)/25))/(LN(2)/25)*Calculateur!BL201*Calculateur!BN201*VLOOKUP('Données projet'!$B$11,Paramètres!$A$1:$I$88,3,0)*0.475*44/12</f>
        <v>2.1803293863934909</v>
      </c>
      <c r="BR201" s="23">
        <f>EXP(-LN(2)/2)*BR200+(1-EXP(-LN(2)/2))/(LN(2)/2)*BL201*BO201*VLOOKUP('Données projet'!$B$11,Paramètres!$A$1:$I$88,3,0)*0.475*44/12</f>
        <v>5.4377222801020798E-14</v>
      </c>
      <c r="BS201" s="24">
        <f t="shared" si="169"/>
        <v>29.421080898762131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679.27608126834809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projet'!$B$9,Paramètres!$A$1:$I$88,3,0)*VLOOKUP('Données projet'!$B$9,Paramètres!$A$1:$I$88,5,0)</f>
        <v>-1.9065282685915009E-13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461.42631729930201</v>
      </c>
      <c r="T202" s="62">
        <f t="shared" si="204"/>
        <v>570.46734160592086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20.37770665044323</v>
      </c>
      <c r="AA202" s="23">
        <f>EXP(-LN(2)/25)*AA201+(1-EXP(-LN(2)/25))/(LN(2)/25)*Calculateur!V202*Calculateur!X202*VLOOKUP('Données projet'!$B$9,Paramètres!$A$1:$I$88,3,0)*0.475*44/12</f>
        <v>1.9160539138127148</v>
      </c>
      <c r="AB202" s="23">
        <f>EXP(-LN(2)/2)*AB201+(1-EXP(-LN(2)/2))/(LN(2)/2)*V202*Y202*VLOOKUP('Données projet'!$B$9,Paramètres!$A$1:$I$88,3,0)*0.475*44/12</f>
        <v>3.030674522515972E-19</v>
      </c>
      <c r="AC202" s="24">
        <f t="shared" si="163"/>
        <v>22.293760564255944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2.8421709430404007E-13</v>
      </c>
      <c r="AJ202" s="14">
        <f>AI202*VLOOKUP('Données projet'!$B$10,Paramètres!$A$1:$I$88,3,0)*VLOOKUP('Données projet'!$B$10,Paramètres!$A$1:$I$88,5,0)</f>
        <v>1.7735146684572101E-13</v>
      </c>
      <c r="AK202" s="14">
        <f t="shared" si="164"/>
        <v>2.4924271921531257E-12</v>
      </c>
      <c r="AL202" s="22">
        <f t="shared" si="165"/>
        <v>4.6498644977563242E-12</v>
      </c>
      <c r="AM202" s="62">
        <f t="shared" si="193"/>
        <v>293.33333333333798</v>
      </c>
      <c r="AN202" s="62">
        <f ca="1">AVERAGE(OFFSET($AM$3,0,0,'Données projet'!$E$10+1,1))-AVERAGE(OFFSET($H$3,0,0,'Données projet'!$E$10+1,1))</f>
        <v>272.66985936980086</v>
      </c>
      <c r="AO202" s="62">
        <f t="shared" si="205"/>
        <v>320.12040114313697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17.751327786451839</v>
      </c>
      <c r="AV202" s="23">
        <f>EXP(-LN(2)/25)*AV201+(1-EXP(-LN(2)/25))/(LN(2)/25)*Calculateur!AQ202*Calculateur!AS202*VLOOKUP('Données projet'!$B$10,Paramètres!$A$1:$I$88,3,0)*0.475*44/12</f>
        <v>2.042534644056011</v>
      </c>
      <c r="AW202" s="23">
        <f>EXP(-LN(2)/2)*AW201+(1-EXP(-LN(2)/2))/(LN(2)/2)*AQ202*AT202*VLOOKUP('Données projet'!$B$10,Paramètres!$A$1:$I$88,3,0)*0.475*44/12</f>
        <v>2.2416177300573146E-18</v>
      </c>
      <c r="AX202" s="23">
        <f t="shared" si="166"/>
        <v>19.793862430507851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-150</v>
      </c>
      <c r="BE202" s="14">
        <f>BD202*VLOOKUP('Données projet'!$B$11,Paramètres!$A$1:$I$88,3,0)*VLOOKUP('Données projet'!$B$11,Paramètres!$A$1:$I$88,5,0)</f>
        <v>-70.2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164.93326103756453</v>
      </c>
      <c r="BJ202" s="62">
        <f t="shared" si="206"/>
        <v>115.86489547584461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26.706576990428843</v>
      </c>
      <c r="BQ202" s="23">
        <f>EXP(-LN(2)/25)*BQ201+(1-EXP(-LN(2)/25))/(LN(2)/25)*Calculateur!BL202*Calculateur!BN202*VLOOKUP('Données projet'!$B$11,Paramètres!$A$1:$I$88,3,0)*0.475*44/12</f>
        <v>2.1207081646640216</v>
      </c>
      <c r="BR202" s="23">
        <f>EXP(-LN(2)/2)*BR201+(1-EXP(-LN(2)/2))/(LN(2)/2)*BL202*BO202*VLOOKUP('Données projet'!$B$11,Paramètres!$A$1:$I$88,3,0)*0.475*44/12</f>
        <v>3.8450502984693556E-14</v>
      </c>
      <c r="BS202" s="24">
        <f t="shared" si="169"/>
        <v>28.827285155092905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681.16991137997661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projet'!$B$9,Paramètres!$A$1:$I$88,3,0)*VLOOKUP('Données projet'!$B$9,Paramètres!$A$1:$I$88,5,0)</f>
        <v>-1.9065282685915009E-13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461.42631729930201</v>
      </c>
      <c r="T203" s="62">
        <f t="shared" si="204"/>
        <v>570.46734160592086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19.978112252201814</v>
      </c>
      <c r="AA203" s="23">
        <f>EXP(-LN(2)/25)*AA202+(1-EXP(-LN(2)/25))/(LN(2)/25)*Calculateur!V203*Calculateur!X203*VLOOKUP('Données projet'!$B$9,Paramètres!$A$1:$I$88,3,0)*0.475*44/12</f>
        <v>1.8636593187786101</v>
      </c>
      <c r="AB203" s="23">
        <f>EXP(-LN(2)/2)*AB202+(1-EXP(-LN(2)/2))/(LN(2)/2)*V203*Y203*VLOOKUP('Données projet'!$B$9,Paramètres!$A$1:$I$88,3,0)*0.475*44/12</f>
        <v>2.143010506440346E-19</v>
      </c>
      <c r="AC203" s="24">
        <f t="shared" si="163"/>
        <v>21.841771570980423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2.8421709430404007E-13</v>
      </c>
      <c r="AJ203" s="14">
        <f>AI203*VLOOKUP('Données projet'!$B$10,Paramètres!$A$1:$I$88,3,0)*VLOOKUP('Données projet'!$B$10,Paramètres!$A$1:$I$88,5,0)</f>
        <v>1.7735146684572101E-13</v>
      </c>
      <c r="AK203" s="14">
        <f t="shared" si="164"/>
        <v>2.4924271921531257E-12</v>
      </c>
      <c r="AL203" s="22">
        <f t="shared" si="165"/>
        <v>4.6498644977563242E-12</v>
      </c>
      <c r="AM203" s="62">
        <f t="shared" si="193"/>
        <v>293.33333333333798</v>
      </c>
      <c r="AN203" s="62">
        <f ca="1">AVERAGE(OFFSET($AM$3,0,0,'Données projet'!$E$10+1,1))-AVERAGE(OFFSET($H$3,0,0,'Données projet'!$E$10+1,1))</f>
        <v>272.66985936980086</v>
      </c>
      <c r="AO203" s="62">
        <f t="shared" si="205"/>
        <v>320.12040114313697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17.403235075800367</v>
      </c>
      <c r="AV203" s="23">
        <f>EXP(-LN(2)/25)*AV202+(1-EXP(-LN(2)/25))/(LN(2)/25)*Calculateur!AQ203*Calculateur!AS203*VLOOKUP('Données projet'!$B$10,Paramètres!$A$1:$I$88,3,0)*0.475*44/12</f>
        <v>1.9866814268020707</v>
      </c>
      <c r="AW203" s="23">
        <f>EXP(-LN(2)/2)*AW202+(1-EXP(-LN(2)/2))/(LN(2)/2)*AQ203*AT203*VLOOKUP('Données projet'!$B$10,Paramètres!$A$1:$I$88,3,0)*0.475*44/12</f>
        <v>1.5850630977515229E-18</v>
      </c>
      <c r="AX203" s="23">
        <f t="shared" si="166"/>
        <v>19.389916502602439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-150</v>
      </c>
      <c r="BE203" s="14">
        <f>BD203*VLOOKUP('Données projet'!$B$11,Paramètres!$A$1:$I$88,3,0)*VLOOKUP('Données projet'!$B$11,Paramètres!$A$1:$I$88,5,0)</f>
        <v>-70.2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164.93326103756453</v>
      </c>
      <c r="BJ203" s="62">
        <f t="shared" si="206"/>
        <v>115.86489547584461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26.182877305050052</v>
      </c>
      <c r="BQ203" s="23">
        <f>EXP(-LN(2)/25)*BQ202+(1-EXP(-LN(2)/25))/(LN(2)/25)*Calculateur!BL203*Calculateur!BN203*VLOOKUP('Données projet'!$B$11,Paramètres!$A$1:$I$88,3,0)*0.475*44/12</f>
        <v>2.0627172883780887</v>
      </c>
      <c r="BR203" s="23">
        <f>EXP(-LN(2)/2)*BR202+(1-EXP(-LN(2)/2))/(LN(2)/2)*BL203*BO203*VLOOKUP('Données projet'!$B$11,Paramètres!$A$1:$I$88,3,0)*0.475*44/12</f>
        <v>2.7188611400510399E-14</v>
      </c>
      <c r="BS203" s="24">
        <f t="shared" si="169"/>
        <v>28.245594593428169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1.4037863041747067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1.4647057438198998</v>
      </c>
      <c r="BA205" s="88">
        <f>EXP(LN('Données projet'!B88)/'Données projet'!A88)</f>
        <v>1.1867200975826817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workbookViewId="0">
      <selection activeCell="E10" sqref="E10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0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1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0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2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2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1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0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1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6" thickBot="1" x14ac:dyDescent="0.25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2">
      <c r="A92" s="131" t="s">
        <v>208</v>
      </c>
    </row>
    <row r="93" spans="1:14" x14ac:dyDescent="0.2">
      <c r="A93" s="131" t="s">
        <v>209</v>
      </c>
    </row>
    <row r="94" spans="1:14" x14ac:dyDescent="0.2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6" workbookViewId="0">
      <selection activeCell="A16" sqref="A1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1" t="s">
        <v>271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3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Douglas</v>
      </c>
      <c r="B6" s="155">
        <f>'Données projet'!D9</f>
        <v>26.1</v>
      </c>
      <c r="C6" s="156">
        <f ca="1">IF(OR('Données projet'!B9="",'Données projet'!C9="",'Données projet'!C9=0%),0,Calculateur!S3)</f>
        <v>461.42631729930201</v>
      </c>
      <c r="D6" s="156">
        <f>IF(OR('Données projet'!B9="",'Données projet'!C9="",'Données projet'!C9=0%),0,Calculateur!T3)</f>
        <v>570.46734160592086</v>
      </c>
      <c r="E6" s="156">
        <f ca="1">MIN(C6,D6)</f>
        <v>461.42631729930201</v>
      </c>
      <c r="F6" s="156">
        <f ca="1">E6*B6</f>
        <v>12043.226881511784</v>
      </c>
      <c r="G6" s="156">
        <f ca="1">F6*(100%-'Données projet'!$C$24)*(100%-'Données projet'!$C$25)*(100%-'Données projet'!$C$26)*(100%-'Données projet'!$C$27)</f>
        <v>10838.904193360606</v>
      </c>
      <c r="H6" s="157">
        <f>IF(OR('Données projet'!B9="",'Données projet'!C9="",'Données projet'!C9=0%),0,AVERAGE(Calculateur!$AC$3:$AC$33)*B6)</f>
        <v>257.61076429104781</v>
      </c>
      <c r="I6" s="158">
        <f>H6*(100%-'Données projet'!$C$24)*(100%-'Données projet'!$C$25)*(100%-'Données projet'!$C$26)*(100%-'Données projet'!$C$27)</f>
        <v>231.84968786194304</v>
      </c>
      <c r="J6" s="159">
        <f>IF(OR('Données projet'!B9="",'Données projet'!C9="",'Données projet'!C9=0%),0,SUM(Calculateur!$V$3:$V$33)*VLOOKUP('Données projet'!$B$9,Paramètres!$A$1:$I$88,9,0)*B6)</f>
        <v>2166.0389999999998</v>
      </c>
      <c r="K6" s="160">
        <f>J6*(100%-'Données projet'!$C$24)*(100%-'Données projet'!$C$25)*(100%-'Données projet'!$C$26)*(100%-'Données projet'!$C$27)</f>
        <v>1949.4350999999999</v>
      </c>
      <c r="L6" s="161">
        <f ca="1">G6+I6+K6</f>
        <v>13020.188981222549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Mélèze d'Europe</v>
      </c>
      <c r="B7" s="163">
        <f>'Données projet'!D10</f>
        <v>3.2</v>
      </c>
      <c r="C7" s="156">
        <f ca="1">IF(OR('Données projet'!B10="",'Données projet'!C10="",'Données projet'!C10=0%),0,Calculateur!AN3)</f>
        <v>272.66985936980086</v>
      </c>
      <c r="D7" s="156">
        <f>IF(OR('Données projet'!B10="",'Données projet'!C10="",'Données projet'!C10=0%),0,Calculateur!AO3)</f>
        <v>320.12040114313697</v>
      </c>
      <c r="E7" s="156">
        <f t="shared" ref="E7:E15" ca="1" si="0">MIN(C7,D7)</f>
        <v>272.66985936980086</v>
      </c>
      <c r="F7" s="156">
        <f t="shared" ref="F7:F15" ca="1" si="1">E7*B7</f>
        <v>872.54354998336282</v>
      </c>
      <c r="G7" s="156">
        <f ca="1">F7*(100%-'Données projet'!$C$24)*(100%-'Données projet'!$C$25)*(100%-'Données projet'!$C$26)*(100%-'Données projet'!$C$27)</f>
        <v>785.2891949850266</v>
      </c>
      <c r="H7" s="164">
        <f>IF(OR('Données projet'!B10="",'Données projet'!C10="",'Données projet'!C10=0%),0,AVERAGE(Calculateur!$AX$3:$AX$33)*B7)</f>
        <v>71.246104701384226</v>
      </c>
      <c r="I7" s="158">
        <f>H7*(100%-'Données projet'!$C$24)*(100%-'Données projet'!$C$25)*(100%-'Données projet'!$C$26)*(100%-'Données projet'!$C$27)</f>
        <v>64.121494231245805</v>
      </c>
      <c r="J7" s="159">
        <f>IF(OR('Données projet'!B10="",'Données projet'!C10="",'Données projet'!C10=0%),0,SUM(Calculateur!$AQ$3:$AQ$33)*VLOOKUP('Données projet'!$B$10,Paramètres!$A$1:$I$88,9,0)*B7)</f>
        <v>333.54240000000004</v>
      </c>
      <c r="K7" s="160">
        <f>J7*(100%-'Données projet'!$C$24)*(100%-'Données projet'!$C$25)*(100%-'Données projet'!$C$26)*(100%-'Données projet'!$C$27)</f>
        <v>300.18816000000004</v>
      </c>
      <c r="L7" s="161">
        <f t="shared" ref="L7:L15" ca="1" si="2">G7+I7+K7</f>
        <v>1149.5988492162724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Cèdre de l'Atlas</v>
      </c>
      <c r="B8" s="163">
        <f>'Données projet'!D11</f>
        <v>1.6</v>
      </c>
      <c r="C8" s="156">
        <f ca="1">IF(OR('Données projet'!B11="",'Données projet'!C11="",'Données projet'!C11=0%),0,Calculateur!BI3)</f>
        <v>164.93326103756453</v>
      </c>
      <c r="D8" s="156">
        <f>IF(OR('Données projet'!B11="",'Données projet'!C11="",'Données projet'!C11=0%),0,Calculateur!BJ3)</f>
        <v>115.86489547584461</v>
      </c>
      <c r="E8" s="156">
        <f t="shared" ca="1" si="0"/>
        <v>115.86489547584461</v>
      </c>
      <c r="F8" s="156">
        <f t="shared" ca="1" si="1"/>
        <v>185.38383276135139</v>
      </c>
      <c r="G8" s="156">
        <f ca="1">F8*(100%-'Données projet'!$C$24)*(100%-'Données projet'!$C$25)*(100%-'Données projet'!$C$26)*(100%-'Données projet'!$C$27)</f>
        <v>166.84544948521625</v>
      </c>
      <c r="H8" s="164">
        <f>IF(OR('Données projet'!B11="",'Données projet'!C11="",'Données projet'!C11=0%),0,AVERAGE(Calculateur!$BS$3:$BS$33)*B8)</f>
        <v>0.87455523119953549</v>
      </c>
      <c r="I8" s="158">
        <f>H8*(100%-'Données projet'!$C$24)*(100%-'Données projet'!$C$25)*(100%-'Données projet'!$C$26)*(100%-'Données projet'!$C$27)</f>
        <v>0.78709970807958196</v>
      </c>
      <c r="J8" s="159">
        <f>IF(OR('Données projet'!B11="",'Données projet'!C11="",'Données projet'!C11=0%),0,SUM(Calculateur!$BL$3:$BL$33)*VLOOKUP('Données projet'!$B$11,Paramètres!$A$1:$I$88,9,0)*B8)</f>
        <v>27.52</v>
      </c>
      <c r="K8" s="160">
        <f>J8*(100%-'Données projet'!$C$24)*(100%-'Données projet'!$C$25)*(100%-'Données projet'!$C$26)*(100%-'Données projet'!$C$27)</f>
        <v>24.768000000000001</v>
      </c>
      <c r="L8" s="161">
        <f t="shared" ca="1" si="2"/>
        <v>192.40054919329583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projet'!$B$12,Paramètres!$A$1:$I$88,9,0)*B9)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projet'!$B$13,Paramètres!$A$1:$I$88,9,0)*B10)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projet'!$B$14,Paramètres!$A$1:$I$88,9,0)*B11)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projet'!$B$15,Paramètres!$A$1:$I$88,9,0)*B12)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13101.154264256498</v>
      </c>
      <c r="G16" s="175">
        <f t="shared" ca="1" si="3"/>
        <v>11791.038837830849</v>
      </c>
      <c r="H16" s="176">
        <f t="shared" si="3"/>
        <v>329.73142422363156</v>
      </c>
      <c r="I16" s="176">
        <f t="shared" si="3"/>
        <v>296.75828180126848</v>
      </c>
      <c r="J16" s="177">
        <f t="shared" si="3"/>
        <v>2527.1014</v>
      </c>
      <c r="K16" s="177">
        <f t="shared" si="3"/>
        <v>2274.3912599999999</v>
      </c>
      <c r="L16" s="178">
        <f t="shared" ca="1" si="3"/>
        <v>14362.188379632118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3" t="s">
        <v>246</v>
      </c>
      <c r="G17" s="314"/>
      <c r="H17" s="314"/>
      <c r="I17" s="314"/>
      <c r="J17" s="314"/>
      <c r="K17" s="314"/>
      <c r="L17" s="314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15"/>
      <c r="G18" s="315"/>
      <c r="H18" s="315"/>
      <c r="I18" s="315"/>
      <c r="J18" s="315"/>
      <c r="K18" s="315"/>
      <c r="L18" s="315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Mélèze d'Europe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5" zoomScaleNormal="85" workbookViewId="0">
      <selection activeCell="I20" sqref="I20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1" t="s">
        <v>272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33" t="s">
        <v>316</v>
      </c>
      <c r="I4" s="333"/>
      <c r="K4" s="330" t="s">
        <v>253</v>
      </c>
      <c r="L4" s="331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2" t="s">
        <v>311</v>
      </c>
      <c r="S7" s="323"/>
      <c r="T7" s="323"/>
      <c r="U7" s="323"/>
      <c r="V7" s="324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312</v>
      </c>
      <c r="C9" s="25"/>
      <c r="D9" s="25"/>
      <c r="E9" s="25"/>
      <c r="F9" s="260"/>
      <c r="G9" s="259" t="s">
        <v>315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318</v>
      </c>
      <c r="C10" s="25"/>
      <c r="D10" s="25"/>
      <c r="E10" s="25"/>
      <c r="F10" s="260"/>
      <c r="G10" s="259" t="s">
        <v>317</v>
      </c>
      <c r="J10" s="213"/>
      <c r="K10" s="224"/>
      <c r="O10" s="25"/>
      <c r="P10" s="25"/>
      <c r="Q10" s="264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3622.3910415491182</v>
      </c>
      <c r="U10" s="190">
        <f>'Données projet'!D9</f>
        <v>26.1</v>
      </c>
      <c r="V10" s="189">
        <f>U10*T10</f>
        <v>94544.406184431995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313</v>
      </c>
      <c r="B11" s="25"/>
      <c r="C11" s="25"/>
      <c r="D11" s="25"/>
      <c r="E11" s="25"/>
      <c r="F11" s="260"/>
      <c r="G11" s="259" t="s">
        <v>314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Mélèze d'Europe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1553.1424012858265</v>
      </c>
      <c r="U11" s="190">
        <f>'Données projet'!D10</f>
        <v>3.2</v>
      </c>
      <c r="V11" s="189">
        <f t="shared" ref="V11" si="0">U11*T11</f>
        <v>4970.0556841146454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Cèdre de l'Atlas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-2093.9730373986599</v>
      </c>
      <c r="U12" s="190">
        <f>'Données projet'!D11</f>
        <v>1.6</v>
      </c>
      <c r="V12" s="189">
        <f t="shared" ref="V12:V19" si="1">U12*T12</f>
        <v>-3350.3568598378561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0"/>
      <c r="G14" s="220"/>
      <c r="H14" s="185" t="s">
        <v>178</v>
      </c>
      <c r="I14" s="185" t="s">
        <v>291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34" t="s">
        <v>319</v>
      </c>
      <c r="H15" s="203"/>
      <c r="I15" s="204">
        <v>0</v>
      </c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287</v>
      </c>
      <c r="F16" s="260"/>
      <c r="G16" s="334"/>
      <c r="H16" s="203"/>
      <c r="I16" s="204"/>
      <c r="J16" s="215"/>
      <c r="K16" s="224"/>
      <c r="L16" s="330" t="s">
        <v>254</v>
      </c>
      <c r="M16" s="331"/>
      <c r="N16" s="2">
        <v>30</v>
      </c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>
        <v>1444.3</v>
      </c>
      <c r="F17" s="260"/>
      <c r="G17" s="334"/>
      <c r="J17" s="215"/>
      <c r="K17" s="224"/>
      <c r="L17" s="288" t="s">
        <v>290</v>
      </c>
      <c r="M17" s="290"/>
      <c r="N17" s="187">
        <f>VLOOKUP(N16,Calculateur!$A$2:$H$153,3,0)/VLOOKUP('Scénario référence'!$G$15,Paramètres!A1:I88,3,0)/VLOOKUP('Scénario référence'!$G$15,Paramètres!A1:I88,5,0)</f>
        <v>29.999999999999993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34"/>
      <c r="J18" s="215"/>
      <c r="K18" s="224"/>
      <c r="L18" s="288" t="s">
        <v>255</v>
      </c>
      <c r="M18" s="290"/>
      <c r="N18" s="205">
        <v>10</v>
      </c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34"/>
      <c r="H19" s="231" t="s">
        <v>178</v>
      </c>
      <c r="I19" s="231" t="s">
        <v>288</v>
      </c>
      <c r="J19" s="259"/>
      <c r="K19" s="183"/>
      <c r="L19" s="330" t="s">
        <v>289</v>
      </c>
      <c r="M19" s="331"/>
      <c r="N19" s="191">
        <f>N17*N18</f>
        <v>299.99999999999994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34"/>
      <c r="H20" s="203">
        <v>1</v>
      </c>
      <c r="I20" s="204">
        <v>2479.4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2</v>
      </c>
      <c r="I21" s="204">
        <v>495</v>
      </c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3</v>
      </c>
      <c r="I22" s="204">
        <v>528</v>
      </c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15</v>
      </c>
      <c r="B23" s="193">
        <f>'Données projet'!D36</f>
        <v>0</v>
      </c>
      <c r="C23" s="206">
        <f>'Données projet'!E36*59+SUM('Données projet'!F36:G36)*19.4+'Données projet'!H36*10</f>
        <v>19.399999999999999</v>
      </c>
      <c r="D23" s="194">
        <f>B23*C23</f>
        <v>0</v>
      </c>
      <c r="E23" s="206"/>
      <c r="F23" s="260"/>
      <c r="H23" s="203">
        <v>4</v>
      </c>
      <c r="I23" s="204">
        <v>550</v>
      </c>
      <c r="K23" s="224"/>
      <c r="L23" s="332" t="s">
        <v>260</v>
      </c>
      <c r="M23" s="332"/>
      <c r="N23" s="332"/>
      <c r="O23" s="25"/>
      <c r="P23" s="25"/>
      <c r="Q23" s="264"/>
      <c r="R23" s="25"/>
      <c r="S23" s="185" t="s">
        <v>264</v>
      </c>
      <c r="T23" s="32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-19705.062638759613</v>
      </c>
      <c r="U23" s="327"/>
      <c r="V23" s="32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20</v>
      </c>
      <c r="B24" s="193">
        <f>'Données projet'!D37</f>
        <v>43</v>
      </c>
      <c r="C24" s="206">
        <f>'Données projet'!E37*59+SUM('Données projet'!F37:G37)*19.4+'Données projet'!H37*10</f>
        <v>19.399999999999999</v>
      </c>
      <c r="D24" s="194">
        <f t="shared" ref="D24:D42" si="2">B24*C24</f>
        <v>834.19999999999993</v>
      </c>
      <c r="E24" s="206"/>
      <c r="F24" s="263"/>
      <c r="H24" s="203">
        <v>5</v>
      </c>
      <c r="I24" s="204"/>
      <c r="K24" s="224"/>
      <c r="O24" s="25"/>
      <c r="P24" s="25"/>
      <c r="Q24" s="264"/>
      <c r="R24" s="25"/>
      <c r="S24" s="185" t="s">
        <v>261</v>
      </c>
      <c r="T24" s="328">
        <f ca="1">'Scénario référence'!$B$8*$M$30*'Données projet'!$C$5+('Scénario référence'!B9+'Scénario référence'!B10+'Scénario référence'!F8+'Scénario référence'!F9)*$N$19/(1+M4)^N16*'Données projet'!$C$5</f>
        <v>2475.0901437499174</v>
      </c>
      <c r="U24" s="328"/>
      <c r="V24" s="32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25</v>
      </c>
      <c r="B25" s="193">
        <f>'Données projet'!D38</f>
        <v>60</v>
      </c>
      <c r="C25" s="206">
        <f>'Données projet'!E38*59+SUM('Données projet'!F38:G38)*19.4+'Données projet'!H38*10</f>
        <v>19.399999999999999</v>
      </c>
      <c r="D25" s="194">
        <f t="shared" si="2"/>
        <v>1164</v>
      </c>
      <c r="E25" s="206"/>
      <c r="F25" s="263"/>
      <c r="G25" s="1"/>
      <c r="H25" s="203"/>
      <c r="I25" s="204"/>
      <c r="K25" s="224"/>
      <c r="L25" s="270" t="s">
        <v>285</v>
      </c>
      <c r="M25" s="270"/>
      <c r="N25" s="270"/>
      <c r="O25" s="270"/>
      <c r="P25" s="205">
        <v>0</v>
      </c>
      <c r="Q25" s="264"/>
      <c r="R25" s="25"/>
      <c r="S25" s="198" t="s">
        <v>266</v>
      </c>
      <c r="T25" s="329">
        <f ca="1">T23-T24</f>
        <v>-22180.152782509529</v>
      </c>
      <c r="U25" s="329"/>
      <c r="V25" s="32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30</v>
      </c>
      <c r="B26" s="193">
        <f>'Données projet'!D39</f>
        <v>90</v>
      </c>
      <c r="C26" s="206">
        <f>'Données projet'!E39*59+SUM('Données projet'!F39:G39)*19.4+'Données projet'!H39*10</f>
        <v>19.399999999999999</v>
      </c>
      <c r="D26" s="194">
        <f t="shared" si="2"/>
        <v>1745.9999999999998</v>
      </c>
      <c r="E26" s="206"/>
      <c r="F26" s="263"/>
      <c r="G26" s="258"/>
      <c r="H26" s="203"/>
      <c r="I26" s="204"/>
      <c r="K26" s="224"/>
      <c r="L26" s="316" t="s">
        <v>258</v>
      </c>
      <c r="M26" s="317"/>
      <c r="N26" s="317"/>
      <c r="O26" s="317"/>
      <c r="P26" s="318"/>
      <c r="Q26" s="264"/>
      <c r="R26" s="25"/>
      <c r="S26" s="198" t="s">
        <v>265</v>
      </c>
      <c r="T26" s="326" t="str">
        <f ca="1">IF(T25&lt;0,"Votre projet est additionnel","Votre projet n'est pas additionnel")</f>
        <v>Votre projet est additionnel</v>
      </c>
      <c r="U26" s="326"/>
      <c r="V26" s="32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35</v>
      </c>
      <c r="B27" s="193">
        <f>'Données projet'!D40</f>
        <v>72</v>
      </c>
      <c r="C27" s="206">
        <f>'Données projet'!E40*59+SUM('Données projet'!F40:G40)*19.4+'Données projet'!H40*10</f>
        <v>27.32</v>
      </c>
      <c r="D27" s="194">
        <f t="shared" si="2"/>
        <v>1967.04</v>
      </c>
      <c r="E27" s="206"/>
      <c r="F27" s="263"/>
      <c r="G27" s="258"/>
      <c r="H27" s="203"/>
      <c r="I27" s="204"/>
      <c r="K27" s="224"/>
      <c r="L27" s="319"/>
      <c r="M27" s="320"/>
      <c r="N27" s="320"/>
      <c r="O27" s="320"/>
      <c r="P27" s="321"/>
      <c r="Q27" s="264"/>
      <c r="R27" s="25"/>
      <c r="S27" s="325" t="s">
        <v>267</v>
      </c>
      <c r="T27" s="325"/>
      <c r="U27" s="325"/>
      <c r="V27" s="32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40</v>
      </c>
      <c r="B28" s="193">
        <f>'Données projet'!D41</f>
        <v>77</v>
      </c>
      <c r="C28" s="206">
        <f>'Données projet'!E41*59+SUM('Données projet'!F41:G41)*19.4+'Données projet'!H41*10</f>
        <v>27.32</v>
      </c>
      <c r="D28" s="194">
        <f t="shared" si="2"/>
        <v>2103.64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45</v>
      </c>
      <c r="B29" s="193">
        <f>'Données projet'!D42</f>
        <v>64</v>
      </c>
      <c r="C29" s="206">
        <f>'Données projet'!E42*59+SUM('Données projet'!F42:G42)*19.4+'Données projet'!H42*10</f>
        <v>35.24</v>
      </c>
      <c r="D29" s="194">
        <f t="shared" si="2"/>
        <v>2255.36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50</v>
      </c>
      <c r="B30" s="193">
        <f>'Données projet'!D43</f>
        <v>62</v>
      </c>
      <c r="C30" s="206">
        <f>'Données projet'!E43*59+SUM('Données projet'!F43:G43)*19.4+'Données projet'!H43*10</f>
        <v>35.24</v>
      </c>
      <c r="D30" s="194">
        <f t="shared" si="2"/>
        <v>2184.88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55</v>
      </c>
      <c r="B31" s="193">
        <f>'Données projet'!D44</f>
        <v>46</v>
      </c>
      <c r="C31" s="206">
        <f>'Données projet'!E44*59+SUM('Données projet'!F44:G44)*19.4+'Données projet'!H44*10</f>
        <v>43.16</v>
      </c>
      <c r="D31" s="194">
        <f t="shared" si="2"/>
        <v>1985.36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60</v>
      </c>
      <c r="B32" s="193">
        <f>'Données projet'!D45</f>
        <v>35</v>
      </c>
      <c r="C32" s="206">
        <f>'Données projet'!E45*59+SUM('Données projet'!F45:G45)*19.4+'Données projet'!H45*10</f>
        <v>43.16</v>
      </c>
      <c r="D32" s="194">
        <f t="shared" si="2"/>
        <v>1510.6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65</v>
      </c>
      <c r="B33" s="193">
        <f>'Données projet'!D46</f>
        <v>769</v>
      </c>
      <c r="C33" s="206">
        <f>'Données projet'!E46*59+SUM('Données projet'!F46:G46)*19.4+'Données projet'!H46*10</f>
        <v>51.080000000000005</v>
      </c>
      <c r="D33" s="194">
        <f t="shared" si="2"/>
        <v>39280.520000000004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>
        <f>'Données projet'!E47*30+SUM('Données projet'!F47:G47)*19.4+'Données projet'!H47*10</f>
        <v>0</v>
      </c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>
        <f>'Données projet'!E48*30+SUM('Données projet'!F48:G48)*19.4+'Données projet'!H48*10</f>
        <v>0</v>
      </c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>
        <f>'Données projet'!E49*30+SUM('Données projet'!F49:G49)*19.4+'Données projet'!H49*10</f>
        <v>0</v>
      </c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>
        <f>'Données projet'!E50*30+SUM('Données projet'!F50:G50)*19.4+'Données projet'!H50*10</f>
        <v>0</v>
      </c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>
        <f>'Données projet'!E51*30+SUM('Données projet'!F51:G51)*19.4+'Données projet'!H51*10</f>
        <v>0</v>
      </c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>
        <f>'Données projet'!E52*30+SUM('Données projet'!F52:G52)*19.4+'Données projet'!H52*10</f>
        <v>0</v>
      </c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>
        <f>'Données projet'!E53*30+SUM('Données projet'!F53:G53)*19.4+'Données projet'!H53*10</f>
        <v>0</v>
      </c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>
        <f>'Données projet'!E54*30+SUM('Données projet'!F54:G54)*19.4+'Données projet'!H54*10</f>
        <v>0</v>
      </c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>
        <f>'Données projet'!E55*30+SUM('Données projet'!F55:G55)*19.4+'Données projet'!H55*10</f>
        <v>0</v>
      </c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Mélèze d'Europe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287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>
        <v>1415.7</v>
      </c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12</v>
      </c>
      <c r="B54" s="193">
        <f>'Données projet'!D62</f>
        <v>18.5</v>
      </c>
      <c r="C54" s="206">
        <f>'Données projet'!E62*50+SUM('Données projet'!F62:G62)*19.4+'Données projet'!H62*10</f>
        <v>19.399999999999999</v>
      </c>
      <c r="D54" s="191">
        <f>B54*C54</f>
        <v>358.9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18</v>
      </c>
      <c r="B55" s="193">
        <f>'Données projet'!D63</f>
        <v>84.4</v>
      </c>
      <c r="C55" s="206">
        <f>'Données projet'!E63*50+SUM('Données projet'!F63:G63)*19.4+'Données projet'!H63*10</f>
        <v>19.399999999999999</v>
      </c>
      <c r="D55" s="191">
        <f t="shared" ref="D55:D73" si="4">B55*C55</f>
        <v>1637.36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24</v>
      </c>
      <c r="B56" s="193">
        <f>'Données projet'!D64</f>
        <v>75.900000000000006</v>
      </c>
      <c r="C56" s="206">
        <f>'Données projet'!E64*50+SUM('Données projet'!F64:G64)*19.4+'Données projet'!H64*10</f>
        <v>19.399999999999999</v>
      </c>
      <c r="D56" s="191">
        <f t="shared" si="4"/>
        <v>1472.46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30</v>
      </c>
      <c r="B57" s="193">
        <f>'Données projet'!D65</f>
        <v>63.6</v>
      </c>
      <c r="C57" s="206">
        <f>'Données projet'!E65*50+SUM('Données projet'!F65:G65)*19.4+'Données projet'!H65*10</f>
        <v>19.399999999999999</v>
      </c>
      <c r="D57" s="191">
        <f t="shared" si="4"/>
        <v>1233.8399999999999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36</v>
      </c>
      <c r="B58" s="193">
        <f>'Données projet'!D66</f>
        <v>58.7</v>
      </c>
      <c r="C58" s="206">
        <f>'Données projet'!E66*50+SUM('Données projet'!F66:G66)*19.4+'Données projet'!H66*10</f>
        <v>25.52</v>
      </c>
      <c r="D58" s="191">
        <f t="shared" si="4"/>
        <v>1498.0240000000001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42</v>
      </c>
      <c r="B59" s="193">
        <f>'Données projet'!D67</f>
        <v>55.5</v>
      </c>
      <c r="C59" s="206">
        <f>'Données projet'!E67*50+SUM('Données projet'!F67:G67)*19.4+'Données projet'!H67*10</f>
        <v>25.52</v>
      </c>
      <c r="D59" s="191">
        <f t="shared" si="4"/>
        <v>1416.36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48</v>
      </c>
      <c r="B60" s="193">
        <f>'Données projet'!D68</f>
        <v>51.6</v>
      </c>
      <c r="C60" s="206">
        <f>'Données projet'!E68*50+SUM('Données projet'!F68:G68)*19.4+'Données projet'!H68*10</f>
        <v>31.64</v>
      </c>
      <c r="D60" s="191">
        <f t="shared" si="4"/>
        <v>1632.624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54</v>
      </c>
      <c r="B61" s="193">
        <f>'Données projet'!D69</f>
        <v>50.4</v>
      </c>
      <c r="C61" s="206">
        <f>'Données projet'!E69*50+SUM('Données projet'!F69:G69)*19.4+'Données projet'!H69*10</f>
        <v>31.64</v>
      </c>
      <c r="D61" s="191">
        <f t="shared" si="4"/>
        <v>1594.6559999999999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60</v>
      </c>
      <c r="B62" s="193">
        <f>'Données projet'!D70</f>
        <v>45.2</v>
      </c>
      <c r="C62" s="206">
        <f>'Données projet'!E70*50+SUM('Données projet'!F70:G70)*19.4+'Données projet'!H70*10</f>
        <v>37.76</v>
      </c>
      <c r="D62" s="191">
        <f t="shared" si="4"/>
        <v>1706.752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66</v>
      </c>
      <c r="B63" s="193">
        <f>'Données projet'!D71</f>
        <v>45.5</v>
      </c>
      <c r="C63" s="206">
        <f>'Données projet'!E71*50+SUM('Données projet'!F71:G71)*19.4+'Données projet'!H71*10</f>
        <v>37.76</v>
      </c>
      <c r="D63" s="191">
        <f t="shared" si="4"/>
        <v>1718.08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72</v>
      </c>
      <c r="B64" s="193">
        <f>'Données projet'!D72</f>
        <v>447</v>
      </c>
      <c r="C64" s="206">
        <f>'Données projet'!E72*50+SUM('Données projet'!F72:G72)*19.4+'Données projet'!H72*10</f>
        <v>43.88</v>
      </c>
      <c r="D64" s="191">
        <f t="shared" si="4"/>
        <v>19614.36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6">
        <f>'Données projet'!E73*30+SUM('Données projet'!F73:G73)*19.4+'Données projet'!H73*10</f>
        <v>0</v>
      </c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6">
        <f>'Données projet'!E74*30+SUM('Données projet'!F74:G74)*19.4+'Données projet'!H74*10</f>
        <v>0</v>
      </c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6">
        <f>'Données projet'!E75*30+SUM('Données projet'!F75:G75)*19.4+'Données projet'!H75*10</f>
        <v>0</v>
      </c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6">
        <f>'Données projet'!E76*30+SUM('Données projet'!F76:G76)*19.4+'Données projet'!H76*10</f>
        <v>0</v>
      </c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6">
        <f>'Données projet'!E77*30+SUM('Données projet'!F77:G77)*19.4+'Données projet'!H77*10</f>
        <v>0</v>
      </c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6">
        <f>'Données projet'!E78*30+SUM('Données projet'!F78:G78)*19.4+'Données projet'!H78*10</f>
        <v>0</v>
      </c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6">
        <f>'Données projet'!E79*30+SUM('Données projet'!F79:G79)*19.4+'Données projet'!H79*10</f>
        <v>0</v>
      </c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6">
        <f>'Données projet'!E80*30+SUM('Données projet'!F80:G80)*19.4+'Données projet'!H80*10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6">
        <f>'Données projet'!E81*30+SUM('Données projet'!F81:G81)*19.4+'Données projet'!H81*10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287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>
        <v>2860</v>
      </c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30</v>
      </c>
      <c r="B85" s="193">
        <f>'Données projet'!D88</f>
        <v>40</v>
      </c>
      <c r="C85" s="206">
        <f>'Données projet'!E88*30+SUM('Données projet'!F88:G88)*19.4+'Données projet'!H88*10</f>
        <v>19.399999999999999</v>
      </c>
      <c r="D85" s="191">
        <f>B85*C85</f>
        <v>776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40</v>
      </c>
      <c r="B86" s="193">
        <f>'Données projet'!D89</f>
        <v>40</v>
      </c>
      <c r="C86" s="206">
        <f>'Données projet'!E89*30+SUM('Données projet'!F89:G89)*19.4+'Données projet'!H89*10</f>
        <v>21.52</v>
      </c>
      <c r="D86" s="191">
        <f t="shared" ref="D86:D104" si="6">B86*C86</f>
        <v>860.8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50</v>
      </c>
      <c r="B87" s="193">
        <f>'Données projet'!D90</f>
        <v>30</v>
      </c>
      <c r="C87" s="206">
        <f>'Données projet'!E90*30+SUM('Données projet'!F90:G90)*19.4+'Données projet'!H90*10</f>
        <v>21.52</v>
      </c>
      <c r="D87" s="191">
        <f t="shared" si="6"/>
        <v>645.6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60</v>
      </c>
      <c r="B88" s="193">
        <f>'Données projet'!D91</f>
        <v>30</v>
      </c>
      <c r="C88" s="206">
        <f>'Données projet'!E91*30+SUM('Données projet'!F91:G91)*19.4+'Données projet'!H91*10</f>
        <v>23.64</v>
      </c>
      <c r="D88" s="191">
        <f t="shared" si="6"/>
        <v>709.2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70</v>
      </c>
      <c r="B89" s="193">
        <f>'Données projet'!D92</f>
        <v>30</v>
      </c>
      <c r="C89" s="206">
        <f>'Données projet'!E92*30+SUM('Données projet'!F92:G92)*19.4+'Données projet'!H92*10</f>
        <v>23.64</v>
      </c>
      <c r="D89" s="191">
        <f t="shared" si="6"/>
        <v>709.2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80</v>
      </c>
      <c r="B90" s="193">
        <f>'Données projet'!D93</f>
        <v>30</v>
      </c>
      <c r="C90" s="206">
        <f>'Données projet'!E93*30+SUM('Données projet'!F93:G93)*19.4+'Données projet'!H93*10</f>
        <v>25.759999999999998</v>
      </c>
      <c r="D90" s="191">
        <f t="shared" si="6"/>
        <v>772.8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90</v>
      </c>
      <c r="B91" s="193">
        <f>'Données projet'!D94</f>
        <v>30</v>
      </c>
      <c r="C91" s="206">
        <f>'Données projet'!E94*30+SUM('Données projet'!F94:G94)*19.4+'Données projet'!H94*10</f>
        <v>25.759999999999998</v>
      </c>
      <c r="D91" s="191">
        <f t="shared" si="6"/>
        <v>772.8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100</v>
      </c>
      <c r="B92" s="193">
        <f>'Données projet'!D95</f>
        <v>640</v>
      </c>
      <c r="C92" s="206">
        <f>'Données projet'!E95*30+SUM('Données projet'!F95:G95)*19.4+'Données projet'!H95*10</f>
        <v>27.88</v>
      </c>
      <c r="D92" s="191">
        <f t="shared" si="6"/>
        <v>17843.2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6">
        <f>'Données projet'!E96*30+SUM('Données projet'!F96:G96)*19.4+'Données projet'!H96*10</f>
        <v>0</v>
      </c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6">
        <f>'Données projet'!E97*30+SUM('Données projet'!F97:G97)*19.4+'Données projet'!H97*10</f>
        <v>0</v>
      </c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6">
        <f>'Données projet'!E98*30+SUM('Données projet'!F98:G98)*19.4+'Données projet'!H98*10</f>
        <v>0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6">
        <f>'Données projet'!E99*30+SUM('Données projet'!F99:G99)*19.4+'Données projet'!H99*10</f>
        <v>0</v>
      </c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6">
        <f>'Données projet'!E100*30+SUM('Données projet'!F100:G100)*19.4+'Données projet'!H100*10</f>
        <v>0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6">
        <f>'Données projet'!E101*30+SUM('Données projet'!F101:G101)*19.4+'Données projet'!H101*10</f>
        <v>0</v>
      </c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6">
        <f>'Données projet'!E102*30+SUM('Données projet'!F102:G102)*19.4+'Données projet'!H102*10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6">
        <f>'Données projet'!E103*30+SUM('Données projet'!F103:G103)*19.4+'Données projet'!H103*10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6">
        <f>'Données projet'!E104*30+SUM('Données projet'!F104:G104)*19.4+'Données projet'!H104*10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6">
        <f>'Données projet'!E105*30+SUM('Données projet'!F105:G105)*19.4+'Données projet'!H105*10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6">
        <f>'Données projet'!E106*30+SUM('Données projet'!F106:G106)*19.4+'Données projet'!H106*10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6">
        <f>'Données projet'!E107*30+SUM('Données projet'!F107:G107)*19.4+'Données projet'!H107*10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287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6">
        <f>'Données projet'!E114*30+SUM('Données projet'!F114:G114)*19.4+'Données projet'!H114*10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6">
        <f>'Données projet'!E115*30+SUM('Données projet'!F115:G115)*19.4+'Données projet'!H115*10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6">
        <f>'Données projet'!E116*30+SUM('Données projet'!F116:G116)*19.4+'Données projet'!H116*10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6">
        <f>'Données projet'!E117*30+SUM('Données projet'!F117:G117)*19.4+'Données projet'!H117*10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6">
        <f>'Données projet'!E118*30+SUM('Données projet'!F118:G118)*19.4+'Données projet'!H118*10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6">
        <f>'Données projet'!E119*30+SUM('Données projet'!F119:G119)*19.4+'Données projet'!H119*10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6">
        <f>'Données projet'!E120*30+SUM('Données projet'!F120:G120)*19.4+'Données projet'!H120*10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6">
        <f>'Données projet'!E121*30+SUM('Données projet'!F121:G121)*19.4+'Données projet'!H121*10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6">
        <f>'Données projet'!E122*30+SUM('Données projet'!F122:G122)*19.4+'Données projet'!H122*10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6">
        <f>'Données projet'!E123*30+SUM('Données projet'!F123:G123)*19.4+'Données projet'!H123*10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6">
        <f>'Données projet'!E124*30+SUM('Données projet'!F124:G124)*19.4+'Données projet'!H124*10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6">
        <f>'Données projet'!E125*30+SUM('Données projet'!F125:G125)*19.4+'Données projet'!H125*10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6">
        <f>'Données projet'!E126*30+SUM('Données projet'!F126:G126)*19.4+'Données projet'!H126*10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6">
        <f>'Données projet'!E127*30+SUM('Données projet'!F127:G127)*19.4+'Données projet'!H127*10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6">
        <f>'Données projet'!E128*30+SUM('Données projet'!F128:G128)*19.4+'Données projet'!H128*10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6">
        <f>'Données projet'!E129*30+SUM('Données projet'!F129:G129)*19.4+'Données projet'!H129*10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6">
        <f>'Données projet'!E130*30+SUM('Données projet'!F130:G130)*19.4+'Données projet'!H130*10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6">
        <f>'Données projet'!E131*30+SUM('Données projet'!F131:G131)*19.4+'Données projet'!H131*10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6">
        <f>'Données projet'!E132*30+SUM('Données projet'!F132:G132)*19.4+'Données projet'!H132*10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6">
        <f>'Données projet'!E133*30+SUM('Données projet'!F133:G133)*19.4+'Données projet'!H133*10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287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6">
        <f>'Données projet'!E140*30+SUM('Données projet'!F140:G140)*19.4+'Données projet'!H140*10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6">
        <f>'Données projet'!E141*30+SUM('Données projet'!F141:G141)*19.4+'Données projet'!H141*10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6">
        <f>'Données projet'!E142*30+SUM('Données projet'!F142:G142)*19.4+'Données projet'!H142*10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6">
        <f>'Données projet'!E143*30+SUM('Données projet'!F143:G143)*19.4+'Données projet'!H143*10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6">
        <f>'Données projet'!E144*30+SUM('Données projet'!F144:G144)*19.4+'Données projet'!H144*10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6">
        <f>'Données projet'!E145*30+SUM('Données projet'!F145:G145)*19.4+'Données projet'!H145*10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6">
        <f>'Données projet'!E146*30+SUM('Données projet'!F146:G146)*19.4+'Données projet'!H146*10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6">
        <f>'Données projet'!E147*30+SUM('Données projet'!F147:G147)*19.4+'Données projet'!H147*10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6">
        <f>'Données projet'!E148*30+SUM('Données projet'!F148:G148)*19.4+'Données projet'!H148*10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6">
        <f>'Données projet'!E149*30+SUM('Données projet'!F149:G149)*19.4+'Données projet'!H149*10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6">
        <f>'Données projet'!E150*30+SUM('Données projet'!F150:G150)*19.4+'Données projet'!H150*10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6">
        <f>'Données projet'!E151*30+SUM('Données projet'!F151:G151)*19.4+'Données projet'!H151*10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6">
        <f>'Données projet'!E152*30+SUM('Données projet'!F152:G152)*19.4+'Données projet'!H152*10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6">
        <f>'Données projet'!E153*30+SUM('Données projet'!F153:G153)*19.4+'Données projet'!H153*10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6">
        <f>'Données projet'!E154*30+SUM('Données projet'!F154:G154)*19.4+'Données projet'!H154*10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6">
        <f>'Données projet'!E155*30+SUM('Données projet'!F155:G155)*19.4+'Données projet'!H155*10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6">
        <f>'Données projet'!E156*30+SUM('Données projet'!F156:G156)*19.4+'Données projet'!H156*10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6">
        <f>'Données projet'!E157*30+SUM('Données projet'!F157:G157)*19.4+'Données projet'!H157*10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6">
        <f>'Données projet'!E158*30+SUM('Données projet'!F158:G158)*19.4+'Données projet'!H158*10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6">
        <f>'Données projet'!E159*30+SUM('Données projet'!F159:G159)*19.4+'Données projet'!H159*10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287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'Données projet'!E166*30+SUM('Données projet'!F166:G166)*19.4+'Données projet'!H166*10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'Données projet'!E167*30+SUM('Données projet'!F167:G167)*19.4+'Données projet'!H167*10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'Données projet'!E168*30+SUM('Données projet'!F168:G168)*19.4+'Données projet'!H168*10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'Données projet'!E169*30+SUM('Données projet'!F169:G169)*19.4+'Données projet'!H169*10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'Données projet'!E170*30+SUM('Données projet'!F170:G170)*19.4+'Données projet'!H170*10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'Données projet'!E171*30+SUM('Données projet'!F171:G171)*19.4+'Données projet'!H171*10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'Données projet'!E172*30+SUM('Données projet'!F172:G172)*19.4+'Données projet'!H172*10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'Données projet'!E173*30+SUM('Données projet'!F173:G173)*19.4+'Données projet'!H173*10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'Données projet'!E174*30+SUM('Données projet'!F174:G174)*19.4+'Données projet'!H174*10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'Données projet'!E175*30+SUM('Données projet'!F175:G175)*19.4+'Données projet'!H175*10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'Données projet'!E176*30+SUM('Données projet'!F176:G176)*19.4+'Données projet'!H176*10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'Données projet'!E177*30+SUM('Données projet'!F177:G177)*19.4+'Données projet'!H177*10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'Données projet'!E178*30+SUM('Données projet'!F178:G178)*19.4+'Données projet'!H178*10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'Données projet'!E179*30+SUM('Données projet'!F179:G179)*19.4+'Données projet'!H179*10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'Données projet'!E180*30+SUM('Données projet'!F180:G180)*19.4+'Données projet'!H180*10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'Données projet'!E181*30+SUM('Données projet'!F181:G181)*19.4+'Données projet'!H181*10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'Données projet'!E182*30+SUM('Données projet'!F182:G182)*19.4+'Données projet'!H182*10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'Données projet'!E183*30+SUM('Données projet'!F183:G183)*19.4+'Données projet'!H183*10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'Données projet'!E184*30+SUM('Données projet'!F184:G184)*19.4+'Données projet'!H184*10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'Données projet'!E185*30+SUM('Données projet'!F185:G185)*19.4+'Données projet'!H185*10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287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'Données projet'!E192*30+SUM('Données projet'!F192:G192)*19.4+'Données projet'!H192*10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'Données projet'!E193*30+SUM('Données projet'!F193:G193)*19.4+'Données projet'!H193*10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'Données projet'!E194*30+SUM('Données projet'!F194:G194)*19.4+'Données projet'!H194*10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'Données projet'!E195*30+SUM('Données projet'!F195:G195)*19.4+'Données projet'!H195*10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'Données projet'!E196*30+SUM('Données projet'!F196:G196)*19.4+'Données projet'!H196*10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'Données projet'!E197*30+SUM('Données projet'!F197:G197)*19.4+'Données projet'!H197*10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'Données projet'!E198*30+SUM('Données projet'!F198:G198)*19.4+'Données projet'!H198*10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'Données projet'!E199*30+SUM('Données projet'!F199:G199)*19.4+'Données projet'!H199*10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'Données projet'!E200*30+SUM('Données projet'!F200:G200)*19.4+'Données projet'!H200*10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'Données projet'!E201*30+SUM('Données projet'!F201:G201)*19.4+'Données projet'!H201*10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'Données projet'!E202*30+SUM('Données projet'!F202:G202)*19.4+'Données projet'!H202*10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'Données projet'!E203*30+SUM('Données projet'!F203:G203)*19.4+'Données projet'!H203*10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'Données projet'!E204*30+SUM('Données projet'!F204:G204)*19.4+'Données projet'!H204*10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'Données projet'!E205*30+SUM('Données projet'!F205:G205)*19.4+'Données projet'!H205*10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'Données projet'!E206*30+SUM('Données projet'!F206:G206)*19.4+'Données projet'!H206*10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'Données projet'!E207*30+SUM('Données projet'!F207:G207)*19.4+'Données projet'!H207*10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'Données projet'!E208*30+SUM('Données projet'!F208:G208)*19.4+'Données projet'!H208*10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'Données projet'!E209*30+SUM('Données projet'!F209:G209)*19.4+'Données projet'!H209*10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'Données projet'!E210*30+SUM('Données projet'!F210:G210)*19.4+'Données projet'!H210*10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'Données projet'!E211*30+SUM('Données projet'!F211:G211)*19.4+'Données projet'!H211*10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287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'Données projet'!E218*30+SUM('Données projet'!F218:G218)*19.4+'Données projet'!H218*10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'Données projet'!E219*30+SUM('Données projet'!F219:G219)*19.4+'Données projet'!H219*10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'Données projet'!E220*30+SUM('Données projet'!F220:G220)*19.4+'Données projet'!H220*10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'Données projet'!E221*30+SUM('Données projet'!F221:G221)*19.4+'Données projet'!H221*10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'Données projet'!E222*30+SUM('Données projet'!F222:G222)*19.4+'Données projet'!H222*10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'Données projet'!E223*30+SUM('Données projet'!F223:G223)*19.4+'Données projet'!H223*10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'Données projet'!E224*30+SUM('Données projet'!F224:G224)*19.4+'Données projet'!H224*10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'Données projet'!E225*30+SUM('Données projet'!F225:G225)*19.4+'Données projet'!H225*10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'Données projet'!E226*30+SUM('Données projet'!F226:G226)*19.4+'Données projet'!H226*10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'Données projet'!E227*30+SUM('Données projet'!F227:G227)*19.4+'Données projet'!H227*10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'Données projet'!E228*30+SUM('Données projet'!F228:G228)*19.4+'Données projet'!H228*10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'Données projet'!E229*30+SUM('Données projet'!F229:G229)*19.4+'Données projet'!H229*10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'Données projet'!E230*30+SUM('Données projet'!F230:G230)*19.4+'Données projet'!H230*10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'Données projet'!E231*30+SUM('Données projet'!F231:G231)*19.4+'Données projet'!H231*10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'Données projet'!E232*30+SUM('Données projet'!F232:G232)*19.4+'Données projet'!H232*10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'Données projet'!E233*30+SUM('Données projet'!F233:G233)*19.4+'Données projet'!H233*10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'Données projet'!E234*30+SUM('Données projet'!F234:G234)*19.4+'Données projet'!H234*10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'Données projet'!E235*30+SUM('Données projet'!F235:G235)*19.4+'Données projet'!H235*10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'Données projet'!E236*30+SUM('Données projet'!F236:G236)*19.4+'Données projet'!H236*10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'Données projet'!E237*30+SUM('Données projet'!F237:G237)*19.4+'Données projet'!H237*10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287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'Données projet'!E244*30+SUM('Données projet'!F244:G244)*19.4+'Données projet'!H244*10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'Données projet'!E245*30+SUM('Données projet'!F245:G245)*19.4+'Données projet'!H245*10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'Données projet'!E246*30+SUM('Données projet'!F246:G246)*19.4+'Données projet'!H246*10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'Données projet'!E247*30+SUM('Données projet'!F247:G247)*19.4+'Données projet'!H247*10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'Données projet'!E248*30+SUM('Données projet'!F248:G248)*19.4+'Données projet'!H248*10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'Données projet'!E249*30+SUM('Données projet'!F249:G249)*19.4+'Données projet'!H249*10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'Données projet'!E250*30+SUM('Données projet'!F250:G250)*19.4+'Données projet'!H250*10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'Données projet'!E251*30+SUM('Données projet'!F251:G251)*19.4+'Données projet'!H251*10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'Données projet'!E252*30+SUM('Données projet'!F252:G252)*19.4+'Données projet'!H252*10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'Données projet'!E253*30+SUM('Données projet'!F253:G253)*19.4+'Données projet'!H253*10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'Données projet'!E254*30+SUM('Données projet'!F254:G254)*19.4+'Données projet'!H254*10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'Données projet'!E255*30+SUM('Données projet'!F255:G255)*19.4+'Données projet'!H255*10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'Données projet'!E256*30+SUM('Données projet'!F256:G256)*19.4+'Données projet'!H256*10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'Données projet'!E257*30+SUM('Données projet'!F257:G257)*19.4+'Données projet'!H257*10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'Données projet'!E258*30+SUM('Données projet'!F258:G258)*19.4+'Données projet'!H258*10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'Données projet'!E259*30+SUM('Données projet'!F259:G259)*19.4+'Données projet'!H259*10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'Données projet'!E260*30+SUM('Données projet'!F260:G260)*19.4+'Données projet'!H260*10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'Données projet'!E261*30+SUM('Données projet'!F261:G261)*19.4+'Données projet'!H261*10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'Données projet'!E262*30+SUM('Données projet'!F262:G262)*19.4+'Données projet'!H262*10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'Données projet'!E263*30+SUM('Données projet'!F263:G263)*19.4+'Données projet'!H263*10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287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6">
        <f>'Données projet'!E270*30+SUM('Données projet'!F270:G270)*19.4+'Données projet'!H270*10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6">
        <f>'Données projet'!E271*30+SUM('Données projet'!F271:G271)*19.4+'Données projet'!H271*10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6">
        <f>'Données projet'!E272*30+SUM('Données projet'!F272:G272)*19.4+'Données projet'!H272*10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6">
        <f>'Données projet'!E273*30+SUM('Données projet'!F273:G273)*19.4+'Données projet'!H273*10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6">
        <f>'Données projet'!E274*30+SUM('Données projet'!F274:G274)*19.4+'Données projet'!H274*10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6">
        <f>'Données projet'!E275*30+SUM('Données projet'!F275:G275)*19.4+'Données projet'!H275*10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6">
        <f>'Données projet'!E276*30+SUM('Données projet'!F276:G276)*19.4+'Données projet'!H276*10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6">
        <f>'Données projet'!E277*30+SUM('Données projet'!F277:G277)*19.4+'Données projet'!H277*10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6">
        <f>'Données projet'!E278*30+SUM('Données projet'!F278:G278)*19.4+'Données projet'!H278*10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6">
        <f>'Données projet'!E279*30+SUM('Données projet'!F279:G279)*19.4+'Données projet'!H279*10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6">
        <f>'Données projet'!E280*30+SUM('Données projet'!F280:G280)*19.4+'Données projet'!H280*10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6">
        <f>'Données projet'!E281*30+SUM('Données projet'!F281:G281)*19.4+'Données projet'!H281*10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6">
        <f>'Données projet'!E282*30+SUM('Données projet'!F282:G282)*19.4+'Données projet'!H282*10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6">
        <f>'Données projet'!E283*30+SUM('Données projet'!F283:G283)*19.4+'Données projet'!H283*10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6">
        <f>'Données projet'!E284*30+SUM('Données projet'!F284:G284)*19.4+'Données projet'!H284*10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6">
        <f>'Données projet'!E285*30+SUM('Données projet'!F285:G285)*19.4+'Données projet'!H285*10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6">
        <f>'Données projet'!E286*30+SUM('Données projet'!F286:G286)*19.4+'Données projet'!H286*10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6">
        <f>'Données projet'!E287*30+SUM('Données projet'!F287:G287)*19.4+'Données projet'!H287*10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6">
        <f>'Données projet'!E288*30+SUM('Données projet'!F288:G288)*19.4+'Données projet'!H288*10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6">
        <f>'Données projet'!E289*30+SUM('Données projet'!F289:G289)*19.4+'Données projet'!H289*10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2021-10-20T17:24:06Z</dcterms:modified>
</cp:coreProperties>
</file>