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23040" windowHeight="919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6" l="1"/>
  <c r="C76" i="6"/>
  <c r="C77" i="6"/>
  <c r="C78" i="6"/>
  <c r="C79" i="6"/>
  <c r="C80" i="6"/>
  <c r="C81" i="6"/>
  <c r="C82" i="6"/>
  <c r="C83" i="6"/>
  <c r="C74" i="6"/>
  <c r="C49" i="6"/>
  <c r="C50" i="6"/>
  <c r="C51" i="6"/>
  <c r="C52" i="6"/>
  <c r="C53" i="6"/>
  <c r="C54" i="6"/>
  <c r="C55" i="6"/>
  <c r="C56" i="6"/>
  <c r="C57" i="6"/>
  <c r="C58" i="6"/>
  <c r="C48" i="6"/>
  <c r="C23" i="6"/>
  <c r="C24" i="6"/>
  <c r="C25" i="6"/>
  <c r="C26" i="6"/>
  <c r="C27" i="6"/>
  <c r="C28" i="6"/>
  <c r="C29" i="6"/>
  <c r="C30" i="6"/>
  <c r="C22" i="6"/>
  <c r="E21" i="6" l="1"/>
  <c r="E47" i="6"/>
  <c r="E73" i="6"/>
  <c r="J14" i="6"/>
  <c r="J15" i="6"/>
  <c r="J16" i="6"/>
  <c r="J13" i="6"/>
  <c r="J12" i="6"/>
  <c r="B16" i="7" l="1"/>
  <c r="B17" i="7"/>
  <c r="C153" i="6" l="1"/>
  <c r="C154" i="6"/>
  <c r="C155" i="6"/>
  <c r="C152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00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HI4" i="2" l="1"/>
  <c r="HI5" i="2" s="1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GN4" i="2"/>
  <c r="GN5" i="2" s="1"/>
  <c r="GN6" i="2" s="1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FS4" i="2"/>
  <c r="FS5" i="2" s="1"/>
  <c r="FS6" i="2" s="1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EX4" i="2"/>
  <c r="EX5" i="2" s="1"/>
  <c r="EX6" i="2" s="1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S63" i="6"/>
  <c r="H19" i="2"/>
  <c r="D20" i="2"/>
  <c r="G20" i="2" s="1"/>
  <c r="S36" i="6"/>
  <c r="J33" i="6" l="1"/>
  <c r="S64" i="6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G4" i="2" s="1"/>
  <c r="HE4" i="2"/>
  <c r="HH4" i="2" s="1"/>
  <c r="GJ4" i="2"/>
  <c r="GM4" i="2" s="1"/>
  <c r="FO4" i="2"/>
  <c r="FR4" i="2" s="1"/>
  <c r="DY4" i="2"/>
  <c r="ES4" i="2"/>
  <c r="EV4" i="2" s="1"/>
  <c r="DX4" i="2"/>
  <c r="GI4" i="2"/>
  <c r="GL4" i="2" s="1"/>
  <c r="CI4" i="2"/>
  <c r="ET4" i="2"/>
  <c r="EW4" i="2" s="1"/>
  <c r="DC4" i="2"/>
  <c r="DF4" i="2" s="1"/>
  <c r="BM4" i="2"/>
  <c r="DD4" i="2"/>
  <c r="DG4" i="2" s="1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CM4" i="2"/>
  <c r="BR4" i="2"/>
  <c r="BQ4" i="2"/>
  <c r="HG5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HH5" i="2" s="1"/>
  <c r="GJ5" i="2"/>
  <c r="GM5" i="2" s="1"/>
  <c r="HD5" i="2"/>
  <c r="GI5" i="2"/>
  <c r="GL5" i="2" s="1"/>
  <c r="FO5" i="2"/>
  <c r="FR5" i="2" s="1"/>
  <c r="FN5" i="2"/>
  <c r="FQ5" i="2" s="1"/>
  <c r="DY5" i="2"/>
  <c r="ET5" i="2"/>
  <c r="EW5" i="2" s="1"/>
  <c r="ES5" i="2"/>
  <c r="EV5" i="2" s="1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G6" i="2" l="1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L6" i="2" s="1"/>
  <c r="GJ6" i="2"/>
  <c r="GM6" i="2" s="1"/>
  <c r="ET6" i="2"/>
  <c r="EW6" i="2" s="1"/>
  <c r="FO6" i="2"/>
  <c r="FR6" i="2" s="1"/>
  <c r="FN6" i="2"/>
  <c r="FQ6" i="2" s="1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C6" i="2" l="1"/>
  <c r="EB6" i="2"/>
  <c r="DH6" i="2"/>
  <c r="HH7" i="2"/>
  <c r="HG7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GM7" i="2" s="1"/>
  <c r="HD7" i="2"/>
  <c r="HE7" i="2"/>
  <c r="GI7" i="2"/>
  <c r="GL7" i="2" s="1"/>
  <c r="ES7" i="2"/>
  <c r="EV7" i="2" s="1"/>
  <c r="ET7" i="2"/>
  <c r="EW7" i="2" s="1"/>
  <c r="FO7" i="2"/>
  <c r="FR7" i="2" s="1"/>
  <c r="FN7" i="2"/>
  <c r="FQ7" i="2" s="1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GM8" i="2" s="1"/>
  <c r="FO8" i="2"/>
  <c r="FR8" i="2" s="1"/>
  <c r="HE8" i="2"/>
  <c r="HH8" i="2" s="1"/>
  <c r="GI8" i="2"/>
  <c r="GL8" i="2" s="1"/>
  <c r="DY8" i="2"/>
  <c r="ES8" i="2"/>
  <c r="EV8" i="2" s="1"/>
  <c r="DX8" i="2"/>
  <c r="FN8" i="2"/>
  <c r="FQ8" i="2" s="1"/>
  <c r="ET8" i="2"/>
  <c r="EW8" i="2" s="1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B8" i="2" l="1"/>
  <c r="HH9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GM9" i="2" s="1"/>
  <c r="HD9" i="2"/>
  <c r="HG9" i="2" s="1"/>
  <c r="FO9" i="2"/>
  <c r="FR9" i="2" s="1"/>
  <c r="FN9" i="2"/>
  <c r="FQ9" i="2" s="1"/>
  <c r="DY9" i="2"/>
  <c r="DD9" i="2"/>
  <c r="GI9" i="2"/>
  <c r="GL9" i="2" s="1"/>
  <c r="ES9" i="2"/>
  <c r="EV9" i="2" s="1"/>
  <c r="DX9" i="2"/>
  <c r="CH9" i="2"/>
  <c r="AS9" i="2"/>
  <c r="CI9" i="2"/>
  <c r="X9" i="2"/>
  <c r="AR9" i="2"/>
  <c r="BN9" i="2"/>
  <c r="BM9" i="2"/>
  <c r="ET9" i="2"/>
  <c r="EW9" i="2" s="1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R10" i="2" l="1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L10" i="2" s="1"/>
  <c r="GJ10" i="2"/>
  <c r="GM10" i="2" s="1"/>
  <c r="ET10" i="2"/>
  <c r="EW10" i="2" s="1"/>
  <c r="FN10" i="2"/>
  <c r="FQ10" i="2" s="1"/>
  <c r="FO10" i="2"/>
  <c r="BN10" i="2"/>
  <c r="ES10" i="2"/>
  <c r="EV10" i="2" s="1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DH10" i="2" l="1"/>
  <c r="FR11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GM11" i="2" s="1"/>
  <c r="HD11" i="2"/>
  <c r="HG11" i="2" s="1"/>
  <c r="HE11" i="2"/>
  <c r="HH11" i="2" s="1"/>
  <c r="GI11" i="2"/>
  <c r="GL11" i="2" s="1"/>
  <c r="FO11" i="2"/>
  <c r="ES11" i="2"/>
  <c r="EV11" i="2" s="1"/>
  <c r="ET11" i="2"/>
  <c r="EW11" i="2" s="1"/>
  <c r="FN11" i="2"/>
  <c r="FQ11" i="2" s="1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FQ12" i="2"/>
  <c r="FR12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G12" i="2" s="1"/>
  <c r="HE12" i="2"/>
  <c r="HH12" i="2" s="1"/>
  <c r="FO12" i="2"/>
  <c r="GI12" i="2"/>
  <c r="GL12" i="2" s="1"/>
  <c r="DY12" i="2"/>
  <c r="GJ12" i="2"/>
  <c r="GM12" i="2" s="1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DH12" i="2" l="1"/>
  <c r="A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HH13" i="2" s="1"/>
  <c r="GJ13" i="2"/>
  <c r="GM13" i="2" s="1"/>
  <c r="GI13" i="2"/>
  <c r="GL13" i="2" s="1"/>
  <c r="FO13" i="2"/>
  <c r="FR13" i="2" s="1"/>
  <c r="FN13" i="2"/>
  <c r="FQ13" i="2" s="1"/>
  <c r="HD13" i="2"/>
  <c r="HG13" i="2" s="1"/>
  <c r="DY13" i="2"/>
  <c r="ET13" i="2"/>
  <c r="EW13" i="2" s="1"/>
  <c r="ES13" i="2"/>
  <c r="EV13" i="2" s="1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DH13" i="2" l="1"/>
  <c r="EW14" i="2"/>
  <c r="AU13" i="2"/>
  <c r="DG13" i="2"/>
  <c r="DF13" i="2"/>
  <c r="EC13" i="2"/>
  <c r="EA13" i="2"/>
  <c r="EB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GL14" i="2" s="1"/>
  <c r="ET14" i="2"/>
  <c r="FO14" i="2"/>
  <c r="FR14" i="2" s="1"/>
  <c r="FN14" i="2"/>
  <c r="FQ14" i="2" s="1"/>
  <c r="GJ14" i="2"/>
  <c r="GM14" i="2" s="1"/>
  <c r="DY14" i="2"/>
  <c r="ES14" i="2"/>
  <c r="EV14" i="2" s="1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AW14" i="2" l="1"/>
  <c r="HH15" i="2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M15" i="2" s="1"/>
  <c r="HD15" i="2"/>
  <c r="HG15" i="2" s="1"/>
  <c r="HE15" i="2"/>
  <c r="GI15" i="2"/>
  <c r="GL15" i="2" s="1"/>
  <c r="ES15" i="2"/>
  <c r="EV15" i="2" s="1"/>
  <c r="ET15" i="2"/>
  <c r="EW15" i="2" s="1"/>
  <c r="FN15" i="2"/>
  <c r="FQ15" i="2" s="1"/>
  <c r="DY15" i="2"/>
  <c r="FO15" i="2"/>
  <c r="FR15" i="2" s="1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CM15" i="2" l="1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HG16" i="2" s="1"/>
  <c r="GJ16" i="2"/>
  <c r="GM16" i="2" s="1"/>
  <c r="HE16" i="2"/>
  <c r="HH16" i="2" s="1"/>
  <c r="FO16" i="2"/>
  <c r="FR16" i="2" s="1"/>
  <c r="GI16" i="2"/>
  <c r="GL16" i="2" s="1"/>
  <c r="DY16" i="2"/>
  <c r="ES16" i="2"/>
  <c r="EV16" i="2" s="1"/>
  <c r="DX16" i="2"/>
  <c r="FN16" i="2"/>
  <c r="FQ16" i="2" s="1"/>
  <c r="ET16" i="2"/>
  <c r="EW16" i="2" s="1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HH17" i="2" s="1"/>
  <c r="GJ17" i="2"/>
  <c r="GM17" i="2" s="1"/>
  <c r="HD17" i="2"/>
  <c r="HG17" i="2" s="1"/>
  <c r="FO17" i="2"/>
  <c r="FR17" i="2" s="1"/>
  <c r="FN17" i="2"/>
  <c r="FQ17" i="2" s="1"/>
  <c r="GI17" i="2"/>
  <c r="GL17" i="2" s="1"/>
  <c r="DY17" i="2"/>
  <c r="DD17" i="2"/>
  <c r="ET17" i="2"/>
  <c r="EW17" i="2" s="1"/>
  <c r="CH17" i="2"/>
  <c r="AS17" i="2"/>
  <c r="CI17" i="2"/>
  <c r="X17" i="2"/>
  <c r="AR17" i="2"/>
  <c r="ES17" i="2"/>
  <c r="EV17" i="2" s="1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DG17" i="2" l="1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HH18" i="2" s="1"/>
  <c r="GI18" i="2"/>
  <c r="GL18" i="2" s="1"/>
  <c r="GJ18" i="2"/>
  <c r="GM18" i="2" s="1"/>
  <c r="ET18" i="2"/>
  <c r="EW18" i="2" s="1"/>
  <c r="FN18" i="2"/>
  <c r="FQ18" i="2" s="1"/>
  <c r="DY18" i="2"/>
  <c r="DD18" i="2"/>
  <c r="BN18" i="2"/>
  <c r="FO18" i="2"/>
  <c r="FR18" i="2" s="1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GM19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G19" i="2" s="1"/>
  <c r="HE19" i="2"/>
  <c r="HH19" i="2" s="1"/>
  <c r="GI19" i="2"/>
  <c r="GL19" i="2" s="1"/>
  <c r="FO19" i="2"/>
  <c r="FR19" i="2" s="1"/>
  <c r="ES19" i="2"/>
  <c r="EV19" i="2" s="1"/>
  <c r="ET19" i="2"/>
  <c r="EW19" i="2" s="1"/>
  <c r="DX19" i="2"/>
  <c r="DC19" i="2"/>
  <c r="DY19" i="2"/>
  <c r="DD19" i="2"/>
  <c r="BN19" i="2"/>
  <c r="FN19" i="2"/>
  <c r="FQ19" i="2" s="1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C19" i="2" l="1"/>
  <c r="EB19" i="2"/>
  <c r="DG19" i="2"/>
  <c r="GM20" i="2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FR20" i="2" s="1"/>
  <c r="DY20" i="2"/>
  <c r="ES20" i="2"/>
  <c r="EV20" i="2" s="1"/>
  <c r="DX20" i="2"/>
  <c r="CI20" i="2"/>
  <c r="BM20" i="2"/>
  <c r="GI20" i="2"/>
  <c r="GL20" i="2" s="1"/>
  <c r="ET20" i="2"/>
  <c r="EW20" i="2" s="1"/>
  <c r="DC20" i="2"/>
  <c r="CH20" i="2"/>
  <c r="BN20" i="2"/>
  <c r="AS20" i="2"/>
  <c r="AR20" i="2"/>
  <c r="FN20" i="2"/>
  <c r="FQ20" i="2" s="1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HG21" i="2"/>
  <c r="EW21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GM21" i="2" s="1"/>
  <c r="HD21" i="2"/>
  <c r="GI21" i="2"/>
  <c r="GL21" i="2" s="1"/>
  <c r="FO21" i="2"/>
  <c r="FR21" i="2" s="1"/>
  <c r="FN21" i="2"/>
  <c r="FQ21" i="2" s="1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C21" i="2" l="1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L22" i="2" s="1"/>
  <c r="GJ22" i="2"/>
  <c r="GM22" i="2" s="1"/>
  <c r="ET22" i="2"/>
  <c r="EW22" i="2" s="1"/>
  <c r="FO22" i="2"/>
  <c r="FR22" i="2" s="1"/>
  <c r="FN22" i="2"/>
  <c r="FQ22" i="2" s="1"/>
  <c r="DY22" i="2"/>
  <c r="ES22" i="2"/>
  <c r="EV22" i="2" s="1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M23" i="2" s="1"/>
  <c r="HD23" i="2"/>
  <c r="HG23" i="2" s="1"/>
  <c r="HE23" i="2"/>
  <c r="HH23" i="2" s="1"/>
  <c r="GI23" i="2"/>
  <c r="GL23" i="2" s="1"/>
  <c r="ES23" i="2"/>
  <c r="EV23" i="2" s="1"/>
  <c r="ET23" i="2"/>
  <c r="EW23" i="2" s="1"/>
  <c r="FO23" i="2"/>
  <c r="FR23" i="2" s="1"/>
  <c r="FN23" i="2"/>
  <c r="FQ23" i="2" s="1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H24" i="2" l="1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GM24" i="2" s="1"/>
  <c r="FO24" i="2"/>
  <c r="FR24" i="2" s="1"/>
  <c r="GI24" i="2"/>
  <c r="GL24" i="2" s="1"/>
  <c r="DY24" i="2"/>
  <c r="ES24" i="2"/>
  <c r="EV24" i="2" s="1"/>
  <c r="DX24" i="2"/>
  <c r="FN24" i="2"/>
  <c r="FQ24" i="2" s="1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M24" i="2" l="1"/>
  <c r="HH25" i="2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GM25" i="2" s="1"/>
  <c r="FO25" i="2"/>
  <c r="FR25" i="2" s="1"/>
  <c r="FN25" i="2"/>
  <c r="FQ25" i="2" s="1"/>
  <c r="DY25" i="2"/>
  <c r="GI25" i="2"/>
  <c r="GL25" i="2" s="1"/>
  <c r="DD25" i="2"/>
  <c r="HD25" i="2"/>
  <c r="HG25" i="2" s="1"/>
  <c r="ES25" i="2"/>
  <c r="EV25" i="2" s="1"/>
  <c r="DX25" i="2"/>
  <c r="CH25" i="2"/>
  <c r="AS25" i="2"/>
  <c r="CI25" i="2"/>
  <c r="BM25" i="2"/>
  <c r="X25" i="2"/>
  <c r="ET25" i="2"/>
  <c r="EW25" i="2" s="1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CM25" i="2"/>
  <c r="FR26" i="2"/>
  <c r="HH26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G26" i="2" s="1"/>
  <c r="HE26" i="2"/>
  <c r="GI26" i="2"/>
  <c r="GL26" i="2" s="1"/>
  <c r="GJ26" i="2"/>
  <c r="GM26" i="2" s="1"/>
  <c r="ET26" i="2"/>
  <c r="EW26" i="2" s="1"/>
  <c r="FN26" i="2"/>
  <c r="FQ26" i="2" s="1"/>
  <c r="FO26" i="2"/>
  <c r="BN26" i="2"/>
  <c r="ES26" i="2"/>
  <c r="EV26" i="2" s="1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CM26" i="2"/>
  <c r="EA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M27" i="2" s="1"/>
  <c r="HD27" i="2"/>
  <c r="HG27" i="2" s="1"/>
  <c r="HE27" i="2"/>
  <c r="HH27" i="2" s="1"/>
  <c r="GI27" i="2"/>
  <c r="GL27" i="2" s="1"/>
  <c r="FO27" i="2"/>
  <c r="FR27" i="2" s="1"/>
  <c r="ES27" i="2"/>
  <c r="EV27" i="2" s="1"/>
  <c r="ET27" i="2"/>
  <c r="EW27" i="2" s="1"/>
  <c r="FN27" i="2"/>
  <c r="FQ27" i="2" s="1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CM27" i="2"/>
  <c r="GL28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HH28" i="2" s="1"/>
  <c r="FO28" i="2"/>
  <c r="FR28" i="2" s="1"/>
  <c r="GI28" i="2"/>
  <c r="DY28" i="2"/>
  <c r="ES28" i="2"/>
  <c r="EV28" i="2" s="1"/>
  <c r="DX28" i="2"/>
  <c r="GJ28" i="2"/>
  <c r="GM28" i="2" s="1"/>
  <c r="DD28" i="2"/>
  <c r="CI28" i="2"/>
  <c r="BM28" i="2"/>
  <c r="FN28" i="2"/>
  <c r="FQ28" i="2" s="1"/>
  <c r="DC28" i="2"/>
  <c r="CH28" i="2"/>
  <c r="BN28" i="2"/>
  <c r="AS28" i="2"/>
  <c r="AR28" i="2"/>
  <c r="ET28" i="2"/>
  <c r="EW28" i="2" s="1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DG28" i="2"/>
  <c r="C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HH29" i="2" s="1"/>
  <c r="GJ29" i="2"/>
  <c r="GM29" i="2" s="1"/>
  <c r="HD29" i="2"/>
  <c r="HG29" i="2" s="1"/>
  <c r="GI29" i="2"/>
  <c r="GL29" i="2" s="1"/>
  <c r="FO29" i="2"/>
  <c r="FR29" i="2" s="1"/>
  <c r="FN29" i="2"/>
  <c r="FQ29" i="2" s="1"/>
  <c r="DY29" i="2"/>
  <c r="ET29" i="2"/>
  <c r="EW29" i="2" s="1"/>
  <c r="ES29" i="2"/>
  <c r="EV29" i="2" s="1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CM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G30" i="2" s="1"/>
  <c r="HE30" i="2"/>
  <c r="HH30" i="2" s="1"/>
  <c r="GI30" i="2"/>
  <c r="GL30" i="2" s="1"/>
  <c r="GJ30" i="2"/>
  <c r="GM30" i="2" s="1"/>
  <c r="ET30" i="2"/>
  <c r="EW30" i="2" s="1"/>
  <c r="FO30" i="2"/>
  <c r="FR30" i="2" s="1"/>
  <c r="FN30" i="2"/>
  <c r="FQ30" i="2" s="1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M30" i="2" l="1"/>
  <c r="EA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M31" i="2" s="1"/>
  <c r="HD31" i="2"/>
  <c r="HG31" i="2" s="1"/>
  <c r="HE31" i="2"/>
  <c r="HH31" i="2" s="1"/>
  <c r="GI31" i="2"/>
  <c r="GL31" i="2" s="1"/>
  <c r="ES31" i="2"/>
  <c r="EV31" i="2" s="1"/>
  <c r="ET31" i="2"/>
  <c r="EW31" i="2" s="1"/>
  <c r="FN31" i="2"/>
  <c r="FQ31" i="2" s="1"/>
  <c r="DY31" i="2"/>
  <c r="DC31" i="2"/>
  <c r="DX31" i="2"/>
  <c r="BN31" i="2"/>
  <c r="CI31" i="2"/>
  <c r="CH31" i="2"/>
  <c r="AS31" i="2"/>
  <c r="W31" i="2"/>
  <c r="FO31" i="2"/>
  <c r="FR31" i="2" s="1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B31" i="2" l="1"/>
  <c r="EC31" i="2"/>
  <c r="EA31" i="2"/>
  <c r="CM31" i="2"/>
  <c r="HG32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GM32" i="2" s="1"/>
  <c r="HE32" i="2"/>
  <c r="HH32" i="2" s="1"/>
  <c r="FO32" i="2"/>
  <c r="FR32" i="2" s="1"/>
  <c r="GI32" i="2"/>
  <c r="GL32" i="2" s="1"/>
  <c r="DY32" i="2"/>
  <c r="ES32" i="2"/>
  <c r="EV32" i="2" s="1"/>
  <c r="DX32" i="2"/>
  <c r="FN32" i="2"/>
  <c r="FQ32" i="2" s="1"/>
  <c r="ET32" i="2"/>
  <c r="EW32" i="2" s="1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CM32" i="2" l="1"/>
  <c r="HG33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GM33" i="2" s="1"/>
  <c r="HD33" i="2"/>
  <c r="FO33" i="2"/>
  <c r="FR33" i="2" s="1"/>
  <c r="FN33" i="2"/>
  <c r="FQ33" i="2" s="1"/>
  <c r="GI33" i="2"/>
  <c r="GL33" i="2" s="1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4" i="2" l="1"/>
  <c r="EB33" i="2"/>
  <c r="EA33" i="2"/>
  <c r="EC33" i="2"/>
  <c r="DF33" i="2"/>
  <c r="DG33" i="2"/>
  <c r="DH33" i="2"/>
  <c r="DH34" i="2" s="1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HH34" i="2" s="1"/>
  <c r="GI34" i="2"/>
  <c r="GL34" i="2" s="1"/>
  <c r="GJ34" i="2"/>
  <c r="GM34" i="2" s="1"/>
  <c r="ET34" i="2"/>
  <c r="EW34" i="2" s="1"/>
  <c r="FN34" i="2"/>
  <c r="FQ34" i="2" s="1"/>
  <c r="DD34" i="2"/>
  <c r="BN34" i="2"/>
  <c r="DY34" i="2"/>
  <c r="CH34" i="2"/>
  <c r="AS34" i="2"/>
  <c r="DC34" i="2"/>
  <c r="W34" i="2"/>
  <c r="X34" i="2"/>
  <c r="ES34" i="2"/>
  <c r="EV34" i="2" s="1"/>
  <c r="DX34" i="2"/>
  <c r="FO34" i="2"/>
  <c r="FR34" i="2" s="1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HG35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M35" i="2" s="1"/>
  <c r="HD35" i="2"/>
  <c r="HE35" i="2"/>
  <c r="HH35" i="2" s="1"/>
  <c r="GI35" i="2"/>
  <c r="GL35" i="2" s="1"/>
  <c r="FO35" i="2"/>
  <c r="FR35" i="2" s="1"/>
  <c r="ES35" i="2"/>
  <c r="EV35" i="2" s="1"/>
  <c r="ET35" i="2"/>
  <c r="EW35" i="2" s="1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DH35" i="2" s="1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HG36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HH36" i="2" s="1"/>
  <c r="GJ36" i="2"/>
  <c r="GM36" i="2" s="1"/>
  <c r="FO36" i="2"/>
  <c r="FR36" i="2" s="1"/>
  <c r="DY36" i="2"/>
  <c r="ES36" i="2"/>
  <c r="EV36" i="2" s="1"/>
  <c r="DX36" i="2"/>
  <c r="GI36" i="2"/>
  <c r="GL36" i="2" s="1"/>
  <c r="CI36" i="2"/>
  <c r="BM36" i="2"/>
  <c r="ET36" i="2"/>
  <c r="EW36" i="2" s="1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EA36" i="2" l="1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HH37" i="2" s="1"/>
  <c r="GJ37" i="2"/>
  <c r="GM37" i="2" s="1"/>
  <c r="HD37" i="2"/>
  <c r="HG37" i="2" s="1"/>
  <c r="GI37" i="2"/>
  <c r="GL37" i="2" s="1"/>
  <c r="FO37" i="2"/>
  <c r="FR37" i="2" s="1"/>
  <c r="FN37" i="2"/>
  <c r="FQ37" i="2" s="1"/>
  <c r="DY37" i="2"/>
  <c r="ET37" i="2"/>
  <c r="EW37" i="2" s="1"/>
  <c r="ES37" i="2"/>
  <c r="EV37" i="2" s="1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DH37" i="2" l="1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L38" i="2" s="1"/>
  <c r="GJ38" i="2"/>
  <c r="GM38" i="2" s="1"/>
  <c r="ET38" i="2"/>
  <c r="EW38" i="2" s="1"/>
  <c r="FO38" i="2"/>
  <c r="FR38" i="2" s="1"/>
  <c r="FN38" i="2"/>
  <c r="FQ38" i="2" s="1"/>
  <c r="DY38" i="2"/>
  <c r="ES38" i="2"/>
  <c r="EV38" i="2" s="1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B38" i="2" l="1"/>
  <c r="EA38" i="2"/>
  <c r="EC38" i="2"/>
  <c r="CM38" i="2"/>
  <c r="DH38" i="2"/>
  <c r="DG38" i="2"/>
  <c r="DF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M39" i="2" s="1"/>
  <c r="HD39" i="2"/>
  <c r="HG39" i="2" s="1"/>
  <c r="HE39" i="2"/>
  <c r="HH39" i="2" s="1"/>
  <c r="GI39" i="2"/>
  <c r="GL39" i="2" s="1"/>
  <c r="ES39" i="2"/>
  <c r="EV39" i="2" s="1"/>
  <c r="ET39" i="2"/>
  <c r="EW39" i="2" s="1"/>
  <c r="FO39" i="2"/>
  <c r="FR39" i="2" s="1"/>
  <c r="FN39" i="2"/>
  <c r="FQ39" i="2" s="1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CM39" i="2"/>
  <c r="EV40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GM40" i="2" s="1"/>
  <c r="FO40" i="2"/>
  <c r="FR40" i="2" s="1"/>
  <c r="HE40" i="2"/>
  <c r="HH40" i="2" s="1"/>
  <c r="GI40" i="2"/>
  <c r="GL40" i="2" s="1"/>
  <c r="DY40" i="2"/>
  <c r="ES40" i="2"/>
  <c r="DX40" i="2"/>
  <c r="FN40" i="2"/>
  <c r="FQ40" i="2" s="1"/>
  <c r="ET40" i="2"/>
  <c r="EW40" i="2" s="1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CM40" i="2" l="1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HH41" i="2" s="1"/>
  <c r="GJ41" i="2"/>
  <c r="GM41" i="2" s="1"/>
  <c r="HD41" i="2"/>
  <c r="HG41" i="2" s="1"/>
  <c r="FO41" i="2"/>
  <c r="FR41" i="2" s="1"/>
  <c r="FN41" i="2"/>
  <c r="FQ41" i="2" s="1"/>
  <c r="DY41" i="2"/>
  <c r="DD41" i="2"/>
  <c r="ES41" i="2"/>
  <c r="EV41" i="2" s="1"/>
  <c r="DX41" i="2"/>
  <c r="CH41" i="2"/>
  <c r="AS41" i="2"/>
  <c r="CI41" i="2"/>
  <c r="BM41" i="2"/>
  <c r="GI41" i="2"/>
  <c r="GL41" i="2" s="1"/>
  <c r="X41" i="2"/>
  <c r="AR41" i="2"/>
  <c r="BN41" i="2"/>
  <c r="DC41" i="2"/>
  <c r="W41" i="2"/>
  <c r="ET41" i="2"/>
  <c r="EW41" i="2" s="1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CM41" i="2" l="1"/>
  <c r="A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HH42" i="2" s="1"/>
  <c r="GI42" i="2"/>
  <c r="GL42" i="2" s="1"/>
  <c r="GJ42" i="2"/>
  <c r="GM42" i="2" s="1"/>
  <c r="ET42" i="2"/>
  <c r="EW42" i="2" s="1"/>
  <c r="FN42" i="2"/>
  <c r="FQ42" i="2" s="1"/>
  <c r="FO42" i="2"/>
  <c r="FR42" i="2" s="1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CM42" i="2" l="1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HH43" i="2" s="1"/>
  <c r="GI43" i="2"/>
  <c r="GL43" i="2" s="1"/>
  <c r="FO43" i="2"/>
  <c r="FR43" i="2" s="1"/>
  <c r="ES43" i="2"/>
  <c r="EV43" i="2" s="1"/>
  <c r="GJ43" i="2"/>
  <c r="GM43" i="2" s="1"/>
  <c r="ET43" i="2"/>
  <c r="EW43" i="2" s="1"/>
  <c r="FN43" i="2"/>
  <c r="FQ43" i="2" s="1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B43" i="2"/>
  <c r="CM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FR44" i="2" s="1"/>
  <c r="GI44" i="2"/>
  <c r="GL44" i="2" s="1"/>
  <c r="DY44" i="2"/>
  <c r="ES44" i="2"/>
  <c r="EV44" i="2" s="1"/>
  <c r="DX44" i="2"/>
  <c r="DD44" i="2"/>
  <c r="CI44" i="2"/>
  <c r="BM44" i="2"/>
  <c r="FN44" i="2"/>
  <c r="FQ44" i="2" s="1"/>
  <c r="DC44" i="2"/>
  <c r="ET44" i="2"/>
  <c r="EW44" i="2" s="1"/>
  <c r="CH44" i="2"/>
  <c r="BN44" i="2"/>
  <c r="AS44" i="2"/>
  <c r="AR44" i="2"/>
  <c r="GJ44" i="2"/>
  <c r="GM44" i="2" s="1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CM44" i="2"/>
  <c r="HG45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HH45" i="2" s="1"/>
  <c r="GJ45" i="2"/>
  <c r="GM45" i="2" s="1"/>
  <c r="GI45" i="2"/>
  <c r="GL45" i="2" s="1"/>
  <c r="FO45" i="2"/>
  <c r="FR45" i="2" s="1"/>
  <c r="FN45" i="2"/>
  <c r="FQ45" i="2" s="1"/>
  <c r="DY45" i="2"/>
  <c r="ET45" i="2"/>
  <c r="EW45" i="2" s="1"/>
  <c r="ES45" i="2"/>
  <c r="EV45" i="2" s="1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CM45" i="2" l="1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HH46" i="2" s="1"/>
  <c r="GI46" i="2"/>
  <c r="GL46" i="2" s="1"/>
  <c r="GJ46" i="2"/>
  <c r="GM46" i="2" s="1"/>
  <c r="ET46" i="2"/>
  <c r="EW46" i="2" s="1"/>
  <c r="FO46" i="2"/>
  <c r="FR46" i="2" s="1"/>
  <c r="FN46" i="2"/>
  <c r="FQ46" i="2" s="1"/>
  <c r="DY46" i="2"/>
  <c r="ES46" i="2"/>
  <c r="EV46" i="2" s="1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CM46" i="2" l="1"/>
  <c r="FR47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HH47" i="2" s="1"/>
  <c r="GI47" i="2"/>
  <c r="GL47" i="2" s="1"/>
  <c r="GJ47" i="2"/>
  <c r="GM47" i="2" s="1"/>
  <c r="ES47" i="2"/>
  <c r="EV47" i="2" s="1"/>
  <c r="ET47" i="2"/>
  <c r="EW47" i="2" s="1"/>
  <c r="FN47" i="2"/>
  <c r="FQ47" i="2" s="1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CM47" i="2" l="1"/>
  <c r="FR48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M48" i="2" s="1"/>
  <c r="GI48" i="2"/>
  <c r="GL48" i="2" s="1"/>
  <c r="DY48" i="2"/>
  <c r="ES48" i="2"/>
  <c r="EV48" i="2" s="1"/>
  <c r="DX48" i="2"/>
  <c r="FN48" i="2"/>
  <c r="FQ48" i="2" s="1"/>
  <c r="ET48" i="2"/>
  <c r="EW48" i="2" s="1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CM48" i="2" l="1"/>
  <c r="GM49" i="2"/>
  <c r="HH49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HG49" i="2" s="1"/>
  <c r="GJ49" i="2"/>
  <c r="FO49" i="2"/>
  <c r="FR49" i="2" s="1"/>
  <c r="FN49" i="2"/>
  <c r="FQ49" i="2" s="1"/>
  <c r="GI49" i="2"/>
  <c r="GL49" i="2" s="1"/>
  <c r="DY49" i="2"/>
  <c r="DD49" i="2"/>
  <c r="ET49" i="2"/>
  <c r="EW49" i="2" s="1"/>
  <c r="CH49" i="2"/>
  <c r="AS49" i="2"/>
  <c r="CI49" i="2"/>
  <c r="BM49" i="2"/>
  <c r="X49" i="2"/>
  <c r="AR49" i="2"/>
  <c r="ES49" i="2"/>
  <c r="EV49" i="2" s="1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CM49" i="2" l="1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HH50" i="2" s="1"/>
  <c r="GI50" i="2"/>
  <c r="GL50" i="2" s="1"/>
  <c r="GJ50" i="2"/>
  <c r="GM50" i="2" s="1"/>
  <c r="ET50" i="2"/>
  <c r="EW50" i="2" s="1"/>
  <c r="FN50" i="2"/>
  <c r="FQ50" i="2" s="1"/>
  <c r="DD50" i="2"/>
  <c r="BN50" i="2"/>
  <c r="FO50" i="2"/>
  <c r="FR50" i="2" s="1"/>
  <c r="CH50" i="2"/>
  <c r="AS50" i="2"/>
  <c r="ES50" i="2"/>
  <c r="EV50" i="2" s="1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GM51" i="2" l="1"/>
  <c r="DH50" i="2"/>
  <c r="EA50" i="2"/>
  <c r="EB50" i="2"/>
  <c r="EC50" i="2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G51" i="2" s="1"/>
  <c r="HE51" i="2"/>
  <c r="HH51" i="2" s="1"/>
  <c r="GI51" i="2"/>
  <c r="GL51" i="2" s="1"/>
  <c r="FO51" i="2"/>
  <c r="FR51" i="2" s="1"/>
  <c r="ES51" i="2"/>
  <c r="EV51" i="2" s="1"/>
  <c r="ET51" i="2"/>
  <c r="EW51" i="2" s="1"/>
  <c r="GJ51" i="2"/>
  <c r="DY51" i="2"/>
  <c r="DX51" i="2"/>
  <c r="DC51" i="2"/>
  <c r="DD51" i="2"/>
  <c r="BN51" i="2"/>
  <c r="FN51" i="2"/>
  <c r="FQ51" i="2" s="1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DH51" i="2"/>
  <c r="EB51" i="2"/>
  <c r="EA51" i="2"/>
  <c r="EC51" i="2"/>
  <c r="DF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HG52" i="2" s="1"/>
  <c r="FO52" i="2"/>
  <c r="FR52" i="2" s="1"/>
  <c r="HE52" i="2"/>
  <c r="HH52" i="2" s="1"/>
  <c r="GJ52" i="2"/>
  <c r="GM52" i="2" s="1"/>
  <c r="DY52" i="2"/>
  <c r="ES52" i="2"/>
  <c r="EV52" i="2" s="1"/>
  <c r="DX52" i="2"/>
  <c r="CI52" i="2"/>
  <c r="BM52" i="2"/>
  <c r="ET52" i="2"/>
  <c r="EW52" i="2" s="1"/>
  <c r="DC52" i="2"/>
  <c r="CH52" i="2"/>
  <c r="BN52" i="2"/>
  <c r="AS52" i="2"/>
  <c r="AR52" i="2"/>
  <c r="GI52" i="2"/>
  <c r="GL52" i="2" s="1"/>
  <c r="FN52" i="2"/>
  <c r="FQ52" i="2" s="1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DH52" i="2"/>
  <c r="GM53" i="2"/>
  <c r="FQ53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HH53" i="2" s="1"/>
  <c r="GJ53" i="2"/>
  <c r="HD53" i="2"/>
  <c r="HG53" i="2" s="1"/>
  <c r="GI53" i="2"/>
  <c r="GL53" i="2" s="1"/>
  <c r="FO53" i="2"/>
  <c r="FR53" i="2" s="1"/>
  <c r="FN53" i="2"/>
  <c r="DY53" i="2"/>
  <c r="ET53" i="2"/>
  <c r="EW53" i="2" s="1"/>
  <c r="ES53" i="2"/>
  <c r="EV53" i="2" s="1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GM54" i="2" l="1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G54" i="2" s="1"/>
  <c r="HE54" i="2"/>
  <c r="HH54" i="2" s="1"/>
  <c r="GI54" i="2"/>
  <c r="GL54" i="2" s="1"/>
  <c r="GJ54" i="2"/>
  <c r="ET54" i="2"/>
  <c r="EW54" i="2" s="1"/>
  <c r="FO54" i="2"/>
  <c r="FR54" i="2" s="1"/>
  <c r="FN54" i="2"/>
  <c r="FQ54" i="2" s="1"/>
  <c r="DY54" i="2"/>
  <c r="ES54" i="2"/>
  <c r="EV54" i="2" s="1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V55" i="2" l="1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G55" i="2" s="1"/>
  <c r="HE55" i="2"/>
  <c r="HH55" i="2" s="1"/>
  <c r="GI55" i="2"/>
  <c r="GL55" i="2" s="1"/>
  <c r="GJ55" i="2"/>
  <c r="GM55" i="2" s="1"/>
  <c r="ES55" i="2"/>
  <c r="ET55" i="2"/>
  <c r="EW55" i="2" s="1"/>
  <c r="FO55" i="2"/>
  <c r="FR55" i="2" s="1"/>
  <c r="FN55" i="2"/>
  <c r="FQ55" i="2" s="1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B55" i="2" l="1"/>
  <c r="EA55" i="2"/>
  <c r="FR56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M56" i="2" s="1"/>
  <c r="GI56" i="2"/>
  <c r="GL56" i="2" s="1"/>
  <c r="DY56" i="2"/>
  <c r="HE56" i="2"/>
  <c r="HH56" i="2" s="1"/>
  <c r="ES56" i="2"/>
  <c r="EV56" i="2" s="1"/>
  <c r="DX56" i="2"/>
  <c r="FN56" i="2"/>
  <c r="FQ56" i="2" s="1"/>
  <c r="ET56" i="2"/>
  <c r="EW56" i="2" s="1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B56" i="2" l="1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GM57" i="2" s="1"/>
  <c r="FO57" i="2"/>
  <c r="FR57" i="2" s="1"/>
  <c r="HD57" i="2"/>
  <c r="HG57" i="2" s="1"/>
  <c r="FN57" i="2"/>
  <c r="FQ57" i="2" s="1"/>
  <c r="DY57" i="2"/>
  <c r="GI57" i="2"/>
  <c r="GL57" i="2" s="1"/>
  <c r="DD57" i="2"/>
  <c r="ES57" i="2"/>
  <c r="EV57" i="2" s="1"/>
  <c r="DX57" i="2"/>
  <c r="CH57" i="2"/>
  <c r="AS57" i="2"/>
  <c r="CI57" i="2"/>
  <c r="BM57" i="2"/>
  <c r="X57" i="2"/>
  <c r="ET57" i="2"/>
  <c r="EW57" i="2" s="1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GL58" i="2" l="1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G58" i="2" s="1"/>
  <c r="HE58" i="2"/>
  <c r="HH58" i="2" s="1"/>
  <c r="GI58" i="2"/>
  <c r="GJ58" i="2"/>
  <c r="GM58" i="2" s="1"/>
  <c r="ET58" i="2"/>
  <c r="EW58" i="2" s="1"/>
  <c r="FN58" i="2"/>
  <c r="FQ58" i="2" s="1"/>
  <c r="FO58" i="2"/>
  <c r="FR58" i="2" s="1"/>
  <c r="BN58" i="2"/>
  <c r="ES58" i="2"/>
  <c r="EV58" i="2" s="1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HH59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G59" i="2" s="1"/>
  <c r="HE59" i="2"/>
  <c r="GI59" i="2"/>
  <c r="GL59" i="2" s="1"/>
  <c r="FO59" i="2"/>
  <c r="FR59" i="2" s="1"/>
  <c r="ES59" i="2"/>
  <c r="EV59" i="2" s="1"/>
  <c r="GJ59" i="2"/>
  <c r="GM59" i="2" s="1"/>
  <c r="ET59" i="2"/>
  <c r="EW59" i="2" s="1"/>
  <c r="FN59" i="2"/>
  <c r="FQ59" i="2" s="1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60" i="2" l="1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FR60" i="2" s="1"/>
  <c r="GI60" i="2"/>
  <c r="GL60" i="2" s="1"/>
  <c r="DY60" i="2"/>
  <c r="ES60" i="2"/>
  <c r="EV60" i="2" s="1"/>
  <c r="GJ60" i="2"/>
  <c r="GM60" i="2" s="1"/>
  <c r="DX60" i="2"/>
  <c r="DD60" i="2"/>
  <c r="CI60" i="2"/>
  <c r="BM60" i="2"/>
  <c r="FN60" i="2"/>
  <c r="FQ60" i="2" s="1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1" i="2" l="1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GM61" i="2" s="1"/>
  <c r="HD61" i="2"/>
  <c r="HG61" i="2" s="1"/>
  <c r="GI61" i="2"/>
  <c r="GL61" i="2" s="1"/>
  <c r="FO61" i="2"/>
  <c r="FR61" i="2" s="1"/>
  <c r="FN61" i="2"/>
  <c r="FQ61" i="2" s="1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DH61" i="2"/>
  <c r="GM62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G62" i="2" s="1"/>
  <c r="HE62" i="2"/>
  <c r="HH62" i="2" s="1"/>
  <c r="GI62" i="2"/>
  <c r="GL62" i="2" s="1"/>
  <c r="GJ62" i="2"/>
  <c r="ET62" i="2"/>
  <c r="EW62" i="2" s="1"/>
  <c r="FO62" i="2"/>
  <c r="FR62" i="2" s="1"/>
  <c r="FN62" i="2"/>
  <c r="FQ62" i="2" s="1"/>
  <c r="DY62" i="2"/>
  <c r="ES62" i="2"/>
  <c r="EV62" i="2" s="1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HH63" i="2" s="1"/>
  <c r="GI63" i="2"/>
  <c r="GL63" i="2" s="1"/>
  <c r="GJ63" i="2"/>
  <c r="GM63" i="2" s="1"/>
  <c r="ES63" i="2"/>
  <c r="EV63" i="2" s="1"/>
  <c r="ET63" i="2"/>
  <c r="EW63" i="2" s="1"/>
  <c r="FN63" i="2"/>
  <c r="FQ63" i="2" s="1"/>
  <c r="DY63" i="2"/>
  <c r="DC63" i="2"/>
  <c r="DX63" i="2"/>
  <c r="BN63" i="2"/>
  <c r="FO63" i="2"/>
  <c r="FR63" i="2" s="1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FQ64" i="2" l="1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G64" i="2" s="1"/>
  <c r="HE64" i="2"/>
  <c r="HH64" i="2" s="1"/>
  <c r="FO64" i="2"/>
  <c r="FR64" i="2" s="1"/>
  <c r="GJ64" i="2"/>
  <c r="GM64" i="2" s="1"/>
  <c r="GI64" i="2"/>
  <c r="GL64" i="2" s="1"/>
  <c r="DY64" i="2"/>
  <c r="ES64" i="2"/>
  <c r="EV64" i="2" s="1"/>
  <c r="DX64" i="2"/>
  <c r="FN64" i="2"/>
  <c r="ET64" i="2"/>
  <c r="EW64" i="2" s="1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FQ65" i="2" l="1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H65" i="2" s="1"/>
  <c r="HD65" i="2"/>
  <c r="HG65" i="2" s="1"/>
  <c r="GJ65" i="2"/>
  <c r="GM65" i="2" s="1"/>
  <c r="FO65" i="2"/>
  <c r="FR65" i="2" s="1"/>
  <c r="FN65" i="2"/>
  <c r="GI65" i="2"/>
  <c r="GL65" i="2" s="1"/>
  <c r="DD65" i="2"/>
  <c r="ET65" i="2"/>
  <c r="EW65" i="2" s="1"/>
  <c r="CH65" i="2"/>
  <c r="AS65" i="2"/>
  <c r="DY65" i="2"/>
  <c r="CI65" i="2"/>
  <c r="BM65" i="2"/>
  <c r="X65" i="2"/>
  <c r="ES65" i="2"/>
  <c r="EV65" i="2" s="1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C65" i="2" l="1"/>
  <c r="DH65" i="2"/>
  <c r="FQ66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G66" i="2" s="1"/>
  <c r="HE66" i="2"/>
  <c r="HH66" i="2" s="1"/>
  <c r="GI66" i="2"/>
  <c r="GL66" i="2" s="1"/>
  <c r="GJ66" i="2"/>
  <c r="GM66" i="2" s="1"/>
  <c r="ET66" i="2"/>
  <c r="EW66" i="2" s="1"/>
  <c r="FN66" i="2"/>
  <c r="DD66" i="2"/>
  <c r="BN66" i="2"/>
  <c r="CH66" i="2"/>
  <c r="AS66" i="2"/>
  <c r="DY66" i="2"/>
  <c r="DC66" i="2"/>
  <c r="W66" i="2"/>
  <c r="FO66" i="2"/>
  <c r="FR66" i="2" s="1"/>
  <c r="X66" i="2"/>
  <c r="ES66" i="2"/>
  <c r="EV66" i="2" s="1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A66" i="2" l="1"/>
  <c r="EB66" i="2"/>
  <c r="FQ67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G67" i="2" s="1"/>
  <c r="HE67" i="2"/>
  <c r="HH67" i="2" s="1"/>
  <c r="GI67" i="2"/>
  <c r="GL67" i="2" s="1"/>
  <c r="FO67" i="2"/>
  <c r="FR67" i="2" s="1"/>
  <c r="ES67" i="2"/>
  <c r="EV67" i="2" s="1"/>
  <c r="ET67" i="2"/>
  <c r="EW67" i="2" s="1"/>
  <c r="DY67" i="2"/>
  <c r="GJ67" i="2"/>
  <c r="GM67" i="2" s="1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A67" i="2" l="1"/>
  <c r="DH67" i="2"/>
  <c r="FQ68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G68" i="2" s="1"/>
  <c r="HE68" i="2"/>
  <c r="HH68" i="2" s="1"/>
  <c r="FO68" i="2"/>
  <c r="FR68" i="2" s="1"/>
  <c r="GJ68" i="2"/>
  <c r="GM68" i="2" s="1"/>
  <c r="ES68" i="2"/>
  <c r="EV68" i="2" s="1"/>
  <c r="DX68" i="2"/>
  <c r="GI68" i="2"/>
  <c r="GL68" i="2" s="1"/>
  <c r="CI68" i="2"/>
  <c r="BM68" i="2"/>
  <c r="ET68" i="2"/>
  <c r="EW68" i="2" s="1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EC68" i="2" l="1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HH69" i="2" s="1"/>
  <c r="GJ69" i="2"/>
  <c r="GM69" i="2" s="1"/>
  <c r="HD69" i="2"/>
  <c r="HG69" i="2" s="1"/>
  <c r="GI69" i="2"/>
  <c r="GL69" i="2" s="1"/>
  <c r="FO69" i="2"/>
  <c r="FR69" i="2" s="1"/>
  <c r="FN69" i="2"/>
  <c r="FQ69" i="2" s="1"/>
  <c r="ET69" i="2"/>
  <c r="EW69" i="2" s="1"/>
  <c r="ES69" i="2"/>
  <c r="EV69" i="2" s="1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C69" i="2"/>
  <c r="FQ70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HH70" i="2" s="1"/>
  <c r="GI70" i="2"/>
  <c r="GL70" i="2" s="1"/>
  <c r="GJ70" i="2"/>
  <c r="GM70" i="2" s="1"/>
  <c r="ET70" i="2"/>
  <c r="EW70" i="2" s="1"/>
  <c r="FO70" i="2"/>
  <c r="FR70" i="2" s="1"/>
  <c r="FN70" i="2"/>
  <c r="ES70" i="2"/>
  <c r="EV70" i="2" s="1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G71" i="2" s="1"/>
  <c r="HE71" i="2"/>
  <c r="HH71" i="2" s="1"/>
  <c r="GI71" i="2"/>
  <c r="GL71" i="2" s="1"/>
  <c r="GJ71" i="2"/>
  <c r="GM71" i="2" s="1"/>
  <c r="ES71" i="2"/>
  <c r="EV71" i="2" s="1"/>
  <c r="ET71" i="2"/>
  <c r="EW71" i="2" s="1"/>
  <c r="FO71" i="2"/>
  <c r="FR71" i="2" s="1"/>
  <c r="FN71" i="2"/>
  <c r="FQ71" i="2" s="1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C71" i="2" l="1"/>
  <c r="EV72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HG72" i="2" s="1"/>
  <c r="FO72" i="2"/>
  <c r="FR72" i="2" s="1"/>
  <c r="HE72" i="2"/>
  <c r="HH72" i="2" s="1"/>
  <c r="GJ72" i="2"/>
  <c r="GM72" i="2" s="1"/>
  <c r="GI72" i="2"/>
  <c r="GL72" i="2" s="1"/>
  <c r="ES72" i="2"/>
  <c r="DX72" i="2"/>
  <c r="FN72" i="2"/>
  <c r="FQ72" i="2" s="1"/>
  <c r="ET72" i="2"/>
  <c r="EW72" i="2" s="1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V73" i="2" l="1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HH73" i="2" s="1"/>
  <c r="GJ73" i="2"/>
  <c r="GM73" i="2" s="1"/>
  <c r="HD73" i="2"/>
  <c r="HG73" i="2" s="1"/>
  <c r="FO73" i="2"/>
  <c r="FR73" i="2" s="1"/>
  <c r="FN73" i="2"/>
  <c r="FQ73" i="2" s="1"/>
  <c r="DD73" i="2"/>
  <c r="GI73" i="2"/>
  <c r="GL73" i="2" s="1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B73" i="2" l="1"/>
  <c r="EV74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HH74" i="2" s="1"/>
  <c r="GI74" i="2"/>
  <c r="GL74" i="2" s="1"/>
  <c r="GJ74" i="2"/>
  <c r="GM74" i="2" s="1"/>
  <c r="ET74" i="2"/>
  <c r="EW74" i="2" s="1"/>
  <c r="FN74" i="2"/>
  <c r="FQ74" i="2" s="1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V75" i="2" l="1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GL75" i="2" s="1"/>
  <c r="FO75" i="2"/>
  <c r="FR75" i="2" s="1"/>
  <c r="ES75" i="2"/>
  <c r="GJ75" i="2"/>
  <c r="GM75" i="2" s="1"/>
  <c r="ET75" i="2"/>
  <c r="EW75" i="2" s="1"/>
  <c r="DY75" i="2"/>
  <c r="FN75" i="2"/>
  <c r="FQ75" i="2" s="1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V76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G76" i="2" s="1"/>
  <c r="HE76" i="2"/>
  <c r="HH76" i="2" s="1"/>
  <c r="FO76" i="2"/>
  <c r="FR76" i="2" s="1"/>
  <c r="GI76" i="2"/>
  <c r="GL76" i="2" s="1"/>
  <c r="ES76" i="2"/>
  <c r="DX76" i="2"/>
  <c r="DD76" i="2"/>
  <c r="CI76" i="2"/>
  <c r="BM76" i="2"/>
  <c r="GJ76" i="2"/>
  <c r="GM76" i="2" s="1"/>
  <c r="FN76" i="2"/>
  <c r="FQ76" i="2" s="1"/>
  <c r="DY76" i="2"/>
  <c r="DC76" i="2"/>
  <c r="ET76" i="2"/>
  <c r="EW76" i="2" s="1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B76" i="2" l="1"/>
  <c r="EA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HH77" i="2" s="1"/>
  <c r="GJ77" i="2"/>
  <c r="GM77" i="2" s="1"/>
  <c r="GI77" i="2"/>
  <c r="GL77" i="2" s="1"/>
  <c r="FO77" i="2"/>
  <c r="FR77" i="2" s="1"/>
  <c r="FN77" i="2"/>
  <c r="FQ77" i="2" s="1"/>
  <c r="HD77" i="2"/>
  <c r="HG77" i="2" s="1"/>
  <c r="ET77" i="2"/>
  <c r="EW77" i="2" s="1"/>
  <c r="ES77" i="2"/>
  <c r="EV77" i="2" s="1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H78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G78" i="2" s="1"/>
  <c r="HE78" i="2"/>
  <c r="GI78" i="2"/>
  <c r="GL78" i="2" s="1"/>
  <c r="GJ78" i="2"/>
  <c r="GM78" i="2" s="1"/>
  <c r="ET78" i="2"/>
  <c r="EW78" i="2" s="1"/>
  <c r="FO78" i="2"/>
  <c r="FR78" i="2" s="1"/>
  <c r="FN78" i="2"/>
  <c r="FQ78" i="2" s="1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L79" i="2" s="1"/>
  <c r="GJ79" i="2"/>
  <c r="GM79" i="2" s="1"/>
  <c r="ES79" i="2"/>
  <c r="EV79" i="2" s="1"/>
  <c r="ET79" i="2"/>
  <c r="EW79" i="2" s="1"/>
  <c r="FN79" i="2"/>
  <c r="FQ79" i="2" s="1"/>
  <c r="DY79" i="2"/>
  <c r="FO79" i="2"/>
  <c r="FR79" i="2" s="1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C79" i="2" l="1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FR80" i="2" s="1"/>
  <c r="GJ80" i="2"/>
  <c r="GM80" i="2" s="1"/>
  <c r="GI80" i="2"/>
  <c r="GL80" i="2" s="1"/>
  <c r="ES80" i="2"/>
  <c r="EV80" i="2" s="1"/>
  <c r="DX80" i="2"/>
  <c r="FN80" i="2"/>
  <c r="FQ80" i="2" s="1"/>
  <c r="ET80" i="2"/>
  <c r="EW80" i="2" s="1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H81" i="2" s="1"/>
  <c r="HD81" i="2"/>
  <c r="HG81" i="2" s="1"/>
  <c r="GJ81" i="2"/>
  <c r="GM81" i="2" s="1"/>
  <c r="FO81" i="2"/>
  <c r="FR81" i="2" s="1"/>
  <c r="FN81" i="2"/>
  <c r="FQ81" i="2" s="1"/>
  <c r="GI81" i="2"/>
  <c r="GL81" i="2" s="1"/>
  <c r="DD81" i="2"/>
  <c r="ET81" i="2"/>
  <c r="EW81" i="2" s="1"/>
  <c r="CH81" i="2"/>
  <c r="AS81" i="2"/>
  <c r="DY81" i="2"/>
  <c r="CI81" i="2"/>
  <c r="BM81" i="2"/>
  <c r="X81" i="2"/>
  <c r="AR81" i="2"/>
  <c r="DX81" i="2"/>
  <c r="BN81" i="2"/>
  <c r="ES81" i="2"/>
  <c r="EV81" i="2" s="1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FR82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L82" i="2" s="1"/>
  <c r="GJ82" i="2"/>
  <c r="GM82" i="2" s="1"/>
  <c r="ET82" i="2"/>
  <c r="EW82" i="2" s="1"/>
  <c r="FN82" i="2"/>
  <c r="FQ82" i="2" s="1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C82" i="2" l="1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G83" i="2" s="1"/>
  <c r="HE83" i="2"/>
  <c r="HH83" i="2" s="1"/>
  <c r="GI83" i="2"/>
  <c r="GL83" i="2" s="1"/>
  <c r="FO83" i="2"/>
  <c r="FR83" i="2" s="1"/>
  <c r="ES83" i="2"/>
  <c r="EV83" i="2" s="1"/>
  <c r="ET83" i="2"/>
  <c r="EW83" i="2" s="1"/>
  <c r="DY83" i="2"/>
  <c r="DX83" i="2"/>
  <c r="DC83" i="2"/>
  <c r="DD83" i="2"/>
  <c r="BN83" i="2"/>
  <c r="GJ83" i="2"/>
  <c r="GM83" i="2" s="1"/>
  <c r="FN83" i="2"/>
  <c r="FQ83" i="2" s="1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R84" i="2" l="1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GM84" i="2" s="1"/>
  <c r="ES84" i="2"/>
  <c r="EV84" i="2" s="1"/>
  <c r="HE84" i="2"/>
  <c r="HH84" i="2" s="1"/>
  <c r="DX84" i="2"/>
  <c r="CI84" i="2"/>
  <c r="BM84" i="2"/>
  <c r="GI84" i="2"/>
  <c r="GL84" i="2" s="1"/>
  <c r="ET84" i="2"/>
  <c r="EW84" i="2" s="1"/>
  <c r="DC84" i="2"/>
  <c r="CH84" i="2"/>
  <c r="BN84" i="2"/>
  <c r="AS84" i="2"/>
  <c r="AR84" i="2"/>
  <c r="FN84" i="2"/>
  <c r="FQ84" i="2" s="1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B84" i="2" l="1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GM85" i="2" s="1"/>
  <c r="HD85" i="2"/>
  <c r="HG85" i="2" s="1"/>
  <c r="GI85" i="2"/>
  <c r="GL85" i="2" s="1"/>
  <c r="FO85" i="2"/>
  <c r="FR85" i="2" s="1"/>
  <c r="FN85" i="2"/>
  <c r="FQ85" i="2" s="1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DH85" i="2" l="1"/>
  <c r="FQ86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G86" i="2" s="1"/>
  <c r="HE86" i="2"/>
  <c r="HH86" i="2" s="1"/>
  <c r="GI86" i="2"/>
  <c r="GL86" i="2" s="1"/>
  <c r="GJ86" i="2"/>
  <c r="GM86" i="2" s="1"/>
  <c r="ET86" i="2"/>
  <c r="EW86" i="2" s="1"/>
  <c r="FO86" i="2"/>
  <c r="FR86" i="2" s="1"/>
  <c r="FN86" i="2"/>
  <c r="ES86" i="2"/>
  <c r="EV86" i="2" s="1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HH87" i="2" s="1"/>
  <c r="GI87" i="2"/>
  <c r="GL87" i="2" s="1"/>
  <c r="GJ87" i="2"/>
  <c r="GM87" i="2" s="1"/>
  <c r="ES87" i="2"/>
  <c r="EV87" i="2" s="1"/>
  <c r="ET87" i="2"/>
  <c r="EW87" i="2" s="1"/>
  <c r="FO87" i="2"/>
  <c r="FR87" i="2" s="1"/>
  <c r="FN87" i="2"/>
  <c r="FQ87" i="2" s="1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FR88" i="2" s="1"/>
  <c r="GJ88" i="2"/>
  <c r="GM88" i="2" s="1"/>
  <c r="GI88" i="2"/>
  <c r="GL88" i="2" s="1"/>
  <c r="ES88" i="2"/>
  <c r="EV88" i="2" s="1"/>
  <c r="DX88" i="2"/>
  <c r="HE88" i="2"/>
  <c r="HH88" i="2" s="1"/>
  <c r="FN88" i="2"/>
  <c r="FQ88" i="2" s="1"/>
  <c r="ET88" i="2"/>
  <c r="EW88" i="2" s="1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A88" i="2" l="1"/>
  <c r="EB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HH89" i="2" s="1"/>
  <c r="GJ89" i="2"/>
  <c r="GM89" i="2" s="1"/>
  <c r="FO89" i="2"/>
  <c r="FR89" i="2" s="1"/>
  <c r="FN89" i="2"/>
  <c r="FQ89" i="2" s="1"/>
  <c r="GI89" i="2"/>
  <c r="GL89" i="2" s="1"/>
  <c r="DD89" i="2"/>
  <c r="HD89" i="2"/>
  <c r="HG89" i="2" s="1"/>
  <c r="ES89" i="2"/>
  <c r="EV89" i="2" s="1"/>
  <c r="DX89" i="2"/>
  <c r="CH89" i="2"/>
  <c r="AS89" i="2"/>
  <c r="CI89" i="2"/>
  <c r="BM89" i="2"/>
  <c r="X89" i="2"/>
  <c r="ET89" i="2"/>
  <c r="EW89" i="2" s="1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H89" i="2" l="1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HH90" i="2" s="1"/>
  <c r="GI90" i="2"/>
  <c r="GL90" i="2" s="1"/>
  <c r="GJ90" i="2"/>
  <c r="GM90" i="2" s="1"/>
  <c r="ET90" i="2"/>
  <c r="EW90" i="2" s="1"/>
  <c r="FN90" i="2"/>
  <c r="FQ90" i="2" s="1"/>
  <c r="FO90" i="2"/>
  <c r="FR90" i="2" s="1"/>
  <c r="DY90" i="2"/>
  <c r="BN90" i="2"/>
  <c r="ES90" i="2"/>
  <c r="EV90" i="2" s="1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G91" i="2" s="1"/>
  <c r="HE91" i="2"/>
  <c r="HH91" i="2" s="1"/>
  <c r="GI91" i="2"/>
  <c r="GL91" i="2" s="1"/>
  <c r="FO91" i="2"/>
  <c r="FR91" i="2" s="1"/>
  <c r="ES91" i="2"/>
  <c r="EV91" i="2" s="1"/>
  <c r="GJ91" i="2"/>
  <c r="GM91" i="2" s="1"/>
  <c r="ET91" i="2"/>
  <c r="EW91" i="2" s="1"/>
  <c r="DY91" i="2"/>
  <c r="FN91" i="2"/>
  <c r="FQ91" i="2" s="1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V92" i="2" l="1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G92" i="2" s="1"/>
  <c r="HE92" i="2"/>
  <c r="HH92" i="2" s="1"/>
  <c r="FO92" i="2"/>
  <c r="FR92" i="2" s="1"/>
  <c r="GI92" i="2"/>
  <c r="GL92" i="2" s="1"/>
  <c r="ES92" i="2"/>
  <c r="GJ92" i="2"/>
  <c r="GM92" i="2" s="1"/>
  <c r="DX92" i="2"/>
  <c r="DD92" i="2"/>
  <c r="CI92" i="2"/>
  <c r="BM92" i="2"/>
  <c r="FN92" i="2"/>
  <c r="FQ92" i="2" s="1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DH92" i="2" s="1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B92" i="2" l="1"/>
  <c r="EV93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HH93" i="2" s="1"/>
  <c r="GJ93" i="2"/>
  <c r="GM93" i="2" s="1"/>
  <c r="HD93" i="2"/>
  <c r="HG93" i="2" s="1"/>
  <c r="GI93" i="2"/>
  <c r="GL93" i="2" s="1"/>
  <c r="FO93" i="2"/>
  <c r="FR93" i="2" s="1"/>
  <c r="FN93" i="2"/>
  <c r="FQ93" i="2" s="1"/>
  <c r="ET93" i="2"/>
  <c r="EW93" i="2" s="1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B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HH94" i="2" s="1"/>
  <c r="GI94" i="2"/>
  <c r="GL94" i="2" s="1"/>
  <c r="GJ94" i="2"/>
  <c r="GM94" i="2" s="1"/>
  <c r="ET94" i="2"/>
  <c r="EW94" i="2" s="1"/>
  <c r="FO94" i="2"/>
  <c r="FR94" i="2" s="1"/>
  <c r="FN94" i="2"/>
  <c r="FQ94" i="2" s="1"/>
  <c r="ES94" i="2"/>
  <c r="EV94" i="2" s="1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C94" i="2" l="1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HH95" i="2" s="1"/>
  <c r="GI95" i="2"/>
  <c r="GL95" i="2" s="1"/>
  <c r="GJ95" i="2"/>
  <c r="GM95" i="2" s="1"/>
  <c r="ES95" i="2"/>
  <c r="EV95" i="2" s="1"/>
  <c r="ET95" i="2"/>
  <c r="EW95" i="2" s="1"/>
  <c r="FN95" i="2"/>
  <c r="FQ95" i="2" s="1"/>
  <c r="DY95" i="2"/>
  <c r="DC95" i="2"/>
  <c r="DX95" i="2"/>
  <c r="BN95" i="2"/>
  <c r="BM95" i="2"/>
  <c r="CH95" i="2"/>
  <c r="AS95" i="2"/>
  <c r="W95" i="2"/>
  <c r="FO95" i="2"/>
  <c r="FR95" i="2" s="1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H95" i="2" l="1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G96" i="2" s="1"/>
  <c r="HE96" i="2"/>
  <c r="HH96" i="2" s="1"/>
  <c r="FO96" i="2"/>
  <c r="FR96" i="2" s="1"/>
  <c r="GJ96" i="2"/>
  <c r="GM96" i="2" s="1"/>
  <c r="GI96" i="2"/>
  <c r="GL96" i="2" s="1"/>
  <c r="ES96" i="2"/>
  <c r="EV96" i="2" s="1"/>
  <c r="DX96" i="2"/>
  <c r="FN96" i="2"/>
  <c r="FQ96" i="2" s="1"/>
  <c r="ET96" i="2"/>
  <c r="EW96" i="2" s="1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B96" i="2" l="1"/>
  <c r="EW97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H97" i="2" s="1"/>
  <c r="HD97" i="2"/>
  <c r="HG97" i="2" s="1"/>
  <c r="GJ97" i="2"/>
  <c r="GM97" i="2" s="1"/>
  <c r="FO97" i="2"/>
  <c r="FR97" i="2" s="1"/>
  <c r="FN97" i="2"/>
  <c r="FQ97" i="2" s="1"/>
  <c r="GI97" i="2"/>
  <c r="GL97" i="2" s="1"/>
  <c r="DD97" i="2"/>
  <c r="ET97" i="2"/>
  <c r="CH97" i="2"/>
  <c r="AS97" i="2"/>
  <c r="DY97" i="2"/>
  <c r="CI97" i="2"/>
  <c r="BM97" i="2"/>
  <c r="X97" i="2"/>
  <c r="ES97" i="2"/>
  <c r="EV97" i="2" s="1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AW97" i="2" l="1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G98" i="2" s="1"/>
  <c r="HE98" i="2"/>
  <c r="HH98" i="2" s="1"/>
  <c r="GI98" i="2"/>
  <c r="GL98" i="2" s="1"/>
  <c r="GJ98" i="2"/>
  <c r="GM98" i="2" s="1"/>
  <c r="ET98" i="2"/>
  <c r="EW98" i="2" s="1"/>
  <c r="FN98" i="2"/>
  <c r="FQ98" i="2" s="1"/>
  <c r="DD98" i="2"/>
  <c r="BN98" i="2"/>
  <c r="CH98" i="2"/>
  <c r="AS98" i="2"/>
  <c r="DY98" i="2"/>
  <c r="DC98" i="2"/>
  <c r="W98" i="2"/>
  <c r="X98" i="2"/>
  <c r="ES98" i="2"/>
  <c r="EV98" i="2" s="1"/>
  <c r="DX98" i="2"/>
  <c r="CI98" i="2"/>
  <c r="FO98" i="2"/>
  <c r="FR98" i="2" s="1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B98" i="2" l="1"/>
  <c r="EC98" i="2"/>
  <c r="EA98" i="2"/>
  <c r="DH98" i="2"/>
  <c r="EW99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G99" i="2" s="1"/>
  <c r="HE99" i="2"/>
  <c r="HH99" i="2" s="1"/>
  <c r="GI99" i="2"/>
  <c r="GL99" i="2" s="1"/>
  <c r="FO99" i="2"/>
  <c r="FR99" i="2" s="1"/>
  <c r="ES99" i="2"/>
  <c r="EV99" i="2" s="1"/>
  <c r="ET99" i="2"/>
  <c r="DY99" i="2"/>
  <c r="GJ99" i="2"/>
  <c r="GM99" i="2" s="1"/>
  <c r="DX99" i="2"/>
  <c r="DC99" i="2"/>
  <c r="DD99" i="2"/>
  <c r="BN99" i="2"/>
  <c r="CI99" i="2"/>
  <c r="BM99" i="2"/>
  <c r="W99" i="2"/>
  <c r="FN99" i="2"/>
  <c r="FQ99" i="2" s="1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C99" i="2" l="1"/>
  <c r="DH99" i="2"/>
  <c r="EW100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G100" i="2" s="1"/>
  <c r="HE100" i="2"/>
  <c r="HH100" i="2" s="1"/>
  <c r="FO100" i="2"/>
  <c r="FR100" i="2" s="1"/>
  <c r="GJ100" i="2"/>
  <c r="GM100" i="2" s="1"/>
  <c r="ES100" i="2"/>
  <c r="EV100" i="2" s="1"/>
  <c r="DX100" i="2"/>
  <c r="GI100" i="2"/>
  <c r="GL100" i="2" s="1"/>
  <c r="CI100" i="2"/>
  <c r="BM100" i="2"/>
  <c r="ET100" i="2"/>
  <c r="DC100" i="2"/>
  <c r="DD100" i="2"/>
  <c r="CH100" i="2"/>
  <c r="BN100" i="2"/>
  <c r="AS100" i="2"/>
  <c r="AR100" i="2"/>
  <c r="DY100" i="2"/>
  <c r="FN100" i="2"/>
  <c r="FQ100" i="2" s="1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1" i="2" l="1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HH101" i="2" s="1"/>
  <c r="GJ101" i="2"/>
  <c r="GM101" i="2" s="1"/>
  <c r="HD101" i="2"/>
  <c r="HG101" i="2" s="1"/>
  <c r="GI101" i="2"/>
  <c r="GL101" i="2" s="1"/>
  <c r="FO101" i="2"/>
  <c r="FR101" i="2" s="1"/>
  <c r="FN101" i="2"/>
  <c r="FQ101" i="2" s="1"/>
  <c r="ET101" i="2"/>
  <c r="ES101" i="2"/>
  <c r="EV101" i="2" s="1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W102" i="2" l="1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G102" i="2" s="1"/>
  <c r="HE102" i="2"/>
  <c r="HH102" i="2" s="1"/>
  <c r="GI102" i="2"/>
  <c r="GL102" i="2" s="1"/>
  <c r="GJ102" i="2"/>
  <c r="GM102" i="2" s="1"/>
  <c r="ET102" i="2"/>
  <c r="FO102" i="2"/>
  <c r="FR102" i="2" s="1"/>
  <c r="FN102" i="2"/>
  <c r="FQ102" i="2" s="1"/>
  <c r="ES102" i="2"/>
  <c r="EV102" i="2" s="1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G103" i="2" s="1"/>
  <c r="HE103" i="2"/>
  <c r="HH103" i="2" s="1"/>
  <c r="GI103" i="2"/>
  <c r="GL103" i="2" s="1"/>
  <c r="GJ103" i="2"/>
  <c r="GM103" i="2" s="1"/>
  <c r="ES103" i="2"/>
  <c r="EV103" i="2" s="1"/>
  <c r="ET103" i="2"/>
  <c r="EW103" i="2" s="1"/>
  <c r="FO103" i="2"/>
  <c r="FR103" i="2" s="1"/>
  <c r="FN103" i="2"/>
  <c r="FQ103" i="2" s="1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AW103" i="2"/>
  <c r="EW104" i="2"/>
  <c r="EB103" i="2"/>
  <c r="EC103" i="2"/>
  <c r="DF103" i="2"/>
  <c r="DG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HG104" i="2" s="1"/>
  <c r="FO104" i="2"/>
  <c r="FR104" i="2" s="1"/>
  <c r="HE104" i="2"/>
  <c r="HH104" i="2" s="1"/>
  <c r="GJ104" i="2"/>
  <c r="GM104" i="2" s="1"/>
  <c r="GI104" i="2"/>
  <c r="GL104" i="2" s="1"/>
  <c r="ES104" i="2"/>
  <c r="EV104" i="2" s="1"/>
  <c r="DX104" i="2"/>
  <c r="FN104" i="2"/>
  <c r="FQ104" i="2" s="1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AU104" i="2" l="1"/>
  <c r="EB104" i="2"/>
  <c r="EW105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GM105" i="2" s="1"/>
  <c r="HD105" i="2"/>
  <c r="HG105" i="2" s="1"/>
  <c r="FO105" i="2"/>
  <c r="FR105" i="2" s="1"/>
  <c r="FN105" i="2"/>
  <c r="FQ105" i="2" s="1"/>
  <c r="ES105" i="2"/>
  <c r="EV105" i="2" s="1"/>
  <c r="DX105" i="2"/>
  <c r="CH105" i="2"/>
  <c r="AS105" i="2"/>
  <c r="CI105" i="2"/>
  <c r="BM105" i="2"/>
  <c r="X105" i="2"/>
  <c r="AR105" i="2"/>
  <c r="GI105" i="2"/>
  <c r="GL105" i="2" s="1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Q106" i="2"/>
  <c r="EW106" i="2"/>
  <c r="EA105" i="2"/>
  <c r="EC105" i="2"/>
  <c r="DH105" i="2"/>
  <c r="DG105" i="2"/>
  <c r="DF105" i="2"/>
  <c r="CM105" i="2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HH106" i="2" s="1"/>
  <c r="GI106" i="2"/>
  <c r="GL106" i="2" s="1"/>
  <c r="GJ106" i="2"/>
  <c r="GM106" i="2" s="1"/>
  <c r="ET106" i="2"/>
  <c r="FN106" i="2"/>
  <c r="FO106" i="2"/>
  <c r="FR106" i="2" s="1"/>
  <c r="DY106" i="2"/>
  <c r="DD106" i="2"/>
  <c r="BN106" i="2"/>
  <c r="ES106" i="2"/>
  <c r="EV106" i="2" s="1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C106" i="2" l="1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HH107" i="2" s="1"/>
  <c r="GI107" i="2"/>
  <c r="GL107" i="2" s="1"/>
  <c r="FO107" i="2"/>
  <c r="FR107" i="2" s="1"/>
  <c r="ES107" i="2"/>
  <c r="EV107" i="2" s="1"/>
  <c r="GJ107" i="2"/>
  <c r="GM107" i="2" s="1"/>
  <c r="ET107" i="2"/>
  <c r="EW107" i="2" s="1"/>
  <c r="DY107" i="2"/>
  <c r="FN107" i="2"/>
  <c r="FQ107" i="2" s="1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G108" i="2" s="1"/>
  <c r="HE108" i="2"/>
  <c r="HH108" i="2" s="1"/>
  <c r="FO108" i="2"/>
  <c r="FR108" i="2" s="1"/>
  <c r="GI108" i="2"/>
  <c r="GL108" i="2" s="1"/>
  <c r="ES108" i="2"/>
  <c r="EV108" i="2" s="1"/>
  <c r="DX108" i="2"/>
  <c r="CI108" i="2"/>
  <c r="BM108" i="2"/>
  <c r="FN108" i="2"/>
  <c r="FQ108" i="2" s="1"/>
  <c r="DY108" i="2"/>
  <c r="DC108" i="2"/>
  <c r="ET108" i="2"/>
  <c r="EW108" i="2" s="1"/>
  <c r="DD108" i="2"/>
  <c r="CH108" i="2"/>
  <c r="BN108" i="2"/>
  <c r="AS108" i="2"/>
  <c r="AR108" i="2"/>
  <c r="GJ108" i="2"/>
  <c r="GM108" i="2" s="1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HG109" i="2" l="1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HH109" i="2" s="1"/>
  <c r="GJ109" i="2"/>
  <c r="GM109" i="2" s="1"/>
  <c r="GI109" i="2"/>
  <c r="GL109" i="2" s="1"/>
  <c r="FO109" i="2"/>
  <c r="FR109" i="2" s="1"/>
  <c r="FN109" i="2"/>
  <c r="FQ109" i="2" s="1"/>
  <c r="HD109" i="2"/>
  <c r="ET109" i="2"/>
  <c r="EW109" i="2" s="1"/>
  <c r="ES109" i="2"/>
  <c r="EV109" i="2" s="1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G110" i="2" l="1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L110" i="2" s="1"/>
  <c r="GJ110" i="2"/>
  <c r="GM110" i="2" s="1"/>
  <c r="ET110" i="2"/>
  <c r="EW110" i="2" s="1"/>
  <c r="FO110" i="2"/>
  <c r="FR110" i="2" s="1"/>
  <c r="FN110" i="2"/>
  <c r="FQ110" i="2" s="1"/>
  <c r="ES110" i="2"/>
  <c r="EV110" i="2" s="1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C110" i="2" l="1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G111" i="2" s="1"/>
  <c r="HE111" i="2"/>
  <c r="HH111" i="2" s="1"/>
  <c r="GI111" i="2"/>
  <c r="GL111" i="2" s="1"/>
  <c r="GJ111" i="2"/>
  <c r="GM111" i="2" s="1"/>
  <c r="ES111" i="2"/>
  <c r="EV111" i="2" s="1"/>
  <c r="ET111" i="2"/>
  <c r="EW111" i="2" s="1"/>
  <c r="FN111" i="2"/>
  <c r="FQ111" i="2" s="1"/>
  <c r="DY111" i="2"/>
  <c r="FO111" i="2"/>
  <c r="FR111" i="2" s="1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C111" i="2" l="1"/>
  <c r="EV112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G112" i="2" s="1"/>
  <c r="HE112" i="2"/>
  <c r="HH112" i="2" s="1"/>
  <c r="FO112" i="2"/>
  <c r="FR112" i="2" s="1"/>
  <c r="GJ112" i="2"/>
  <c r="GM112" i="2" s="1"/>
  <c r="GI112" i="2"/>
  <c r="GL112" i="2" s="1"/>
  <c r="ES112" i="2"/>
  <c r="DX112" i="2"/>
  <c r="FN112" i="2"/>
  <c r="FQ112" i="2" s="1"/>
  <c r="ET112" i="2"/>
  <c r="EW112" i="2" s="1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V113" i="2" l="1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H113" i="2" s="1"/>
  <c r="HD113" i="2"/>
  <c r="HG113" i="2" s="1"/>
  <c r="GJ113" i="2"/>
  <c r="GM113" i="2" s="1"/>
  <c r="FO113" i="2"/>
  <c r="FR113" i="2" s="1"/>
  <c r="FN113" i="2"/>
  <c r="FQ113" i="2" s="1"/>
  <c r="GI113" i="2"/>
  <c r="GL113" i="2" s="1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C113" i="2"/>
  <c r="HH114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L114" i="2" s="1"/>
  <c r="GJ114" i="2"/>
  <c r="GM114" i="2" s="1"/>
  <c r="ET114" i="2"/>
  <c r="EW114" i="2" s="1"/>
  <c r="FN114" i="2"/>
  <c r="FQ114" i="2" s="1"/>
  <c r="DD114" i="2"/>
  <c r="BN114" i="2"/>
  <c r="FO114" i="2"/>
  <c r="FR114" i="2" s="1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FQ115" i="2"/>
  <c r="AU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G115" i="2" s="1"/>
  <c r="HE115" i="2"/>
  <c r="HH115" i="2" s="1"/>
  <c r="GI115" i="2"/>
  <c r="GL115" i="2" s="1"/>
  <c r="FO115" i="2"/>
  <c r="FR115" i="2" s="1"/>
  <c r="ES115" i="2"/>
  <c r="EV115" i="2" s="1"/>
  <c r="ET115" i="2"/>
  <c r="EW115" i="2" s="1"/>
  <c r="DY115" i="2"/>
  <c r="GJ115" i="2"/>
  <c r="GM115" i="2" s="1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Q116" i="2" l="1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FR116" i="2" s="1"/>
  <c r="HE116" i="2"/>
  <c r="HH116" i="2" s="1"/>
  <c r="GJ116" i="2"/>
  <c r="GM116" i="2" s="1"/>
  <c r="ES116" i="2"/>
  <c r="EV116" i="2" s="1"/>
  <c r="DX116" i="2"/>
  <c r="CI116" i="2"/>
  <c r="BM116" i="2"/>
  <c r="ET116" i="2"/>
  <c r="EW116" i="2" s="1"/>
  <c r="DC116" i="2"/>
  <c r="DD116" i="2"/>
  <c r="CH116" i="2"/>
  <c r="BN116" i="2"/>
  <c r="AS116" i="2"/>
  <c r="AR116" i="2"/>
  <c r="FN116" i="2"/>
  <c r="DY116" i="2"/>
  <c r="GI116" i="2"/>
  <c r="GL116" i="2" s="1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HH117" i="2" s="1"/>
  <c r="GJ117" i="2"/>
  <c r="GM117" i="2" s="1"/>
  <c r="HD117" i="2"/>
  <c r="HG117" i="2" s="1"/>
  <c r="GI117" i="2"/>
  <c r="GL117" i="2" s="1"/>
  <c r="FO117" i="2"/>
  <c r="FR117" i="2" s="1"/>
  <c r="FN117" i="2"/>
  <c r="FQ117" i="2" s="1"/>
  <c r="ET117" i="2"/>
  <c r="EW117" i="2" s="1"/>
  <c r="ES117" i="2"/>
  <c r="EV117" i="2" s="1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8" i="2" l="1"/>
  <c r="GM118" i="2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L118" i="2" s="1"/>
  <c r="GJ118" i="2"/>
  <c r="ET118" i="2"/>
  <c r="EW118" i="2" s="1"/>
  <c r="FO118" i="2"/>
  <c r="FR118" i="2" s="1"/>
  <c r="FN118" i="2"/>
  <c r="FQ118" i="2" s="1"/>
  <c r="ES118" i="2"/>
  <c r="EV118" i="2" s="1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9" i="2"/>
  <c r="GM119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HH119" i="2" s="1"/>
  <c r="GI119" i="2"/>
  <c r="GL119" i="2" s="1"/>
  <c r="GJ119" i="2"/>
  <c r="ES119" i="2"/>
  <c r="EV119" i="2" s="1"/>
  <c r="ET119" i="2"/>
  <c r="EW119" i="2" s="1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GM120" i="2" l="1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HG120" i="2" s="1"/>
  <c r="FO120" i="2"/>
  <c r="FR120" i="2" s="1"/>
  <c r="GJ120" i="2"/>
  <c r="GI120" i="2"/>
  <c r="GL120" i="2" s="1"/>
  <c r="HE120" i="2"/>
  <c r="HH120" i="2" s="1"/>
  <c r="ES120" i="2"/>
  <c r="EV120" i="2" s="1"/>
  <c r="DX120" i="2"/>
  <c r="FN120" i="2"/>
  <c r="FQ120" i="2" s="1"/>
  <c r="ET120" i="2"/>
  <c r="EW120" i="2" s="1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AU120" i="2" l="1"/>
  <c r="EC120" i="2"/>
  <c r="EB120" i="2"/>
  <c r="EA120" i="2"/>
  <c r="DH120" i="2"/>
  <c r="DG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HH121" i="2" s="1"/>
  <c r="GJ121" i="2"/>
  <c r="GM121" i="2" s="1"/>
  <c r="FO121" i="2"/>
  <c r="FR121" i="2" s="1"/>
  <c r="HD121" i="2"/>
  <c r="HG121" i="2" s="1"/>
  <c r="FN121" i="2"/>
  <c r="FQ121" i="2" s="1"/>
  <c r="GI121" i="2"/>
  <c r="GL121" i="2" s="1"/>
  <c r="ES121" i="2"/>
  <c r="EV121" i="2" s="1"/>
  <c r="DX121" i="2"/>
  <c r="CH121" i="2"/>
  <c r="AS121" i="2"/>
  <c r="CI121" i="2"/>
  <c r="BM121" i="2"/>
  <c r="X121" i="2"/>
  <c r="ET121" i="2"/>
  <c r="EW121" i="2" s="1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C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G122" i="2" s="1"/>
  <c r="HE122" i="2"/>
  <c r="HH122" i="2" s="1"/>
  <c r="GI122" i="2"/>
  <c r="GL122" i="2" s="1"/>
  <c r="GJ122" i="2"/>
  <c r="GM122" i="2" s="1"/>
  <c r="ET122" i="2"/>
  <c r="EW122" i="2" s="1"/>
  <c r="FN122" i="2"/>
  <c r="FQ122" i="2" s="1"/>
  <c r="FO122" i="2"/>
  <c r="FR122" i="2" s="1"/>
  <c r="DY122" i="2"/>
  <c r="DD122" i="2"/>
  <c r="BN122" i="2"/>
  <c r="ES122" i="2"/>
  <c r="EV122" i="2" s="1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W123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G123" i="2" s="1"/>
  <c r="HE123" i="2"/>
  <c r="HH123" i="2" s="1"/>
  <c r="GI123" i="2"/>
  <c r="GL123" i="2" s="1"/>
  <c r="FO123" i="2"/>
  <c r="FR123" i="2" s="1"/>
  <c r="ES123" i="2"/>
  <c r="EV123" i="2" s="1"/>
  <c r="GJ123" i="2"/>
  <c r="GM123" i="2" s="1"/>
  <c r="ET123" i="2"/>
  <c r="DY123" i="2"/>
  <c r="FN123" i="2"/>
  <c r="FQ123" i="2" s="1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G124" i="2" l="1"/>
  <c r="EW124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FR124" i="2" s="1"/>
  <c r="GI124" i="2"/>
  <c r="GL124" i="2" s="1"/>
  <c r="ES124" i="2"/>
  <c r="EV124" i="2" s="1"/>
  <c r="GJ124" i="2"/>
  <c r="GM124" i="2" s="1"/>
  <c r="DX124" i="2"/>
  <c r="CI124" i="2"/>
  <c r="BM124" i="2"/>
  <c r="FN124" i="2"/>
  <c r="FQ124" i="2" s="1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A124" i="2" l="1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HH125" i="2" s="1"/>
  <c r="GJ125" i="2"/>
  <c r="GM125" i="2" s="1"/>
  <c r="HD125" i="2"/>
  <c r="HG125" i="2" s="1"/>
  <c r="GI125" i="2"/>
  <c r="GL125" i="2" s="1"/>
  <c r="FO125" i="2"/>
  <c r="FR125" i="2" s="1"/>
  <c r="FN125" i="2"/>
  <c r="FQ125" i="2" s="1"/>
  <c r="ET125" i="2"/>
  <c r="EW125" i="2" s="1"/>
  <c r="ES125" i="2"/>
  <c r="EV125" i="2" s="1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HH126" i="2" s="1"/>
  <c r="GI126" i="2"/>
  <c r="GL126" i="2" s="1"/>
  <c r="GJ126" i="2"/>
  <c r="GM126" i="2" s="1"/>
  <c r="ET126" i="2"/>
  <c r="EW126" i="2" s="1"/>
  <c r="FO126" i="2"/>
  <c r="FR126" i="2" s="1"/>
  <c r="FN126" i="2"/>
  <c r="FQ126" i="2" s="1"/>
  <c r="ES126" i="2"/>
  <c r="EV126" i="2" s="1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B126" i="2" l="1"/>
  <c r="HH127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G127" i="2" s="1"/>
  <c r="HE127" i="2"/>
  <c r="GI127" i="2"/>
  <c r="GL127" i="2" s="1"/>
  <c r="GJ127" i="2"/>
  <c r="GM127" i="2" s="1"/>
  <c r="ES127" i="2"/>
  <c r="EV127" i="2" s="1"/>
  <c r="ET127" i="2"/>
  <c r="EW127" i="2" s="1"/>
  <c r="FN127" i="2"/>
  <c r="FQ127" i="2" s="1"/>
  <c r="DY127" i="2"/>
  <c r="DC127" i="2"/>
  <c r="DX127" i="2"/>
  <c r="DD127" i="2"/>
  <c r="BN127" i="2"/>
  <c r="FO127" i="2"/>
  <c r="FR127" i="2" s="1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H128" i="2" l="1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FR128" i="2" s="1"/>
  <c r="GJ128" i="2"/>
  <c r="GM128" i="2" s="1"/>
  <c r="GI128" i="2"/>
  <c r="GL128" i="2" s="1"/>
  <c r="ES128" i="2"/>
  <c r="EV128" i="2" s="1"/>
  <c r="DX128" i="2"/>
  <c r="FN128" i="2"/>
  <c r="FQ128" i="2" s="1"/>
  <c r="ET128" i="2"/>
  <c r="EW128" i="2" s="1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DH128" i="2" l="1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H129" i="2" s="1"/>
  <c r="HD129" i="2"/>
  <c r="HG129" i="2" s="1"/>
  <c r="GJ129" i="2"/>
  <c r="GM129" i="2" s="1"/>
  <c r="FO129" i="2"/>
  <c r="FR129" i="2" s="1"/>
  <c r="FN129" i="2"/>
  <c r="FQ129" i="2" s="1"/>
  <c r="GI129" i="2"/>
  <c r="GL129" i="2" s="1"/>
  <c r="ET129" i="2"/>
  <c r="EW129" i="2" s="1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C129" i="2" l="1"/>
  <c r="DH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L130" i="2" s="1"/>
  <c r="GJ130" i="2"/>
  <c r="GM130" i="2" s="1"/>
  <c r="ET130" i="2"/>
  <c r="EW130" i="2" s="1"/>
  <c r="FN130" i="2"/>
  <c r="FQ130" i="2" s="1"/>
  <c r="DD130" i="2"/>
  <c r="BN130" i="2"/>
  <c r="CH130" i="2"/>
  <c r="AS130" i="2"/>
  <c r="DY130" i="2"/>
  <c r="DC130" i="2"/>
  <c r="W130" i="2"/>
  <c r="FO130" i="2"/>
  <c r="FR130" i="2" s="1"/>
  <c r="X130" i="2"/>
  <c r="ES130" i="2"/>
  <c r="EV130" i="2" s="1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FQ131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H131" i="2" s="1"/>
  <c r="HD131" i="2"/>
  <c r="HG131" i="2" s="1"/>
  <c r="GI131" i="2"/>
  <c r="GL131" i="2" s="1"/>
  <c r="FO131" i="2"/>
  <c r="FR131" i="2" s="1"/>
  <c r="ES131" i="2"/>
  <c r="EV131" i="2" s="1"/>
  <c r="ET131" i="2"/>
  <c r="EW131" i="2" s="1"/>
  <c r="DY131" i="2"/>
  <c r="GJ131" i="2"/>
  <c r="GM131" i="2" s="1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B131" i="2" l="1"/>
  <c r="EA131" i="2"/>
  <c r="DH131" i="2"/>
  <c r="FQ132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HH132" i="2" s="1"/>
  <c r="FO132" i="2"/>
  <c r="FR132" i="2" s="1"/>
  <c r="GJ132" i="2"/>
  <c r="GM132" i="2" s="1"/>
  <c r="ES132" i="2"/>
  <c r="EV132" i="2" s="1"/>
  <c r="DX132" i="2"/>
  <c r="GI132" i="2"/>
  <c r="GL132" i="2" s="1"/>
  <c r="CI132" i="2"/>
  <c r="BM132" i="2"/>
  <c r="ET132" i="2"/>
  <c r="EW132" i="2" s="1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EB132" i="2"/>
  <c r="FQ133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M133" i="2" s="1"/>
  <c r="GI133" i="2"/>
  <c r="GL133" i="2" s="1"/>
  <c r="HD133" i="2"/>
  <c r="HG133" i="2" s="1"/>
  <c r="FO133" i="2"/>
  <c r="FR133" i="2" s="1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DH133" i="2" l="1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HH134" i="2" s="1"/>
  <c r="GI134" i="2"/>
  <c r="GL134" i="2" s="1"/>
  <c r="GJ134" i="2"/>
  <c r="GM134" i="2" s="1"/>
  <c r="ET134" i="2"/>
  <c r="EW134" i="2" s="1"/>
  <c r="FO134" i="2"/>
  <c r="FR134" i="2" s="1"/>
  <c r="FN134" i="2"/>
  <c r="FQ134" i="2" s="1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FQ135" i="2" l="1"/>
  <c r="EC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HH135" i="2" s="1"/>
  <c r="GI135" i="2"/>
  <c r="GL135" i="2" s="1"/>
  <c r="GJ135" i="2"/>
  <c r="GM135" i="2" s="1"/>
  <c r="ES135" i="2"/>
  <c r="EV135" i="2" s="1"/>
  <c r="HD135" i="2"/>
  <c r="HG135" i="2" s="1"/>
  <c r="ET135" i="2"/>
  <c r="EW135" i="2" s="1"/>
  <c r="FO135" i="2"/>
  <c r="FR135" i="2" s="1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FQ136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HG136" i="2" s="1"/>
  <c r="FO136" i="2"/>
  <c r="FR136" i="2" s="1"/>
  <c r="HE136" i="2"/>
  <c r="HH136" i="2" s="1"/>
  <c r="GJ136" i="2"/>
  <c r="GM136" i="2" s="1"/>
  <c r="GI136" i="2"/>
  <c r="GL136" i="2" s="1"/>
  <c r="ES136" i="2"/>
  <c r="EV136" i="2" s="1"/>
  <c r="DX136" i="2"/>
  <c r="FN136" i="2"/>
  <c r="ET136" i="2"/>
  <c r="EW136" i="2" s="1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Q137" i="2" l="1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HG137" i="2" s="1"/>
  <c r="GJ137" i="2"/>
  <c r="GM137" i="2" s="1"/>
  <c r="FO137" i="2"/>
  <c r="FR137" i="2" s="1"/>
  <c r="FN137" i="2"/>
  <c r="GI137" i="2"/>
  <c r="GL137" i="2" s="1"/>
  <c r="ES137" i="2"/>
  <c r="EV137" i="2" s="1"/>
  <c r="DX137" i="2"/>
  <c r="CH137" i="2"/>
  <c r="AS137" i="2"/>
  <c r="CI137" i="2"/>
  <c r="BM137" i="2"/>
  <c r="X137" i="2"/>
  <c r="AR137" i="2"/>
  <c r="BN137" i="2"/>
  <c r="ET137" i="2"/>
  <c r="EW137" i="2" s="1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Q138" i="2" l="1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G138" i="2" s="1"/>
  <c r="HE138" i="2"/>
  <c r="HH138" i="2" s="1"/>
  <c r="GJ138" i="2"/>
  <c r="GM138" i="2" s="1"/>
  <c r="GI138" i="2"/>
  <c r="GL138" i="2" s="1"/>
  <c r="ET138" i="2"/>
  <c r="EW138" i="2" s="1"/>
  <c r="FN138" i="2"/>
  <c r="FO138" i="2"/>
  <c r="FR138" i="2" s="1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FQ139" i="2" l="1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HG139" i="2" s="1"/>
  <c r="GI139" i="2"/>
  <c r="GL139" i="2" s="1"/>
  <c r="FO139" i="2"/>
  <c r="FR139" i="2" s="1"/>
  <c r="ES139" i="2"/>
  <c r="EV139" i="2" s="1"/>
  <c r="GJ139" i="2"/>
  <c r="GM139" i="2" s="1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GL140" i="2" s="1"/>
  <c r="ES140" i="2"/>
  <c r="EV140" i="2" s="1"/>
  <c r="DX140" i="2"/>
  <c r="CI140" i="2"/>
  <c r="BM140" i="2"/>
  <c r="GJ140" i="2"/>
  <c r="GM140" i="2" s="1"/>
  <c r="FN140" i="2"/>
  <c r="FQ140" i="2" s="1"/>
  <c r="DY140" i="2"/>
  <c r="DC140" i="2"/>
  <c r="ET140" i="2"/>
  <c r="EW140" i="2" s="1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GM141" i="2" s="1"/>
  <c r="FO141" i="2"/>
  <c r="FR141" i="2" s="1"/>
  <c r="FN141" i="2"/>
  <c r="FQ141" i="2" s="1"/>
  <c r="GI141" i="2"/>
  <c r="GL141" i="2" s="1"/>
  <c r="ET141" i="2"/>
  <c r="EW141" i="2" s="1"/>
  <c r="ES141" i="2"/>
  <c r="EV141" i="2" s="1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C141" i="2" l="1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HH142" i="2" s="1"/>
  <c r="GJ142" i="2"/>
  <c r="GM142" i="2" s="1"/>
  <c r="ET142" i="2"/>
  <c r="EW142" i="2" s="1"/>
  <c r="FO142" i="2"/>
  <c r="FR142" i="2" s="1"/>
  <c r="FN142" i="2"/>
  <c r="FQ142" i="2" s="1"/>
  <c r="ES142" i="2"/>
  <c r="EV142" i="2" s="1"/>
  <c r="DX142" i="2"/>
  <c r="DD142" i="2"/>
  <c r="BN142" i="2"/>
  <c r="GI142" i="2"/>
  <c r="GL142" i="2" s="1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H143" i="2" s="1"/>
  <c r="HD143" i="2"/>
  <c r="HG143" i="2" s="1"/>
  <c r="GJ143" i="2"/>
  <c r="GM143" i="2" s="1"/>
  <c r="GI143" i="2"/>
  <c r="GL143" i="2" s="1"/>
  <c r="ES143" i="2"/>
  <c r="EV143" i="2" s="1"/>
  <c r="ET143" i="2"/>
  <c r="EW143" i="2" s="1"/>
  <c r="FN143" i="2"/>
  <c r="FQ143" i="2" s="1"/>
  <c r="DY143" i="2"/>
  <c r="FO143" i="2"/>
  <c r="FR143" i="2" s="1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M144" i="2" s="1"/>
  <c r="GI144" i="2"/>
  <c r="GL144" i="2" s="1"/>
  <c r="ES144" i="2"/>
  <c r="EV144" i="2" s="1"/>
  <c r="DX144" i="2"/>
  <c r="FN144" i="2"/>
  <c r="FQ144" i="2" s="1"/>
  <c r="ET144" i="2"/>
  <c r="EW144" i="2" s="1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GM145" i="2" s="1"/>
  <c r="FO145" i="2"/>
  <c r="FR145" i="2" s="1"/>
  <c r="FN145" i="2"/>
  <c r="FQ145" i="2" s="1"/>
  <c r="GI145" i="2"/>
  <c r="GL145" i="2" s="1"/>
  <c r="ET145" i="2"/>
  <c r="EW145" i="2" s="1"/>
  <c r="CH145" i="2"/>
  <c r="DY145" i="2"/>
  <c r="CI145" i="2"/>
  <c r="BM145" i="2"/>
  <c r="X145" i="2"/>
  <c r="AR145" i="2"/>
  <c r="ES145" i="2"/>
  <c r="EV145" i="2" s="1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W146" i="2" l="1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M146" i="2" s="1"/>
  <c r="GI146" i="2"/>
  <c r="GL146" i="2" s="1"/>
  <c r="ET146" i="2"/>
  <c r="FN146" i="2"/>
  <c r="FQ146" i="2" s="1"/>
  <c r="DD146" i="2"/>
  <c r="BN146" i="2"/>
  <c r="FO146" i="2"/>
  <c r="FR146" i="2" s="1"/>
  <c r="CH146" i="2"/>
  <c r="ES146" i="2"/>
  <c r="EV146" i="2" s="1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H147" i="2" s="1"/>
  <c r="HD147" i="2"/>
  <c r="HG147" i="2" s="1"/>
  <c r="GI147" i="2"/>
  <c r="GL147" i="2" s="1"/>
  <c r="FO147" i="2"/>
  <c r="FR147" i="2" s="1"/>
  <c r="ES147" i="2"/>
  <c r="EV147" i="2" s="1"/>
  <c r="ET147" i="2"/>
  <c r="EW147" i="2" s="1"/>
  <c r="DY147" i="2"/>
  <c r="DX147" i="2"/>
  <c r="DC147" i="2"/>
  <c r="DD147" i="2"/>
  <c r="BN147" i="2"/>
  <c r="FN147" i="2"/>
  <c r="FQ147" i="2" s="1"/>
  <c r="CI147" i="2"/>
  <c r="BM147" i="2"/>
  <c r="AS147" i="2"/>
  <c r="W147" i="2"/>
  <c r="GJ147" i="2"/>
  <c r="GM147" i="2" s="1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G148" i="2" l="1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FR148" i="2" s="1"/>
  <c r="GI148" i="2"/>
  <c r="GL148" i="2" s="1"/>
  <c r="GJ148" i="2"/>
  <c r="GM148" i="2" s="1"/>
  <c r="ES148" i="2"/>
  <c r="EV148" i="2" s="1"/>
  <c r="DX148" i="2"/>
  <c r="HE148" i="2"/>
  <c r="HH148" i="2" s="1"/>
  <c r="CI148" i="2"/>
  <c r="BM148" i="2"/>
  <c r="ET148" i="2"/>
  <c r="EW148" i="2" s="1"/>
  <c r="DC148" i="2"/>
  <c r="DD148" i="2"/>
  <c r="CH148" i="2"/>
  <c r="BN148" i="2"/>
  <c r="AR148" i="2"/>
  <c r="FN148" i="2"/>
  <c r="FQ148" i="2" s="1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G149" i="2" l="1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GM149" i="2" s="1"/>
  <c r="HD149" i="2"/>
  <c r="FN149" i="2"/>
  <c r="FQ149" i="2" s="1"/>
  <c r="GI149" i="2"/>
  <c r="GL149" i="2" s="1"/>
  <c r="FO149" i="2"/>
  <c r="FR149" i="2" s="1"/>
  <c r="ET149" i="2"/>
  <c r="EW149" i="2" s="1"/>
  <c r="ES149" i="2"/>
  <c r="EV149" i="2" s="1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GM150" i="2" s="1"/>
  <c r="ET150" i="2"/>
  <c r="EW150" i="2" s="1"/>
  <c r="FN150" i="2"/>
  <c r="FQ150" i="2" s="1"/>
  <c r="FO150" i="2"/>
  <c r="FR150" i="2" s="1"/>
  <c r="GI150" i="2"/>
  <c r="GL150" i="2" s="1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HH151" i="2" s="1"/>
  <c r="GJ151" i="2"/>
  <c r="GM151" i="2" s="1"/>
  <c r="GI151" i="2"/>
  <c r="GL151" i="2" s="1"/>
  <c r="ES151" i="2"/>
  <c r="EV151" i="2" s="1"/>
  <c r="ET151" i="2"/>
  <c r="EW151" i="2" s="1"/>
  <c r="FN151" i="2"/>
  <c r="FQ151" i="2" s="1"/>
  <c r="DY151" i="2"/>
  <c r="FO151" i="2"/>
  <c r="FR151" i="2" s="1"/>
  <c r="DC151" i="2"/>
  <c r="HD151" i="2"/>
  <c r="HG151" i="2" s="1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EC151" i="2" l="1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HG152" i="2" s="1"/>
  <c r="GJ152" i="2"/>
  <c r="GM152" i="2" s="1"/>
  <c r="GI152" i="2"/>
  <c r="GL152" i="2" s="1"/>
  <c r="FO152" i="2"/>
  <c r="FR152" i="2" s="1"/>
  <c r="ES152" i="2"/>
  <c r="EV152" i="2" s="1"/>
  <c r="DX152" i="2"/>
  <c r="FN152" i="2"/>
  <c r="FQ152" i="2" s="1"/>
  <c r="ET152" i="2"/>
  <c r="EW152" i="2" s="1"/>
  <c r="CI152" i="2"/>
  <c r="BM152" i="2"/>
  <c r="HE152" i="2"/>
  <c r="HH152" i="2" s="1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GM153" i="2" l="1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H153" i="2" s="1"/>
  <c r="HD153" i="2"/>
  <c r="HG153" i="2" s="1"/>
  <c r="GJ153" i="2"/>
  <c r="FN153" i="2"/>
  <c r="FQ153" i="2" s="1"/>
  <c r="FO153" i="2"/>
  <c r="FR153" i="2" s="1"/>
  <c r="ES153" i="2"/>
  <c r="EV153" i="2" s="1"/>
  <c r="DX153" i="2"/>
  <c r="CH153" i="2"/>
  <c r="CI153" i="2"/>
  <c r="BM153" i="2"/>
  <c r="GI153" i="2"/>
  <c r="GL153" i="2" s="1"/>
  <c r="X153" i="2"/>
  <c r="ET153" i="2"/>
  <c r="EW153" i="2" s="1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FQ154" i="2" s="1"/>
  <c r="HB154" i="2"/>
  <c r="HC154" i="2"/>
  <c r="GI154" i="2"/>
  <c r="GL154" i="2" s="1"/>
  <c r="FP154" i="2"/>
  <c r="HD154" i="2"/>
  <c r="HG154" i="2" s="1"/>
  <c r="GJ154" i="2"/>
  <c r="GM154" i="2" s="1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V154" i="2" s="1"/>
  <c r="EU154" i="2"/>
  <c r="DZ154" i="2"/>
  <c r="FO154" i="2"/>
  <c r="FR154" i="2" s="1"/>
  <c r="DL154" i="2"/>
  <c r="DD154" i="2"/>
  <c r="CJ154" i="2"/>
  <c r="EG154" i="2"/>
  <c r="DM154" i="2"/>
  <c r="DE154" i="2"/>
  <c r="ET154" i="2"/>
  <c r="EW154" i="2" s="1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EB154" i="2" l="1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FQ155" i="2" s="1"/>
  <c r="HB155" i="2"/>
  <c r="GH155" i="2"/>
  <c r="FO155" i="2"/>
  <c r="FR155" i="2" s="1"/>
  <c r="HC155" i="2"/>
  <c r="HD155" i="2"/>
  <c r="HG155" i="2" s="1"/>
  <c r="GJ155" i="2"/>
  <c r="GM155" i="2" s="1"/>
  <c r="HE155" i="2"/>
  <c r="HH155" i="2" s="1"/>
  <c r="GK155" i="2"/>
  <c r="FB155" i="2"/>
  <c r="HF155" i="2"/>
  <c r="FC155" i="2"/>
  <c r="FW155" i="2"/>
  <c r="FL155" i="2"/>
  <c r="ES155" i="2"/>
  <c r="EV155" i="2" s="1"/>
  <c r="ER155" i="2"/>
  <c r="DW155" i="2"/>
  <c r="ET155" i="2"/>
  <c r="EW155" i="2" s="1"/>
  <c r="GI155" i="2"/>
  <c r="GL155" i="2" s="1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AC154" i="2"/>
  <c r="HJ154" i="2"/>
  <c r="EY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Z155" i="2" l="1"/>
  <c r="ED154" i="2"/>
  <c r="AW155" i="2"/>
  <c r="FQ156" i="2"/>
  <c r="CN154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FR156" i="2" s="1"/>
  <c r="HC156" i="2"/>
  <c r="GI156" i="2"/>
  <c r="GL156" i="2" s="1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W156" i="2" s="1"/>
  <c r="EU156" i="2"/>
  <c r="DX156" i="2"/>
  <c r="GJ156" i="2"/>
  <c r="GM156" i="2" s="1"/>
  <c r="EH156" i="2"/>
  <c r="DL156" i="2"/>
  <c r="EQ156" i="2"/>
  <c r="ER156" i="2"/>
  <c r="DV156" i="2"/>
  <c r="BV156" i="2"/>
  <c r="ES156" i="2"/>
  <c r="EV156" i="2" s="1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AX152" i="2"/>
  <c r="FQ157" i="2" l="1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FR157" i="2" s="1"/>
  <c r="HC157" i="2"/>
  <c r="GI157" i="2"/>
  <c r="GL157" i="2" s="1"/>
  <c r="FP157" i="2"/>
  <c r="HD157" i="2"/>
  <c r="HG157" i="2" s="1"/>
  <c r="GJ157" i="2"/>
  <c r="GM157" i="2" s="1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V157" i="2" s="1"/>
  <c r="ET157" i="2"/>
  <c r="EW157" i="2" s="1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Q158" i="2" l="1"/>
  <c r="CN156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GL158" i="2" s="1"/>
  <c r="FP158" i="2"/>
  <c r="HD158" i="2"/>
  <c r="HG158" i="2" s="1"/>
  <c r="GJ158" i="2"/>
  <c r="GM158" i="2" s="1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R158" i="2" s="1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FQ159" i="2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HG159" i="2" s="1"/>
  <c r="GJ159" i="2"/>
  <c r="GM159" i="2" s="1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FR159" i="2" s="1"/>
  <c r="HC159" i="2"/>
  <c r="GI159" i="2"/>
  <c r="GL159" i="2" s="1"/>
  <c r="FP159" i="2"/>
  <c r="EG159" i="2"/>
  <c r="ER159" i="2"/>
  <c r="FL159" i="2"/>
  <c r="ES159" i="2"/>
  <c r="EV159" i="2" s="1"/>
  <c r="ET159" i="2"/>
  <c r="EW159" i="2" s="1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Q160" i="2" l="1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FR160" i="2" s="1"/>
  <c r="HC160" i="2"/>
  <c r="GI160" i="2"/>
  <c r="GL160" i="2" s="1"/>
  <c r="FP160" i="2"/>
  <c r="HD160" i="2"/>
  <c r="HG160" i="2" s="1"/>
  <c r="GJ160" i="2"/>
  <c r="GM160" i="2" s="1"/>
  <c r="EH160" i="2"/>
  <c r="ET160" i="2"/>
  <c r="EW160" i="2" s="1"/>
  <c r="DL160" i="2"/>
  <c r="FM160" i="2"/>
  <c r="EG160" i="2"/>
  <c r="DX160" i="2"/>
  <c r="EQ160" i="2"/>
  <c r="FX160" i="2"/>
  <c r="ER160" i="2"/>
  <c r="DZ160" i="2"/>
  <c r="DB160" i="2"/>
  <c r="CH160" i="2"/>
  <c r="ES160" i="2"/>
  <c r="EV160" i="2" s="1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ED159" i="2" l="1"/>
  <c r="EB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FR161" i="2" s="1"/>
  <c r="HC161" i="2"/>
  <c r="GI161" i="2"/>
  <c r="GL161" i="2" s="1"/>
  <c r="FP161" i="2"/>
  <c r="HD161" i="2"/>
  <c r="HG161" i="2" s="1"/>
  <c r="GJ161" i="2"/>
  <c r="GM161" i="2" s="1"/>
  <c r="HE161" i="2"/>
  <c r="HH161" i="2" s="1"/>
  <c r="GK161" i="2"/>
  <c r="FB161" i="2"/>
  <c r="EQ161" i="2"/>
  <c r="DM161" i="2"/>
  <c r="EG161" i="2"/>
  <c r="ER161" i="2"/>
  <c r="DY161" i="2"/>
  <c r="ET161" i="2"/>
  <c r="EW161" i="2" s="1"/>
  <c r="DC161" i="2"/>
  <c r="CI161" i="2"/>
  <c r="GG161" i="2"/>
  <c r="EU161" i="2"/>
  <c r="DL161" i="2"/>
  <c r="DD161" i="2"/>
  <c r="CJ161" i="2"/>
  <c r="EH161" i="2"/>
  <c r="CR161" i="2"/>
  <c r="ES161" i="2"/>
  <c r="EV161" i="2" s="1"/>
  <c r="DB161" i="2"/>
  <c r="CH161" i="2"/>
  <c r="BB161" i="2"/>
  <c r="AP161" i="2"/>
  <c r="DV161" i="2"/>
  <c r="DE161" i="2"/>
  <c r="AQ161" i="2"/>
  <c r="FN161" i="2"/>
  <c r="FQ161" i="2" s="1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A161" i="2"/>
  <c r="ED160" i="2"/>
  <c r="EC161" i="2"/>
  <c r="EB161" i="2"/>
  <c r="DH161" i="2"/>
  <c r="DF161" i="2"/>
  <c r="DG161" i="2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FQ162" i="2" s="1"/>
  <c r="HB162" i="2"/>
  <c r="HC162" i="2"/>
  <c r="GI162" i="2"/>
  <c r="GL162" i="2" s="1"/>
  <c r="FP162" i="2"/>
  <c r="HD162" i="2"/>
  <c r="HG162" i="2" s="1"/>
  <c r="GJ162" i="2"/>
  <c r="GM162" i="2" s="1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FR162" i="2" s="1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EV162" i="2" s="1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AU162" i="2" l="1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FQ163" i="2" s="1"/>
  <c r="HB163" i="2"/>
  <c r="GH163" i="2"/>
  <c r="FO163" i="2"/>
  <c r="FR163" i="2" s="1"/>
  <c r="HC163" i="2"/>
  <c r="HD163" i="2"/>
  <c r="HG163" i="2" s="1"/>
  <c r="GJ163" i="2"/>
  <c r="GM163" i="2" s="1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GL163" i="2" s="1"/>
  <c r="ET163" i="2"/>
  <c r="EW163" i="2" s="1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FQ164" i="2" s="1"/>
  <c r="HB164" i="2"/>
  <c r="GH164" i="2"/>
  <c r="FO164" i="2"/>
  <c r="FR164" i="2" s="1"/>
  <c r="HC164" i="2"/>
  <c r="GI164" i="2"/>
  <c r="GL164" i="2" s="1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W164" i="2" s="1"/>
  <c r="ES164" i="2"/>
  <c r="EV164" i="2" s="1"/>
  <c r="DX164" i="2"/>
  <c r="GJ164" i="2"/>
  <c r="GM164" i="2" s="1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Q165" i="2" l="1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FR165" i="2" s="1"/>
  <c r="HC165" i="2"/>
  <c r="GI165" i="2"/>
  <c r="GL165" i="2" s="1"/>
  <c r="FP165" i="2"/>
  <c r="HD165" i="2"/>
  <c r="HG165" i="2" s="1"/>
  <c r="GJ165" i="2"/>
  <c r="GM165" i="2" s="1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EV165" i="2" s="1"/>
  <c r="DW165" i="2"/>
  <c r="CQ165" i="2"/>
  <c r="BW165" i="2"/>
  <c r="ET165" i="2"/>
  <c r="EW165" i="2" s="1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GL166" i="2" s="1"/>
  <c r="FP166" i="2"/>
  <c r="HD166" i="2"/>
  <c r="HG166" i="2" s="1"/>
  <c r="GJ166" i="2"/>
  <c r="GM166" i="2" s="1"/>
  <c r="HE166" i="2"/>
  <c r="HH166" i="2" s="1"/>
  <c r="GK166" i="2"/>
  <c r="FB166" i="2"/>
  <c r="HF166" i="2"/>
  <c r="FW166" i="2"/>
  <c r="FL166" i="2"/>
  <c r="GR166" i="2"/>
  <c r="FX166" i="2"/>
  <c r="FM166" i="2"/>
  <c r="GS166" i="2"/>
  <c r="GG166" i="2"/>
  <c r="FN166" i="2"/>
  <c r="FQ166" i="2" s="1"/>
  <c r="HB166" i="2"/>
  <c r="GH166" i="2"/>
  <c r="FO166" i="2"/>
  <c r="FR166" i="2" s="1"/>
  <c r="EG166" i="2"/>
  <c r="DZ166" i="2"/>
  <c r="ES166" i="2"/>
  <c r="EV166" i="2" s="1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EW166" i="2" s="1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N165" i="2" l="1"/>
  <c r="FQ167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HG167" i="2" s="1"/>
  <c r="GJ167" i="2"/>
  <c r="GM167" i="2" s="1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GL167" i="2" s="1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EV167" i="2" s="1"/>
  <c r="DM167" i="2"/>
  <c r="CR167" i="2"/>
  <c r="ET167" i="2"/>
  <c r="EW167" i="2" s="1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H167" i="2" l="1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FQ168" i="2" s="1"/>
  <c r="HB168" i="2"/>
  <c r="GH168" i="2"/>
  <c r="FO168" i="2"/>
  <c r="FR168" i="2" s="1"/>
  <c r="HC168" i="2"/>
  <c r="GI168" i="2"/>
  <c r="GL168" i="2" s="1"/>
  <c r="FP168" i="2"/>
  <c r="HD168" i="2"/>
  <c r="HG168" i="2" s="1"/>
  <c r="GJ168" i="2"/>
  <c r="GM168" i="2" s="1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G169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FR169" i="2" s="1"/>
  <c r="HC169" i="2"/>
  <c r="GI169" i="2"/>
  <c r="GL169" i="2" s="1"/>
  <c r="FP169" i="2"/>
  <c r="HD169" i="2"/>
  <c r="GJ169" i="2"/>
  <c r="GM169" i="2" s="1"/>
  <c r="HE169" i="2"/>
  <c r="HH169" i="2" s="1"/>
  <c r="GK169" i="2"/>
  <c r="FB169" i="2"/>
  <c r="EQ169" i="2"/>
  <c r="EU169" i="2"/>
  <c r="DM169" i="2"/>
  <c r="FN169" i="2"/>
  <c r="FQ169" i="2" s="1"/>
  <c r="EH169" i="2"/>
  <c r="DY169" i="2"/>
  <c r="GG169" i="2"/>
  <c r="ES169" i="2"/>
  <c r="EV169" i="2" s="1"/>
  <c r="DC169" i="2"/>
  <c r="CI169" i="2"/>
  <c r="ET169" i="2"/>
  <c r="EW169" i="2" s="1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DH169" i="2"/>
  <c r="HG170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FQ170" i="2" s="1"/>
  <c r="HB170" i="2"/>
  <c r="HC170" i="2"/>
  <c r="GI170" i="2"/>
  <c r="GL170" i="2" s="1"/>
  <c r="FP170" i="2"/>
  <c r="HD170" i="2"/>
  <c r="GJ170" i="2"/>
  <c r="GM170" i="2" s="1"/>
  <c r="HE170" i="2"/>
  <c r="HH170" i="2" s="1"/>
  <c r="GK170" i="2"/>
  <c r="FB170" i="2"/>
  <c r="HF170" i="2"/>
  <c r="FC170" i="2"/>
  <c r="ER170" i="2"/>
  <c r="DV170" i="2"/>
  <c r="ES170" i="2"/>
  <c r="EV170" i="2" s="1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EW170" i="2" s="1"/>
  <c r="DC170" i="2"/>
  <c r="CI170" i="2"/>
  <c r="BL170" i="2"/>
  <c r="DW170" i="2"/>
  <c r="BM170" i="2"/>
  <c r="BA170" i="2"/>
  <c r="DX170" i="2"/>
  <c r="FO170" i="2"/>
  <c r="FR170" i="2" s="1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EC170" i="2" l="1"/>
  <c r="EA170" i="2"/>
  <c r="HG171" i="2"/>
  <c r="CN169" i="2"/>
  <c r="EB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FQ171" i="2" s="1"/>
  <c r="HB171" i="2"/>
  <c r="GH171" i="2"/>
  <c r="FO171" i="2"/>
  <c r="FR171" i="2" s="1"/>
  <c r="HC171" i="2"/>
  <c r="HD171" i="2"/>
  <c r="GJ171" i="2"/>
  <c r="GM171" i="2" s="1"/>
  <c r="HE171" i="2"/>
  <c r="HH171" i="2" s="1"/>
  <c r="GK171" i="2"/>
  <c r="FB171" i="2"/>
  <c r="HF171" i="2"/>
  <c r="FC171" i="2"/>
  <c r="FW171" i="2"/>
  <c r="FL171" i="2"/>
  <c r="ES171" i="2"/>
  <c r="EV171" i="2" s="1"/>
  <c r="GI171" i="2"/>
  <c r="GL171" i="2" s="1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EW171" i="2" s="1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FQ172" i="2" s="1"/>
  <c r="HB172" i="2"/>
  <c r="GH172" i="2"/>
  <c r="FO172" i="2"/>
  <c r="FR172" i="2" s="1"/>
  <c r="HC172" i="2"/>
  <c r="GI172" i="2"/>
  <c r="GL172" i="2" s="1"/>
  <c r="FP172" i="2"/>
  <c r="HD172" i="2"/>
  <c r="HG172" i="2" s="1"/>
  <c r="HE172" i="2"/>
  <c r="HH172" i="2" s="1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GM172" i="2" s="1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FQ173" i="2"/>
  <c r="DH172" i="2"/>
  <c r="EC172" i="2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FR173" i="2" s="1"/>
  <c r="HC173" i="2"/>
  <c r="GI173" i="2"/>
  <c r="GL173" i="2" s="1"/>
  <c r="FP173" i="2"/>
  <c r="HD173" i="2"/>
  <c r="HG173" i="2" s="1"/>
  <c r="GJ173" i="2"/>
  <c r="GM173" i="2" s="1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EV173" i="2" s="1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DH173" i="2" l="1"/>
  <c r="ED172" i="2"/>
  <c r="CL173" i="2"/>
  <c r="FQ174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GL174" i="2" s="1"/>
  <c r="FP174" i="2"/>
  <c r="HD174" i="2"/>
  <c r="HG174" i="2" s="1"/>
  <c r="GJ174" i="2"/>
  <c r="GM174" i="2" s="1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FR174" i="2" s="1"/>
  <c r="DZ174" i="2"/>
  <c r="ER174" i="2"/>
  <c r="DV174" i="2"/>
  <c r="FC174" i="2"/>
  <c r="ET174" i="2"/>
  <c r="EW174" i="2" s="1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EV174" i="2" s="1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FQ175" i="2" l="1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HG175" i="2" s="1"/>
  <c r="GJ175" i="2"/>
  <c r="GM175" i="2" s="1"/>
  <c r="HE175" i="2"/>
  <c r="HH175" i="2" s="1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FR175" i="2" s="1"/>
  <c r="HC175" i="2"/>
  <c r="GI175" i="2"/>
  <c r="GL175" i="2" s="1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V175" i="2" s="1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CN174" i="2"/>
  <c r="FQ176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FR176" i="2" s="1"/>
  <c r="HC176" i="2"/>
  <c r="GI176" i="2"/>
  <c r="GL176" i="2" s="1"/>
  <c r="FP176" i="2"/>
  <c r="HD176" i="2"/>
  <c r="HG176" i="2" s="1"/>
  <c r="GJ176" i="2"/>
  <c r="GM176" i="2" s="1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EV176" i="2" s="1"/>
  <c r="BO176" i="2"/>
  <c r="ET176" i="2"/>
  <c r="EW176" i="2" s="1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DI175" i="2" l="1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FR177" i="2" s="1"/>
  <c r="HC177" i="2"/>
  <c r="GI177" i="2"/>
  <c r="GL177" i="2" s="1"/>
  <c r="FP177" i="2"/>
  <c r="HD177" i="2"/>
  <c r="HG177" i="2" s="1"/>
  <c r="GJ177" i="2"/>
  <c r="GM177" i="2" s="1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EV177" i="2" s="1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A177" i="2" l="1"/>
  <c r="EC177" i="2"/>
  <c r="EB177" i="2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GL178" i="2" s="1"/>
  <c r="FP178" i="2"/>
  <c r="HD178" i="2"/>
  <c r="HG178" i="2" s="1"/>
  <c r="GJ178" i="2"/>
  <c r="GM178" i="2" s="1"/>
  <c r="HE178" i="2"/>
  <c r="HH178" i="2" s="1"/>
  <c r="GK178" i="2"/>
  <c r="FB178" i="2"/>
  <c r="HF178" i="2"/>
  <c r="FC178" i="2"/>
  <c r="ER178" i="2"/>
  <c r="DV178" i="2"/>
  <c r="FO178" i="2"/>
  <c r="FR178" i="2" s="1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EV178" i="2" s="1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FQ179" i="2" s="1"/>
  <c r="HB179" i="2"/>
  <c r="GH179" i="2"/>
  <c r="FO179" i="2"/>
  <c r="FR179" i="2" s="1"/>
  <c r="HC179" i="2"/>
  <c r="HD179" i="2"/>
  <c r="HG179" i="2" s="1"/>
  <c r="GJ179" i="2"/>
  <c r="GM179" i="2" s="1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EW179" i="2" s="1"/>
  <c r="DM179" i="2"/>
  <c r="DE179" i="2"/>
  <c r="GI179" i="2"/>
  <c r="GL179" i="2" s="1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AW179" i="2" l="1"/>
  <c r="GL180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FQ180" i="2" s="1"/>
  <c r="HB180" i="2"/>
  <c r="GH180" i="2"/>
  <c r="FO180" i="2"/>
  <c r="FR180" i="2" s="1"/>
  <c r="HC180" i="2"/>
  <c r="GI180" i="2"/>
  <c r="FP180" i="2"/>
  <c r="HD180" i="2"/>
  <c r="HG180" i="2" s="1"/>
  <c r="HE180" i="2"/>
  <c r="HH180" i="2" s="1"/>
  <c r="GK180" i="2"/>
  <c r="FB180" i="2"/>
  <c r="HF180" i="2"/>
  <c r="FC180" i="2"/>
  <c r="FW180" i="2"/>
  <c r="FL180" i="2"/>
  <c r="GR180" i="2"/>
  <c r="FX180" i="2"/>
  <c r="FM180" i="2"/>
  <c r="ET180" i="2"/>
  <c r="EW180" i="2" s="1"/>
  <c r="GJ180" i="2"/>
  <c r="GM180" i="2" s="1"/>
  <c r="EQ180" i="2"/>
  <c r="DX180" i="2"/>
  <c r="DL180" i="2"/>
  <c r="EG180" i="2"/>
  <c r="DV180" i="2"/>
  <c r="BV180" i="2"/>
  <c r="EH180" i="2"/>
  <c r="DW180" i="2"/>
  <c r="CQ180" i="2"/>
  <c r="BW180" i="2"/>
  <c r="ES180" i="2"/>
  <c r="EV180" i="2" s="1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DH180" i="2" l="1"/>
  <c r="GL181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FR181" i="2" s="1"/>
  <c r="HC181" i="2"/>
  <c r="GI181" i="2"/>
  <c r="FP181" i="2"/>
  <c r="HD181" i="2"/>
  <c r="HG181" i="2" s="1"/>
  <c r="GJ181" i="2"/>
  <c r="GM181" i="2" s="1"/>
  <c r="HE181" i="2"/>
  <c r="HH181" i="2" s="1"/>
  <c r="HF181" i="2"/>
  <c r="FC181" i="2"/>
  <c r="FW181" i="2"/>
  <c r="FL181" i="2"/>
  <c r="GR181" i="2"/>
  <c r="FX181" i="2"/>
  <c r="FM181" i="2"/>
  <c r="GS181" i="2"/>
  <c r="GG181" i="2"/>
  <c r="FN181" i="2"/>
  <c r="FQ181" i="2" s="1"/>
  <c r="EU181" i="2"/>
  <c r="ES181" i="2"/>
  <c r="EV181" i="2" s="1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CN180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GL182" i="2" s="1"/>
  <c r="FP182" i="2"/>
  <c r="HD182" i="2"/>
  <c r="HG182" i="2" s="1"/>
  <c r="GJ182" i="2"/>
  <c r="GM182" i="2" s="1"/>
  <c r="HE182" i="2"/>
  <c r="HH182" i="2" s="1"/>
  <c r="GK182" i="2"/>
  <c r="FB182" i="2"/>
  <c r="HF182" i="2"/>
  <c r="FW182" i="2"/>
  <c r="FL182" i="2"/>
  <c r="GR182" i="2"/>
  <c r="FX182" i="2"/>
  <c r="FM182" i="2"/>
  <c r="GS182" i="2"/>
  <c r="GG182" i="2"/>
  <c r="FN182" i="2"/>
  <c r="FQ182" i="2" s="1"/>
  <c r="HB182" i="2"/>
  <c r="GH182" i="2"/>
  <c r="FO182" i="2"/>
  <c r="FR182" i="2" s="1"/>
  <c r="EU182" i="2"/>
  <c r="EQ182" i="2"/>
  <c r="DV182" i="2"/>
  <c r="FC182" i="2"/>
  <c r="ES182" i="2"/>
  <c r="EV182" i="2" s="1"/>
  <c r="DX182" i="2"/>
  <c r="CR182" i="2"/>
  <c r="ET182" i="2"/>
  <c r="EW182" i="2" s="1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EA182" i="2" l="1"/>
  <c r="HG183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GM183" i="2" s="1"/>
  <c r="HE183" i="2"/>
  <c r="HH183" i="2" s="1"/>
  <c r="GK183" i="2"/>
  <c r="FB183" i="2"/>
  <c r="HF183" i="2"/>
  <c r="FC183" i="2"/>
  <c r="GR183" i="2"/>
  <c r="FX183" i="2"/>
  <c r="FM183" i="2"/>
  <c r="GS183" i="2"/>
  <c r="GG183" i="2"/>
  <c r="FN183" i="2"/>
  <c r="FQ183" i="2" s="1"/>
  <c r="HB183" i="2"/>
  <c r="GH183" i="2"/>
  <c r="FO183" i="2"/>
  <c r="FR183" i="2" s="1"/>
  <c r="HC183" i="2"/>
  <c r="GI183" i="2"/>
  <c r="GL183" i="2" s="1"/>
  <c r="FP183" i="2"/>
  <c r="EG183" i="2"/>
  <c r="FW183" i="2"/>
  <c r="ES183" i="2"/>
  <c r="EV183" i="2" s="1"/>
  <c r="FL183" i="2"/>
  <c r="EU183" i="2"/>
  <c r="DY183" i="2"/>
  <c r="DA183" i="2"/>
  <c r="DZ183" i="2"/>
  <c r="DB183" i="2"/>
  <c r="EQ183" i="2"/>
  <c r="DL183" i="2"/>
  <c r="ER183" i="2"/>
  <c r="DM183" i="2"/>
  <c r="ET183" i="2"/>
  <c r="EW183" i="2" s="1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HH184" i="2" s="1"/>
  <c r="GK184" i="2"/>
  <c r="FB184" i="2"/>
  <c r="HF184" i="2"/>
  <c r="FC184" i="2"/>
  <c r="FW184" i="2"/>
  <c r="FL184" i="2"/>
  <c r="GR184" i="2"/>
  <c r="GS184" i="2"/>
  <c r="GG184" i="2"/>
  <c r="FN184" i="2"/>
  <c r="FQ184" i="2" s="1"/>
  <c r="HB184" i="2"/>
  <c r="GH184" i="2"/>
  <c r="FO184" i="2"/>
  <c r="FR184" i="2" s="1"/>
  <c r="HC184" i="2"/>
  <c r="GI184" i="2"/>
  <c r="GL184" i="2" s="1"/>
  <c r="FP184" i="2"/>
  <c r="HD184" i="2"/>
  <c r="HG184" i="2" s="1"/>
  <c r="GJ184" i="2"/>
  <c r="GM184" i="2" s="1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EV184" i="2" s="1"/>
  <c r="DE184" i="2"/>
  <c r="ET184" i="2"/>
  <c r="EW184" i="2" s="1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DH184" i="2" l="1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AU185" i="2" s="1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FR185" i="2" s="1"/>
  <c r="HC185" i="2"/>
  <c r="GI185" i="2"/>
  <c r="GL185" i="2" s="1"/>
  <c r="FP185" i="2"/>
  <c r="HD185" i="2"/>
  <c r="HG185" i="2" s="1"/>
  <c r="GJ185" i="2"/>
  <c r="GM185" i="2" s="1"/>
  <c r="HE185" i="2"/>
  <c r="HH185" i="2" s="1"/>
  <c r="GK185" i="2"/>
  <c r="FB185" i="2"/>
  <c r="EQ185" i="2"/>
  <c r="FN185" i="2"/>
  <c r="FQ185" i="2" s="1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FR186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FQ186" i="2" s="1"/>
  <c r="HB186" i="2"/>
  <c r="HC186" i="2"/>
  <c r="GI186" i="2"/>
  <c r="GL186" i="2" s="1"/>
  <c r="FP186" i="2"/>
  <c r="HD186" i="2"/>
  <c r="HG186" i="2" s="1"/>
  <c r="GJ186" i="2"/>
  <c r="GM186" i="2" s="1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EV186" i="2" s="1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A186" i="2"/>
  <c r="FR187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FQ187" i="2" s="1"/>
  <c r="HB187" i="2"/>
  <c r="GH187" i="2"/>
  <c r="FO187" i="2"/>
  <c r="HC187" i="2"/>
  <c r="HD187" i="2"/>
  <c r="HG187" i="2" s="1"/>
  <c r="GJ187" i="2"/>
  <c r="GM187" i="2" s="1"/>
  <c r="HE187" i="2"/>
  <c r="HH187" i="2" s="1"/>
  <c r="GK187" i="2"/>
  <c r="FB187" i="2"/>
  <c r="HF187" i="2"/>
  <c r="FC187" i="2"/>
  <c r="FW187" i="2"/>
  <c r="FL187" i="2"/>
  <c r="ES187" i="2"/>
  <c r="EV187" i="2" s="1"/>
  <c r="FP187" i="2"/>
  <c r="ER187" i="2"/>
  <c r="GI187" i="2"/>
  <c r="GL187" i="2" s="1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EW187" i="2" s="1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EA187" i="2" l="1"/>
  <c r="DH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FQ188" i="2" s="1"/>
  <c r="HB188" i="2"/>
  <c r="GH188" i="2"/>
  <c r="FO188" i="2"/>
  <c r="FR188" i="2" s="1"/>
  <c r="HC188" i="2"/>
  <c r="GI188" i="2"/>
  <c r="GL188" i="2" s="1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W188" i="2" s="1"/>
  <c r="EH188" i="2"/>
  <c r="EU188" i="2"/>
  <c r="DV188" i="2"/>
  <c r="GJ188" i="2"/>
  <c r="GM188" i="2" s="1"/>
  <c r="EG188" i="2"/>
  <c r="DW188" i="2"/>
  <c r="CQ188" i="2"/>
  <c r="ER188" i="2"/>
  <c r="ES188" i="2"/>
  <c r="EV188" i="2" s="1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W189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FR189" i="2" s="1"/>
  <c r="HC189" i="2"/>
  <c r="GI189" i="2"/>
  <c r="GL189" i="2" s="1"/>
  <c r="FP189" i="2"/>
  <c r="HD189" i="2"/>
  <c r="HG189" i="2" s="1"/>
  <c r="GJ189" i="2"/>
  <c r="GM189" i="2" s="1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FQ189" i="2" s="1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DH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GL190" i="2" s="1"/>
  <c r="HD190" i="2"/>
  <c r="HG190" i="2" s="1"/>
  <c r="GJ190" i="2"/>
  <c r="GM190" i="2" s="1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FR190" i="2" s="1"/>
  <c r="ET190" i="2"/>
  <c r="EW190" i="2" s="1"/>
  <c r="FC190" i="2"/>
  <c r="EH190" i="2"/>
  <c r="FN190" i="2"/>
  <c r="FQ190" i="2" s="1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GM191" i="2"/>
  <c r="CN189" i="2"/>
  <c r="ED189" i="2"/>
  <c r="EC190" i="2"/>
  <c r="EA190" i="2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GL191" i="2" s="1"/>
  <c r="FP191" i="2"/>
  <c r="EG191" i="2"/>
  <c r="FC191" i="2"/>
  <c r="FW191" i="2"/>
  <c r="FL191" i="2"/>
  <c r="FM191" i="2"/>
  <c r="FO191" i="2"/>
  <c r="FR191" i="2" s="1"/>
  <c r="ER191" i="2"/>
  <c r="ET191" i="2"/>
  <c r="EW191" i="2" s="1"/>
  <c r="DY191" i="2"/>
  <c r="DA191" i="2"/>
  <c r="FB191" i="2"/>
  <c r="EU191" i="2"/>
  <c r="DZ191" i="2"/>
  <c r="DB191" i="2"/>
  <c r="FN191" i="2"/>
  <c r="FQ191" i="2" s="1"/>
  <c r="EH191" i="2"/>
  <c r="EQ191" i="2"/>
  <c r="ES191" i="2"/>
  <c r="EV191" i="2" s="1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GL192" i="2" s="1"/>
  <c r="HD192" i="2"/>
  <c r="HG192" i="2" s="1"/>
  <c r="GJ192" i="2"/>
  <c r="GM192" i="2" s="1"/>
  <c r="EH192" i="2"/>
  <c r="FM192" i="2"/>
  <c r="EG192" i="2"/>
  <c r="FN192" i="2"/>
  <c r="FQ192" i="2" s="1"/>
  <c r="FX192" i="2"/>
  <c r="FO192" i="2"/>
  <c r="FR192" i="2" s="1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GL193" i="2" s="1"/>
  <c r="HD193" i="2"/>
  <c r="HG193" i="2" s="1"/>
  <c r="GJ193" i="2"/>
  <c r="GM193" i="2" s="1"/>
  <c r="HE193" i="2"/>
  <c r="HH193" i="2" s="1"/>
  <c r="GK193" i="2"/>
  <c r="FB193" i="2"/>
  <c r="EQ193" i="2"/>
  <c r="FO193" i="2"/>
  <c r="FR193" i="2" s="1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EW193" i="2" s="1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EV193" i="2" s="1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FR194" i="2" l="1"/>
  <c r="EA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GL194" i="2" s="1"/>
  <c r="HD194" i="2"/>
  <c r="HG194" i="2" s="1"/>
  <c r="GJ194" i="2"/>
  <c r="GM194" i="2" s="1"/>
  <c r="HE194" i="2"/>
  <c r="HH194" i="2" s="1"/>
  <c r="GK194" i="2"/>
  <c r="HF194" i="2"/>
  <c r="FC194" i="2"/>
  <c r="ER194" i="2"/>
  <c r="ET194" i="2"/>
  <c r="EW194" i="2" s="1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EV194" i="2" s="1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DH194" i="2"/>
  <c r="CN193" i="2"/>
  <c r="FR195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GM195" i="2" s="1"/>
  <c r="HE195" i="2"/>
  <c r="HH195" i="2" s="1"/>
  <c r="GK195" i="2"/>
  <c r="HF195" i="2"/>
  <c r="FW195" i="2"/>
  <c r="FL195" i="2"/>
  <c r="ES195" i="2"/>
  <c r="EV195" i="2" s="1"/>
  <c r="FB195" i="2"/>
  <c r="FC195" i="2"/>
  <c r="FM195" i="2"/>
  <c r="FO195" i="2"/>
  <c r="EQ195" i="2"/>
  <c r="GI195" i="2"/>
  <c r="GL195" i="2" s="1"/>
  <c r="FP195" i="2"/>
  <c r="ET195" i="2"/>
  <c r="EW195" i="2" s="1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EB195" i="2"/>
  <c r="FR196" i="2"/>
  <c r="ED194" i="2"/>
  <c r="EC195" i="2"/>
  <c r="DF195" i="2"/>
  <c r="DG195" i="2"/>
  <c r="AU195" i="2"/>
  <c r="CN194" i="2"/>
  <c r="CM195" i="2"/>
  <c r="BQ195" i="2"/>
  <c r="AV195" i="2"/>
  <c r="AW195" i="2"/>
  <c r="AW196" i="2" s="1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GL196" i="2" s="1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Q196" i="2" s="1"/>
  <c r="FO196" i="2"/>
  <c r="ES196" i="2"/>
  <c r="EV196" i="2" s="1"/>
  <c r="GJ196" i="2"/>
  <c r="GM196" i="2" s="1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A196" i="2" l="1"/>
  <c r="EB196" i="2"/>
  <c r="FR197" i="2"/>
  <c r="DF196" i="2"/>
  <c r="EC196" i="2"/>
  <c r="DH196" i="2"/>
  <c r="DG196" i="2"/>
  <c r="DI196" i="2" s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GL197" i="2" s="1"/>
  <c r="HD197" i="2"/>
  <c r="HG197" i="2" s="1"/>
  <c r="GJ197" i="2"/>
  <c r="GM197" i="2" s="1"/>
  <c r="HE197" i="2"/>
  <c r="HH197" i="2" s="1"/>
  <c r="HF197" i="2"/>
  <c r="FW197" i="2"/>
  <c r="GR197" i="2"/>
  <c r="FX197" i="2"/>
  <c r="GS197" i="2"/>
  <c r="GG197" i="2"/>
  <c r="FN197" i="2"/>
  <c r="FQ197" i="2" s="1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EV197" i="2" s="1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 l="1"/>
  <c r="Z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L198" i="2" s="1"/>
  <c r="HD198" i="2"/>
  <c r="HG198" i="2" s="1"/>
  <c r="GJ198" i="2"/>
  <c r="GM198" i="2" s="1"/>
  <c r="HE198" i="2"/>
  <c r="HH198" i="2" s="1"/>
  <c r="GK198" i="2"/>
  <c r="HF198" i="2"/>
  <c r="FW198" i="2"/>
  <c r="GR198" i="2"/>
  <c r="FX198" i="2"/>
  <c r="GS198" i="2"/>
  <c r="GG198" i="2"/>
  <c r="HB198" i="2"/>
  <c r="GH198" i="2"/>
  <c r="FO198" i="2"/>
  <c r="FR198" i="2" s="1"/>
  <c r="ES198" i="2"/>
  <c r="EV198" i="2" s="1"/>
  <c r="FB198" i="2"/>
  <c r="FL198" i="2"/>
  <c r="EG198" i="2"/>
  <c r="FM198" i="2"/>
  <c r="FN198" i="2"/>
  <c r="FQ198" i="2" s="1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Z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AU199" i="2" s="1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GM199" i="2" s="1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GL199" i="2" s="1"/>
  <c r="FP199" i="2"/>
  <c r="FW199" i="2"/>
  <c r="FB199" i="2"/>
  <c r="ET199" i="2"/>
  <c r="EW199" i="2" s="1"/>
  <c r="FC199" i="2"/>
  <c r="FL199" i="2"/>
  <c r="FN199" i="2"/>
  <c r="FQ199" i="2" s="1"/>
  <c r="EH199" i="2"/>
  <c r="FO199" i="2"/>
  <c r="FR199" i="2" s="1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 l="1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HH200" i="2" s="1"/>
  <c r="GK200" i="2"/>
  <c r="HF200" i="2"/>
  <c r="FW200" i="2"/>
  <c r="GR200" i="2"/>
  <c r="GS200" i="2"/>
  <c r="GG200" i="2"/>
  <c r="HB200" i="2"/>
  <c r="GH200" i="2"/>
  <c r="HC200" i="2"/>
  <c r="GI200" i="2"/>
  <c r="GL200" i="2" s="1"/>
  <c r="HD200" i="2"/>
  <c r="HG200" i="2" s="1"/>
  <c r="GJ200" i="2"/>
  <c r="GM200" i="2" s="1"/>
  <c r="FL200" i="2"/>
  <c r="EU200" i="2"/>
  <c r="FX200" i="2"/>
  <c r="FM200" i="2"/>
  <c r="FN200" i="2"/>
  <c r="FQ200" i="2" s="1"/>
  <c r="FP200" i="2"/>
  <c r="EQ200" i="2"/>
  <c r="FB200" i="2"/>
  <c r="ES200" i="2"/>
  <c r="EV200" i="2" s="1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FR200" i="2" s="1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EC200" i="2" l="1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GL201" i="2" s="1"/>
  <c r="HD201" i="2"/>
  <c r="HG201" i="2" s="1"/>
  <c r="GJ201" i="2"/>
  <c r="GM201" i="2" s="1"/>
  <c r="HE201" i="2"/>
  <c r="HH201" i="2" s="1"/>
  <c r="GK201" i="2"/>
  <c r="FB201" i="2"/>
  <c r="FN201" i="2"/>
  <c r="FQ201" i="2" s="1"/>
  <c r="FO201" i="2"/>
  <c r="FR201" i="2" s="1"/>
  <c r="GG201" i="2"/>
  <c r="FP201" i="2"/>
  <c r="ER201" i="2"/>
  <c r="FC201" i="2"/>
  <c r="FL201" i="2"/>
  <c r="ET201" i="2"/>
  <c r="EW201" i="2" s="1"/>
  <c r="DY201" i="2"/>
  <c r="DC201" i="2"/>
  <c r="FM201" i="2"/>
  <c r="EU201" i="2"/>
  <c r="DZ201" i="2"/>
  <c r="DD201" i="2"/>
  <c r="EH201" i="2"/>
  <c r="DL201" i="2"/>
  <c r="EQ201" i="2"/>
  <c r="ES201" i="2"/>
  <c r="EV201" i="2" s="1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CM201" i="2" l="1"/>
  <c r="HH202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GL202" i="2" s="1"/>
  <c r="HC202" i="2"/>
  <c r="GJ202" i="2"/>
  <c r="GM202" i="2" s="1"/>
  <c r="HD202" i="2"/>
  <c r="HG202" i="2" s="1"/>
  <c r="GK202" i="2"/>
  <c r="HE202" i="2"/>
  <c r="FC202" i="2"/>
  <c r="FP202" i="2"/>
  <c r="EG202" i="2"/>
  <c r="FL202" i="2"/>
  <c r="ES202" i="2"/>
  <c r="EV202" i="2" s="1"/>
  <c r="FM202" i="2"/>
  <c r="FN202" i="2"/>
  <c r="FQ202" i="2" s="1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EA202" i="2"/>
  <c r="HH203" i="2"/>
  <c r="CN201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GM203" i="2" s="1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GL203" i="2" s="1"/>
  <c r="FN203" i="2"/>
  <c r="FQ203" i="2" s="1"/>
  <c r="ET203" i="2"/>
  <c r="EW203" i="2" s="1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V203" i="2" s="1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40" i="2" s="1" a="1"/>
  <c r="AH140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BX29" i="2" a="1"/>
  <c r="BX29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CS77" i="2" a="1"/>
  <c r="CS77" i="2" s="1"/>
  <c r="BX8" i="2" a="1"/>
  <c r="BX8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BX50" i="2" a="1"/>
  <c r="BX50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HJ202" i="2"/>
  <c r="EY202" i="2"/>
  <c r="AX200" i="2"/>
  <c r="AH56" i="2" l="1" a="1"/>
  <c r="AH56" i="2" s="1"/>
  <c r="AH197" i="2" a="1"/>
  <c r="AH197" i="2" s="1"/>
  <c r="AH201" i="2" a="1"/>
  <c r="AH201" i="2" s="1"/>
  <c r="AH79" i="2" a="1"/>
  <c r="AH79" i="2" s="1"/>
  <c r="AH17" i="2" a="1"/>
  <c r="AH17" i="2" s="1"/>
  <c r="AH37" i="2" a="1"/>
  <c r="AH37" i="2" s="1"/>
  <c r="AH89" i="2" a="1"/>
  <c r="AH89" i="2" s="1"/>
  <c r="AH144" i="2" a="1"/>
  <c r="AH144" i="2" s="1"/>
  <c r="AH92" i="2" a="1"/>
  <c r="AH92" i="2" s="1"/>
  <c r="AH19" i="2" a="1"/>
  <c r="AH19" i="2" s="1"/>
  <c r="AH166" i="2" a="1"/>
  <c r="AH166" i="2" s="1"/>
  <c r="AH146" i="2" a="1"/>
  <c r="AH146" i="2" s="1"/>
  <c r="AH198" i="2" a="1"/>
  <c r="AH198" i="2" s="1"/>
  <c r="AH163" i="2" a="1"/>
  <c r="AH163" i="2" s="1"/>
  <c r="AH186" i="2" a="1"/>
  <c r="AH186" i="2" s="1"/>
  <c r="AH157" i="2" a="1"/>
  <c r="AH157" i="2" s="1"/>
  <c r="AH155" i="2" a="1"/>
  <c r="AH155" i="2" s="1"/>
  <c r="AH14" i="2" a="1"/>
  <c r="AH14" i="2" s="1"/>
  <c r="AH162" i="2" a="1"/>
  <c r="AH162" i="2" s="1"/>
  <c r="AH62" i="2" a="1"/>
  <c r="AH62" i="2" s="1"/>
  <c r="AH151" i="2" a="1"/>
  <c r="AH151" i="2" s="1"/>
  <c r="AH83" i="2" a="1"/>
  <c r="AH83" i="2" s="1"/>
  <c r="AH185" i="2" a="1"/>
  <c r="AH185" i="2" s="1"/>
  <c r="AH199" i="2" a="1"/>
  <c r="AH199" i="2" s="1"/>
  <c r="AH90" i="2" a="1"/>
  <c r="AH90" i="2" s="1"/>
  <c r="AH38" i="2" a="1"/>
  <c r="AH38" i="2" s="1"/>
  <c r="DN132" i="2" a="1"/>
  <c r="DN132" i="2" s="1"/>
  <c r="DN45" i="2" a="1"/>
  <c r="DN45" i="2" s="1"/>
  <c r="DN30" i="2" a="1"/>
  <c r="DN30" i="2" s="1"/>
  <c r="DN55" i="2" a="1"/>
  <c r="DN55" i="2" s="1"/>
  <c r="DN110" i="2" a="1"/>
  <c r="DN110" i="2" s="1"/>
  <c r="DN16" i="2" a="1"/>
  <c r="DN16" i="2" s="1"/>
  <c r="DN43" i="2" a="1"/>
  <c r="DN43" i="2" s="1"/>
  <c r="DN31" i="2" a="1"/>
  <c r="DN31" i="2" s="1"/>
  <c r="DN168" i="2" a="1"/>
  <c r="DN168" i="2" s="1"/>
  <c r="DN164" i="2" a="1"/>
  <c r="DN164" i="2" s="1"/>
  <c r="DN46" i="2" a="1"/>
  <c r="DN46" i="2" s="1"/>
  <c r="DN187" i="2" a="1"/>
  <c r="DN187" i="2" s="1"/>
  <c r="DN190" i="2" a="1"/>
  <c r="DN190" i="2" s="1"/>
  <c r="DN70" i="2" a="1"/>
  <c r="DN70" i="2" s="1"/>
  <c r="DN80" i="2" a="1"/>
  <c r="DN80" i="2" s="1"/>
  <c r="DN192" i="2" a="1"/>
  <c r="DN192" i="2" s="1"/>
  <c r="DN188" i="2" a="1"/>
  <c r="DN188" i="2" s="1"/>
  <c r="DN176" i="2" a="1"/>
  <c r="DN176" i="2" s="1"/>
  <c r="DN167" i="2" a="1"/>
  <c r="DN167" i="2" s="1"/>
  <c r="DN66" i="2" a="1"/>
  <c r="DN66" i="2" s="1"/>
  <c r="DN133" i="2" a="1"/>
  <c r="DN133" i="2" s="1"/>
  <c r="DN162" i="2" a="1"/>
  <c r="DN162" i="2" s="1"/>
  <c r="DN86" i="2" a="1"/>
  <c r="DN86" i="2" s="1"/>
  <c r="DN65" i="2" a="1"/>
  <c r="DN65" i="2" s="1"/>
  <c r="DN49" i="2" a="1"/>
  <c r="DN49" i="2" s="1"/>
  <c r="DN123" i="2" a="1"/>
  <c r="DN123" i="2" s="1"/>
  <c r="DN177" i="2" a="1"/>
  <c r="DN177" i="2" s="1"/>
  <c r="DN114" i="2" a="1"/>
  <c r="DN114" i="2" s="1"/>
  <c r="DN115" i="2" a="1"/>
  <c r="DN115" i="2" s="1"/>
  <c r="DN135" i="2" a="1"/>
  <c r="DN135" i="2" s="1"/>
  <c r="DN63" i="2" a="1"/>
  <c r="DN63" i="2" s="1"/>
  <c r="DN103" i="2" a="1"/>
  <c r="DN103" i="2" s="1"/>
  <c r="DN50" i="2" a="1"/>
  <c r="DN50" i="2" s="1"/>
  <c r="DN38" i="2" a="1"/>
  <c r="DN38" i="2" s="1"/>
  <c r="DN150" i="2" a="1"/>
  <c r="DN150" i="2" s="1"/>
  <c r="DN29" i="2" a="1"/>
  <c r="DN29" i="2" s="1"/>
  <c r="DN153" i="2" a="1"/>
  <c r="DN153" i="2" s="1"/>
  <c r="DN170" i="2" a="1"/>
  <c r="DN170" i="2" s="1"/>
  <c r="DN129" i="2" a="1"/>
  <c r="DN129" i="2" s="1"/>
  <c r="DN113" i="2" a="1"/>
  <c r="DN113" i="2" s="1"/>
  <c r="DN25" i="2" a="1"/>
  <c r="DN25" i="2" s="1"/>
  <c r="DN41" i="2" a="1"/>
  <c r="DN41" i="2" s="1"/>
  <c r="DN152" i="2" a="1"/>
  <c r="DN152" i="2" s="1"/>
  <c r="DN155" i="2" a="1"/>
  <c r="DN155" i="2" s="1"/>
  <c r="DN56" i="2" a="1"/>
  <c r="DN56" i="2" s="1"/>
  <c r="DN137" i="2" a="1"/>
  <c r="DN137" i="2" s="1"/>
  <c r="DN184" i="2" a="1"/>
  <c r="DN184" i="2" s="1"/>
  <c r="DN124" i="2" a="1"/>
  <c r="DN124" i="2" s="1"/>
  <c r="DN186" i="2" a="1"/>
  <c r="DN186" i="2" s="1"/>
  <c r="CM203" i="2"/>
  <c r="BC84" i="2" a="1"/>
  <c r="BC84" i="2" s="1"/>
  <c r="BC18" i="2" a="1"/>
  <c r="BC18" i="2" s="1"/>
  <c r="BC47" i="2" a="1"/>
  <c r="BC47" i="2" s="1"/>
  <c r="BC38" i="2" a="1"/>
  <c r="BC38" i="2" s="1"/>
  <c r="BC32" i="2" a="1"/>
  <c r="BC32" i="2" s="1"/>
  <c r="BC71" i="2" a="1"/>
  <c r="BC71" i="2" s="1"/>
  <c r="BC164" i="2" a="1"/>
  <c r="BC164" i="2" s="1"/>
  <c r="BC117" i="2" a="1"/>
  <c r="BC117" i="2" s="1"/>
  <c r="BC68" i="2" a="1"/>
  <c r="BC68" i="2" s="1"/>
  <c r="BC151" i="2" a="1"/>
  <c r="BC151" i="2" s="1"/>
  <c r="BC192" i="2" a="1"/>
  <c r="BC192" i="2" s="1"/>
  <c r="BC181" i="2" a="1"/>
  <c r="BC181" i="2" s="1"/>
  <c r="BC146" i="2" a="1"/>
  <c r="BC146" i="2" s="1"/>
  <c r="BC55" i="2" a="1"/>
  <c r="BC55" i="2" s="1"/>
  <c r="BC65" i="2" a="1"/>
  <c r="BC65" i="2" s="1"/>
  <c r="BC15" i="2" a="1"/>
  <c r="BC15" i="2" s="1"/>
  <c r="BC83" i="2" a="1"/>
  <c r="BC83" i="2" s="1"/>
  <c r="BC185" i="2" a="1"/>
  <c r="BC185" i="2" s="1"/>
  <c r="BC130" i="2" a="1"/>
  <c r="BC130" i="2" s="1"/>
  <c r="BC114" i="2" a="1"/>
  <c r="BC114" i="2" s="1"/>
  <c r="BC196" i="2" a="1"/>
  <c r="BC196" i="2" s="1"/>
  <c r="BC143" i="2" a="1"/>
  <c r="BC143" i="2" s="1"/>
  <c r="BC126" i="2" a="1"/>
  <c r="BC126" i="2" s="1"/>
  <c r="BC58" i="2" a="1"/>
  <c r="BC58" i="2" s="1"/>
  <c r="BC7" i="2" a="1"/>
  <c r="BC7" i="2" s="1"/>
  <c r="BD7" i="2" s="1"/>
  <c r="BC31" i="2" a="1"/>
  <c r="BC31" i="2" s="1"/>
  <c r="BC82" i="2" a="1"/>
  <c r="BC82" i="2" s="1"/>
  <c r="BC34" i="2" a="1"/>
  <c r="BC34" i="2" s="1"/>
  <c r="AH136" i="2" a="1"/>
  <c r="AH136" i="2" s="1"/>
  <c r="AH143" i="2" a="1"/>
  <c r="AH143" i="2" s="1"/>
  <c r="BQ203" i="2"/>
  <c r="DH203" i="2"/>
  <c r="EC203" i="2"/>
  <c r="EB203" i="2"/>
  <c r="EA203" i="2"/>
  <c r="BP203" i="2"/>
  <c r="DF203" i="2"/>
  <c r="DG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22" i="2"/>
  <c r="BI101" i="2"/>
  <c r="BI80" i="2"/>
  <c r="BI8" i="2"/>
  <c r="BI123" i="2"/>
  <c r="BI169" i="2"/>
  <c r="BI46" i="2"/>
  <c r="BI179" i="2"/>
  <c r="BI130" i="2"/>
  <c r="BI12" i="2"/>
  <c r="BI83" i="2"/>
  <c r="BI99" i="2"/>
  <c r="BI192" i="2"/>
  <c r="BI3" i="2"/>
  <c r="C8" i="4" s="1"/>
  <c r="E8" i="4" s="1"/>
  <c r="F8" i="4" s="1"/>
  <c r="G8" i="4" s="1"/>
  <c r="L8" i="4" s="1"/>
  <c r="BI15" i="2"/>
  <c r="BI127" i="2"/>
  <c r="BI69" i="2"/>
  <c r="BI105" i="2"/>
  <c r="BI183" i="2"/>
  <c r="BI174" i="2"/>
  <c r="BI4" i="2"/>
  <c r="BI65" i="2"/>
  <c r="BI149" i="2"/>
  <c r="BI41" i="2"/>
  <c r="BI91" i="2"/>
  <c r="BI116" i="2"/>
  <c r="BI32" i="2"/>
  <c r="BI97" i="2"/>
  <c r="BI203" i="2"/>
  <c r="BI112" i="2"/>
  <c r="BI175" i="2"/>
  <c r="BI49" i="2"/>
  <c r="BI193" i="2"/>
  <c r="BI25" i="2"/>
  <c r="BI42" i="2"/>
  <c r="BI100" i="2"/>
  <c r="BI109" i="2"/>
  <c r="BI94" i="2"/>
  <c r="BI139" i="2"/>
  <c r="BI117" i="2"/>
  <c r="BI61" i="2"/>
  <c r="BI84" i="2"/>
  <c r="BI119" i="2"/>
  <c r="BI74" i="2"/>
  <c r="BI126" i="2"/>
  <c r="BI150" i="2"/>
  <c r="BI111" i="2"/>
  <c r="BI147" i="2"/>
  <c r="BI7" i="2"/>
  <c r="BI200" i="2"/>
  <c r="BI36" i="2"/>
  <c r="BI11" i="2"/>
  <c r="BI48" i="2"/>
  <c r="BI159" i="2"/>
  <c r="BI129" i="2"/>
  <c r="BI31" i="2"/>
  <c r="BI90" i="2"/>
  <c r="BI178" i="2"/>
  <c r="BI66" i="2"/>
  <c r="BI181" i="2"/>
  <c r="BI113" i="2"/>
  <c r="BI26" i="2"/>
  <c r="BI133" i="2"/>
  <c r="BI93" i="2"/>
  <c r="BI189" i="2"/>
  <c r="BI148" i="2"/>
  <c r="BI52" i="2"/>
  <c r="BI168" i="2"/>
  <c r="BI146" i="2"/>
  <c r="BI64" i="2"/>
  <c r="BI6" i="2"/>
  <c r="BI88" i="2"/>
  <c r="BI128" i="2"/>
  <c r="BI43" i="2"/>
  <c r="BI110" i="2"/>
  <c r="BI45" i="2"/>
  <c r="BI106" i="2"/>
  <c r="BI87" i="2"/>
  <c r="BI73" i="2"/>
  <c r="BI141" i="2"/>
  <c r="BI71" i="2"/>
  <c r="BI132" i="2"/>
  <c r="BI196" i="2"/>
  <c r="BI38" i="2"/>
  <c r="BI24" i="2"/>
  <c r="BI78" i="2"/>
  <c r="BI68" i="2"/>
  <c r="BI62" i="2"/>
  <c r="BI56" i="2"/>
  <c r="BI51" i="2"/>
  <c r="BI108" i="2"/>
  <c r="BI53" i="2"/>
  <c r="BI166" i="2"/>
  <c r="BI23" i="2"/>
  <c r="BI165" i="2"/>
  <c r="BI77" i="2"/>
  <c r="BI34" i="2"/>
  <c r="BI164" i="2"/>
  <c r="BI142" i="2"/>
  <c r="BI55" i="2"/>
  <c r="BI160" i="2"/>
  <c r="BI89" i="2"/>
  <c r="BI157" i="2"/>
  <c r="BI154" i="2"/>
  <c r="BI182" i="2"/>
  <c r="BI21" i="2"/>
  <c r="BI75" i="2"/>
  <c r="BI70" i="2"/>
  <c r="BI162" i="2"/>
  <c r="BI134" i="2"/>
  <c r="BI138" i="2"/>
  <c r="BI104" i="2"/>
  <c r="BI115" i="2"/>
  <c r="BI82" i="2"/>
  <c r="BI114" i="2"/>
  <c r="BI161" i="2"/>
  <c r="BI199" i="2"/>
  <c r="BI103" i="2"/>
  <c r="BI195" i="2"/>
  <c r="BI171" i="2"/>
  <c r="BI107" i="2"/>
  <c r="BI187" i="2"/>
  <c r="BI177" i="2"/>
  <c r="BI153" i="2"/>
  <c r="BI17" i="2"/>
  <c r="BI184" i="2"/>
  <c r="BI194" i="2"/>
  <c r="BI63" i="2"/>
  <c r="BI28" i="2"/>
  <c r="BI140" i="2"/>
  <c r="BI131" i="2"/>
  <c r="BI143" i="2"/>
  <c r="BI121" i="2"/>
  <c r="BI167" i="2"/>
  <c r="BI158" i="2"/>
  <c r="BI188" i="2"/>
  <c r="BI33" i="2"/>
  <c r="BI60" i="2"/>
  <c r="BI5" i="2"/>
  <c r="BI122" i="2"/>
  <c r="BI16" i="2"/>
  <c r="BI152" i="2"/>
  <c r="BI81" i="2"/>
  <c r="BI186" i="2"/>
  <c r="BI172" i="2"/>
  <c r="BI201" i="2"/>
  <c r="BI197" i="2"/>
  <c r="BI72" i="2"/>
  <c r="BI144" i="2"/>
  <c r="BI57" i="2"/>
  <c r="BI27" i="2"/>
  <c r="BI18" i="2"/>
  <c r="BI155" i="2"/>
  <c r="BI9" i="2"/>
  <c r="BI180" i="2"/>
  <c r="BI185" i="2"/>
  <c r="BI44" i="2"/>
  <c r="BI40" i="2"/>
  <c r="BI163" i="2"/>
  <c r="BI14" i="2"/>
  <c r="BI19" i="2"/>
  <c r="BI92" i="2"/>
  <c r="BI137" i="2"/>
  <c r="BI124" i="2"/>
  <c r="BI136" i="2"/>
  <c r="BI151" i="2"/>
  <c r="BI125" i="2"/>
  <c r="BI29" i="2"/>
  <c r="BI176" i="2"/>
  <c r="BI37" i="2"/>
  <c r="BI10" i="2"/>
  <c r="BI95" i="2"/>
  <c r="BI30" i="2"/>
  <c r="BI13" i="2"/>
  <c r="BI58" i="2"/>
  <c r="BI156" i="2"/>
  <c r="BI79" i="2"/>
  <c r="BI59" i="2"/>
  <c r="BI170" i="2"/>
  <c r="BI98" i="2"/>
  <c r="BI202" i="2"/>
  <c r="BI135" i="2"/>
  <c r="BI35" i="2"/>
  <c r="BI54" i="2"/>
  <c r="BI102" i="2"/>
  <c r="BI50" i="2"/>
  <c r="BI118" i="2"/>
  <c r="BI190" i="2"/>
  <c r="BI198" i="2"/>
  <c r="BI96" i="2"/>
  <c r="BI86" i="2"/>
  <c r="BI85" i="2"/>
  <c r="BI191" i="2"/>
  <c r="BI67" i="2"/>
  <c r="BI173" i="2"/>
  <c r="BI76" i="2"/>
  <c r="BI145" i="2"/>
  <c r="BI39" i="2"/>
  <c r="BI120" i="2"/>
  <c r="BI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<sst xmlns="http://schemas.openxmlformats.org/spreadsheetml/2006/main" count="1005" uniqueCount="315">
  <si>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</si>
  <si>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</si>
  <si>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</si>
  <si>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</si>
  <si>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</si>
  <si>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</si>
  <si>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</si>
  <si>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</si>
  <si>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</si>
  <si>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</si>
  <si>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</si>
  <si>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</si>
  <si>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</si>
  <si>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</si>
  <si>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</si>
  <si>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</si>
  <si>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</si>
  <si>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</si>
  <si>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</si>
  <si>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</si>
  <si>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</si>
  <si>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</si>
  <si>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</si>
  <si>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</si>
  <si>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</si>
  <si>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</si>
  <si>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</si>
  <si>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</si>
  <si>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</si>
  <si>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</si>
  <si>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</si>
  <si>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</si>
  <si>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</si>
  <si>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</si>
  <si>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</si>
  <si>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</si>
  <si>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</si>
  <si>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</si>
  <si>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</si>
  <si>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</si>
  <si>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</si>
  <si>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</si>
  <si>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</si>
  <si>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</si>
  <si>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</si>
  <si>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</si>
  <si>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</si>
  <si>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</si>
  <si>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</si>
  <si>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</si>
  <si>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</si>
  <si>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</si>
  <si>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</si>
  <si>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</si>
  <si>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</si>
  <si>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</si>
  <si>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</si>
  <si>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</si>
  <si>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</si>
  <si>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</si>
  <si>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</si>
  <si>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</si>
  <si>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</si>
  <si>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</si>
  <si>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</si>
  <si>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</si>
  <si>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</si>
  <si>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</si>
  <si>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</si>
  <si>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</si>
  <si>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</si>
  <si>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</si>
  <si>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</si>
  <si>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</si>
  <si>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</si>
  <si>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</si>
  <si>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</si>
  <si>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</si>
  <si>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</si>
  <si>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</si>
  <si>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</si>
  <si>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</si>
  <si>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</si>
  <si>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</si>
  <si>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</si>
  <si>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</si>
  <si>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</si>
  <si>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</si>
  <si>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</si>
  <si>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</si>
  <si>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</si>
  <si>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</si>
  <si>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</si>
  <si>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</si>
  <si>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</si>
  <si>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</si>
  <si>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</si>
  <si>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</si>
  <si>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</si>
  <si>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</si>
  <si>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</si>
  <si>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</si>
  <si>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</si>
  <si>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</si>
  <si>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</si>
  <si>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</si>
  <si>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</si>
  <si>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</si>
  <si>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</si>
  <si>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</si>
  <si>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</si>
  <si>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</si>
  <si>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</si>
  <si>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</si>
  <si>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</si>
  <si>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</si>
  <si>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</si>
  <si>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</si>
  <si>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</si>
  <si>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</si>
  <si>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</si>
  <si>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</si>
  <si>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</si>
  <si>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</si>
  <si>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</si>
  <si>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</si>
  <si>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</si>
  <si>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</si>
  <si>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</si>
  <si>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</si>
  <si>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</si>
  <si>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</si>
  <si>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</si>
  <si>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</si>
  <si>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</si>
  <si>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</si>
  <si>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</si>
  <si>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</si>
  <si>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</si>
  <si>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</si>
  <si>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</si>
  <si>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</si>
  <si>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</si>
  <si>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</si>
  <si>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</si>
  <si>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</si>
  <si>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</si>
  <si>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</si>
  <si>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</si>
  <si>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</si>
  <si>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</si>
  <si>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</si>
  <si>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</si>
  <si>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</si>
  <si>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</si>
  <si>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</si>
  <si>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</si>
  <si>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</si>
  <si>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</si>
  <si>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</si>
  <si>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</si>
  <si>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</si>
  <si>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</si>
  <si>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</si>
  <si>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</si>
  <si>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</si>
  <si>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</si>
  <si>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</si>
  <si>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</si>
  <si>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</si>
  <si>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</si>
  <si>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</si>
  <si>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</si>
  <si>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</si>
  <si>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</si>
  <si>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</si>
  <si>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</si>
  <si>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</si>
  <si>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</si>
  <si>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</si>
  <si>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</si>
  <si>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</si>
  <si>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</si>
  <si>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</si>
  <si>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</si>
  <si>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</si>
  <si>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</si>
  <si>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</si>
  <si>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</si>
  <si>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</si>
  <si>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</si>
  <si>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</si>
  <si>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</si>
  <si>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</si>
  <si>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</si>
  <si>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</si>
  <si>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</si>
  <si>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</si>
  <si>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</si>
  <si>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</si>
  <si>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</si>
  <si>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</si>
  <si>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</si>
  <si>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</si>
  <si>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</si>
  <si>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</si>
  <si>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</si>
  <si>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</si>
  <si>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</si>
  <si>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</si>
  <si>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</si>
  <si>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</si>
  <si>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</si>
  <si>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</si>
  <si>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</si>
  <si>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</si>
  <si>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</si>
  <si>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</si>
  <si>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</si>
  <si>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</si>
  <si>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</si>
  <si>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</si>
  <si>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</si>
  <si>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</si>
  <si>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</si>
  <si>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</si>
  <si>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</si>
  <si>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</si>
  <si>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</si>
  <si>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</si>
  <si>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</si>
  <si>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</si>
  <si>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</si>
  <si>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</si>
  <si>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</si>
  <si>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</si>
  <si>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</si>
  <si>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</si>
  <si>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</si>
  <si>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</si>
  <si>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</si>
  <si>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</si>
  <si>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</si>
  <si>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</si>
  <si>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</si>
  <si>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</si>
  <si>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</si>
  <si>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</si>
  <si>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</si>
  <si>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</si>
  <si>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</si>
  <si>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</si>
  <si>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</si>
  <si>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</si>
  <si>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</si>
  <si>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</si>
  <si>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</si>
  <si>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</si>
  <si>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</si>
  <si>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</si>
  <si>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</si>
  <si>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</si>
  <si>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</si>
  <si>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</si>
  <si>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</si>
  <si>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</si>
  <si>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</si>
  <si>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</si>
  <si>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</si>
  <si>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</si>
  <si>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</si>
  <si>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</si>
  <si>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</si>
  <si>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</si>
  <si>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</si>
  <si>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</si>
  <si>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</si>
  <si>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</si>
  <si>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</si>
  <si>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</si>
  <si>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</si>
  <si>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</si>
  <si>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</si>
  <si>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</si>
  <si>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</si>
  <si>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</si>
  <si>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</si>
  <si>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</si>
  <si>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</si>
  <si>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</si>
  <si>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</si>
  <si>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</si>
  <si>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</si>
  <si>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</si>
  <si>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</si>
  <si>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</si>
  <si>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</si>
  <si>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</si>
  <si>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</si>
  <si>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</si>
  <si>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</si>
  <si>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</si>
  <si>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</si>
  <si>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</si>
  <si>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</si>
  <si>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</si>
  <si>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</si>
  <si>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</si>
  <si>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</si>
  <si>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</si>
  <si>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</si>
  <si>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</si>
  <si>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</si>
  <si>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</si>
  <si>
    <t>yc protection gibier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</si>
</sst>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1.8769688757164482</c:v>
                </c:pt>
                <c:pt idx="2">
                  <c:v>2.4240033804873873</c:v>
                </c:pt>
                <c:pt idx="3">
                  <c:v>3.1311166024383943</c:v>
                </c:pt>
                <c:pt idx="4">
                  <c:v>4.045331344534973</c:v>
                </c:pt>
                <c:pt idx="5">
                  <c:v>5.2275325010187794</c:v>
                </c:pt>
                <c:pt idx="6">
                  <c:v>6.7565670283555059</c:v>
                </c:pt>
                <c:pt idx="7">
                  <c:v>8.7345602440988479</c:v>
                </c:pt>
                <c:pt idx="8">
                  <c:v>11.29381030172854</c:v>
                </c:pt>
                <c:pt idx="9">
                  <c:v>14.605730608726327</c:v>
                </c:pt>
                <c:pt idx="10">
                  <c:v>18.892450134346024</c:v>
                </c:pt>
                <c:pt idx="11">
                  <c:v>24.441863655987433</c:v>
                </c:pt>
                <c:pt idx="12">
                  <c:v>31.62716058200321</c:v>
                </c:pt>
                <c:pt idx="13">
                  <c:v>40.932168398987308</c:v>
                </c:pt>
                <c:pt idx="14">
                  <c:v>52.984246263699525</c:v>
                </c:pt>
                <c:pt idx="15">
                  <c:v>68.596983415736148</c:v>
                </c:pt>
                <c:pt idx="16">
                  <c:v>88.825631850331547</c:v>
                </c:pt>
                <c:pt idx="17">
                  <c:v>115.03907978489126</c:v>
                </c:pt>
                <c:pt idx="18">
                  <c:v>149.01331265352835</c:v>
                </c:pt>
                <c:pt idx="19">
                  <c:v>193.05279073041547</c:v>
                </c:pt>
                <c:pt idx="20">
                  <c:v>250.14809986670457</c:v>
                </c:pt>
                <c:pt idx="21">
                  <c:v>246.54106271806896</c:v>
                </c:pt>
                <c:pt idx="22">
                  <c:v>272.96604283793073</c:v>
                </c:pt>
                <c:pt idx="23">
                  <c:v>299.33351098507438</c:v>
                </c:pt>
                <c:pt idx="24">
                  <c:v>325.64924236885344</c:v>
                </c:pt>
                <c:pt idx="25">
                  <c:v>351.91800244848037</c:v>
                </c:pt>
                <c:pt idx="26">
                  <c:v>331.8623012832133</c:v>
                </c:pt>
                <c:pt idx="27">
                  <c:v>358.3590805705947</c:v>
                </c:pt>
                <c:pt idx="28">
                  <c:v>384.81299880518822</c:v>
                </c:pt>
                <c:pt idx="29">
                  <c:v>411.22741385826993</c:v>
                </c:pt>
                <c:pt idx="30">
                  <c:v>437.60521728369707</c:v>
                </c:pt>
                <c:pt idx="31">
                  <c:v>408.61144754602924</c:v>
                </c:pt>
                <c:pt idx="32">
                  <c:v>434.28021495599182</c:v>
                </c:pt>
                <c:pt idx="33">
                  <c:v>459.91642201435394</c:v>
                </c:pt>
                <c:pt idx="34">
                  <c:v>485.52213693897232</c:v>
                </c:pt>
                <c:pt idx="35">
                  <c:v>511.09919220055707</c:v>
                </c:pt>
                <c:pt idx="36">
                  <c:v>476.75312396624321</c:v>
                </c:pt>
                <c:pt idx="37">
                  <c:v>501.62944299248107</c:v>
                </c:pt>
                <c:pt idx="38">
                  <c:v>526.47966574618124</c:v>
                </c:pt>
                <c:pt idx="39">
                  <c:v>551.30519586187165</c:v>
                </c:pt>
                <c:pt idx="40">
                  <c:v>576.10730038492648</c:v>
                </c:pt>
                <c:pt idx="41">
                  <c:v>540.90503809854795</c:v>
                </c:pt>
                <c:pt idx="42">
                  <c:v>564.7720262698956</c:v>
                </c:pt>
                <c:pt idx="43">
                  <c:v>588.61793005591858</c:v>
                </c:pt>
                <c:pt idx="44">
                  <c:v>612.44372282033794</c:v>
                </c:pt>
                <c:pt idx="45">
                  <c:v>636.25029610351078</c:v>
                </c:pt>
                <c:pt idx="46">
                  <c:v>597.34847621013398</c:v>
                </c:pt>
                <c:pt idx="47">
                  <c:v>619.75269577860911</c:v>
                </c:pt>
                <c:pt idx="48">
                  <c:v>642.1401410729178</c:v>
                </c:pt>
                <c:pt idx="49">
                  <c:v>664.5114785564914</c:v>
                </c:pt>
                <c:pt idx="50">
                  <c:v>686.86732621081694</c:v>
                </c:pt>
                <c:pt idx="51">
                  <c:v>650.85506834469618</c:v>
                </c:pt>
                <c:pt idx="52">
                  <c:v>672.51426783672036</c:v>
                </c:pt>
                <c:pt idx="53">
                  <c:v>694.15913785580926</c:v>
                </c:pt>
                <c:pt idx="54">
                  <c:v>715.79018759841631</c:v>
                </c:pt>
                <c:pt idx="55">
                  <c:v>737.40789301225288</c:v>
                </c:pt>
                <c:pt idx="56">
                  <c:v>698.15720599872532</c:v>
                </c:pt>
                <c:pt idx="57">
                  <c:v>718.8456623473636</c:v>
                </c:pt>
                <c:pt idx="58">
                  <c:v>739.52196895800637</c:v>
                </c:pt>
                <c:pt idx="59">
                  <c:v>760.18651296112273</c:v>
                </c:pt>
                <c:pt idx="60">
                  <c:v>780.8396587489575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2.0114577647912149</c:v>
                </c:pt>
                <c:pt idx="2">
                  <c:v>2.8480222902369339</c:v>
                </c:pt>
                <c:pt idx="3">
                  <c:v>4.0340445105527687</c:v>
                </c:pt>
                <c:pt idx="4">
                  <c:v>5.7161048344461731</c:v>
                </c:pt>
                <c:pt idx="5">
                  <c:v>8.1025023810271026</c:v>
                </c:pt>
                <c:pt idx="6">
                  <c:v>11.489333804921237</c:v>
                </c:pt>
                <c:pt idx="7">
                  <c:v>16.297627161035525</c:v>
                </c:pt>
                <c:pt idx="8">
                  <c:v>23.126230909837911</c:v>
                </c:pt>
                <c:pt idx="9">
                  <c:v>32.827161744343279</c:v>
                </c:pt>
                <c:pt idx="10">
                  <c:v>46.612974637385626</c:v>
                </c:pt>
                <c:pt idx="11">
                  <c:v>61.243856868362421</c:v>
                </c:pt>
                <c:pt idx="12">
                  <c:v>75.783292035823493</c:v>
                </c:pt>
                <c:pt idx="13">
                  <c:v>90.251428491268015</c:v>
                </c:pt>
                <c:pt idx="14">
                  <c:v>104.66135602287243</c:v>
                </c:pt>
                <c:pt idx="15">
                  <c:v>119.0222397663063</c:v>
                </c:pt>
                <c:pt idx="16">
                  <c:v>107.29763041380107</c:v>
                </c:pt>
                <c:pt idx="17">
                  <c:v>123.08322021031366</c:v>
                </c:pt>
                <c:pt idx="18">
                  <c:v>138.81955979162947</c:v>
                </c:pt>
                <c:pt idx="19">
                  <c:v>154.51302552936457</c:v>
                </c:pt>
                <c:pt idx="20">
                  <c:v>170.16858903875504</c:v>
                </c:pt>
                <c:pt idx="21">
                  <c:v>149.28630357695832</c:v>
                </c:pt>
                <c:pt idx="22">
                  <c:v>165.19112608158011</c:v>
                </c:pt>
                <c:pt idx="23">
                  <c:v>181.05977556558557</c:v>
                </c:pt>
                <c:pt idx="24">
                  <c:v>196.89587026062097</c:v>
                </c:pt>
                <c:pt idx="25">
                  <c:v>212.70239804910196</c:v>
                </c:pt>
                <c:pt idx="26">
                  <c:v>188.62714833403822</c:v>
                </c:pt>
                <c:pt idx="27">
                  <c:v>203.5050258813136</c:v>
                </c:pt>
                <c:pt idx="28">
                  <c:v>218.35773715529604</c:v>
                </c:pt>
                <c:pt idx="29">
                  <c:v>233.18723550005507</c:v>
                </c:pt>
                <c:pt idx="30">
                  <c:v>247.99520534543672</c:v>
                </c:pt>
                <c:pt idx="31">
                  <c:v>222.36155999015173</c:v>
                </c:pt>
                <c:pt idx="32">
                  <c:v>235.5391041233037</c:v>
                </c:pt>
                <c:pt idx="33">
                  <c:v>248.6998355233338</c:v>
                </c:pt>
                <c:pt idx="34">
                  <c:v>261.84476953422501</c:v>
                </c:pt>
                <c:pt idx="35">
                  <c:v>274.97481117699641</c:v>
                </c:pt>
                <c:pt idx="36">
                  <c:v>251.5179045878433</c:v>
                </c:pt>
                <c:pt idx="37">
                  <c:v>263.25225698326904</c:v>
                </c:pt>
                <c:pt idx="38">
                  <c:v>274.97481117699641</c:v>
                </c:pt>
                <c:pt idx="39">
                  <c:v>286.68614125741368</c:v>
                </c:pt>
                <c:pt idx="40">
                  <c:v>298.38677055421061</c:v>
                </c:pt>
                <c:pt idx="41">
                  <c:v>275.44347624354697</c:v>
                </c:pt>
                <c:pt idx="42">
                  <c:v>285.2813565306941</c:v>
                </c:pt>
                <c:pt idx="43">
                  <c:v>295.11164454834136</c:v>
                </c:pt>
                <c:pt idx="44">
                  <c:v>304.93462902643461</c:v>
                </c:pt>
                <c:pt idx="45">
                  <c:v>314.75057856155416</c:v>
                </c:pt>
                <c:pt idx="46">
                  <c:v>295.34560890488143</c:v>
                </c:pt>
                <c:pt idx="47">
                  <c:v>303.99941387106259</c:v>
                </c:pt>
                <c:pt idx="48">
                  <c:v>312.64774022045958</c:v>
                </c:pt>
                <c:pt idx="49">
                  <c:v>321.29076099491914</c:v>
                </c:pt>
                <c:pt idx="50">
                  <c:v>329.92863915898073</c:v>
                </c:pt>
                <c:pt idx="51">
                  <c:v>312.64774022045953</c:v>
                </c:pt>
                <c:pt idx="52">
                  <c:v>319.88954358321945</c:v>
                </c:pt>
                <c:pt idx="53">
                  <c:v>327.12771904371078</c:v>
                </c:pt>
                <c:pt idx="54">
                  <c:v>334.36235827747288</c:v>
                </c:pt>
                <c:pt idx="55">
                  <c:v>341.59354866525314</c:v>
                </c:pt>
                <c:pt idx="56">
                  <c:v>326.66084765285405</c:v>
                </c:pt>
                <c:pt idx="57">
                  <c:v>332.72903457884433</c:v>
                </c:pt>
                <c:pt idx="58">
                  <c:v>338.7947819139315</c:v>
                </c:pt>
                <c:pt idx="59">
                  <c:v>344.85813954882269</c:v>
                </c:pt>
                <c:pt idx="60">
                  <c:v>350.91915547472735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62.257363600537282</c:v>
                </c:pt>
                <c:pt idx="17">
                  <c:v>73.206478557302702</c:v>
                </c:pt>
                <c:pt idx="18">
                  <c:v>84.113672803399311</c:v>
                </c:pt>
                <c:pt idx="19">
                  <c:v>94.985164468724633</c:v>
                </c:pt>
                <c:pt idx="20">
                  <c:v>105.82562490242276</c:v>
                </c:pt>
                <c:pt idx="21">
                  <c:v>99.184934559084468</c:v>
                </c:pt>
                <c:pt idx="22">
                  <c:v>111.75856147788176</c:v>
                </c:pt>
                <c:pt idx="23">
                  <c:v>124.29746324975939</c:v>
                </c:pt>
                <c:pt idx="24">
                  <c:v>136.80564128235048</c:v>
                </c:pt>
                <c:pt idx="25">
                  <c:v>149.28630357695837</c:v>
                </c:pt>
                <c:pt idx="26">
                  <c:v>138.19368789401301</c:v>
                </c:pt>
                <c:pt idx="27">
                  <c:v>151.36393028636337</c:v>
                </c:pt>
                <c:pt idx="28">
                  <c:v>164.50687370550844</c:v>
                </c:pt>
                <c:pt idx="29">
                  <c:v>177.62500801869498</c:v>
                </c:pt>
                <c:pt idx="30">
                  <c:v>190.7204247411147</c:v>
                </c:pt>
                <c:pt idx="31">
                  <c:v>176.59021698963275</c:v>
                </c:pt>
                <c:pt idx="32">
                  <c:v>190.03172868618256</c:v>
                </c:pt>
                <c:pt idx="33">
                  <c:v>203.45109394851394</c:v>
                </c:pt>
                <c:pt idx="34">
                  <c:v>216.84997998272073</c:v>
                </c:pt>
                <c:pt idx="35">
                  <c:v>230.2298309539448</c:v>
                </c:pt>
                <c:pt idx="36">
                  <c:v>214.44649258949718</c:v>
                </c:pt>
                <c:pt idx="37">
                  <c:v>227.82966235272249</c:v>
                </c:pt>
                <c:pt idx="38">
                  <c:v>241.19484478237641</c:v>
                </c:pt>
                <c:pt idx="39">
                  <c:v>254.54317734889003</c:v>
                </c:pt>
                <c:pt idx="40">
                  <c:v>267.87566841306415</c:v>
                </c:pt>
                <c:pt idx="41">
                  <c:v>250.09554071060856</c:v>
                </c:pt>
                <c:pt idx="42">
                  <c:v>263.0914098895841</c:v>
                </c:pt>
                <c:pt idx="43">
                  <c:v>276.07279829764781</c:v>
                </c:pt>
                <c:pt idx="44">
                  <c:v>289.04048297775427</c:v>
                </c:pt>
                <c:pt idx="45">
                  <c:v>301.99516552771883</c:v>
                </c:pt>
                <c:pt idx="46">
                  <c:v>283.58202888251463</c:v>
                </c:pt>
                <c:pt idx="47">
                  <c:v>295.86031593712704</c:v>
                </c:pt>
                <c:pt idx="48">
                  <c:v>308.12724136993614</c:v>
                </c:pt>
                <c:pt idx="49">
                  <c:v>320.38332137999606</c:v>
                </c:pt>
                <c:pt idx="50">
                  <c:v>332.62902943446414</c:v>
                </c:pt>
                <c:pt idx="51">
                  <c:v>313.23523131112239</c:v>
                </c:pt>
                <c:pt idx="52">
                  <c:v>324.46635425360768</c:v>
                </c:pt>
                <c:pt idx="53">
                  <c:v>335.68888765947378</c:v>
                </c:pt>
                <c:pt idx="54">
                  <c:v>346.90315927207763</c:v>
                </c:pt>
                <c:pt idx="55">
                  <c:v>358.10947390735413</c:v>
                </c:pt>
                <c:pt idx="56">
                  <c:v>340.10759988620435</c:v>
                </c:pt>
                <c:pt idx="57">
                  <c:v>350.97908804987378</c:v>
                </c:pt>
                <c:pt idx="58">
                  <c:v>361.84319357349341</c:v>
                </c:pt>
                <c:pt idx="59">
                  <c:v>372.70016944091395</c:v>
                </c:pt>
                <c:pt idx="60">
                  <c:v>383.55025268886476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55" zoomScaleNormal="55" workbookViewId="0">
      <selection activeCell="E29" sqref="E2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18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0.4</v>
      </c>
      <c r="D9" s="36">
        <f t="shared" ref="D9:D18" si="0">C9*$C$5</f>
        <v>7.2</v>
      </c>
      <c r="E9" s="37">
        <v>60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81</v>
      </c>
      <c r="C10" s="35">
        <v>0.4</v>
      </c>
      <c r="D10" s="36">
        <f t="shared" si="0"/>
        <v>7.2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23</v>
      </c>
      <c r="C11" s="35">
        <v>0.2</v>
      </c>
      <c r="D11" s="36">
        <f t="shared" si="0"/>
        <v>3.6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1</v>
      </c>
      <c r="D19" s="41">
        <f>SUM(D9:D18)</f>
        <v>18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63">
        <v>20</v>
      </c>
      <c r="B36" s="63">
        <v>203</v>
      </c>
      <c r="C36" s="63">
        <v>1</v>
      </c>
      <c r="D36" s="63">
        <v>25</v>
      </c>
      <c r="E36" s="54">
        <v>0</v>
      </c>
      <c r="F36" s="54">
        <v>0.56000000000000005</v>
      </c>
      <c r="G36" s="54">
        <v>0.44</v>
      </c>
      <c r="H36" s="94"/>
      <c r="I36" s="52">
        <f>IFERROR(B36/A36,"")</f>
        <v>10.15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63">
        <v>25</v>
      </c>
      <c r="B37" s="63">
        <v>288</v>
      </c>
      <c r="C37" s="63">
        <v>2</v>
      </c>
      <c r="D37" s="63">
        <v>39</v>
      </c>
      <c r="E37" s="54">
        <v>0</v>
      </c>
      <c r="F37" s="54">
        <v>0.56000000000000005</v>
      </c>
      <c r="G37" s="54">
        <v>0.44</v>
      </c>
      <c r="H37" s="94"/>
      <c r="I37" s="56">
        <f t="shared" ref="I37:I55" si="1">IF(A37&lt;&gt;0,(B37-(B36-D36))/(A37-A36),"")</f>
        <v>22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63">
        <v>30</v>
      </c>
      <c r="B38" s="63">
        <v>360</v>
      </c>
      <c r="C38" s="63">
        <v>3</v>
      </c>
      <c r="D38" s="63">
        <v>46</v>
      </c>
      <c r="E38" s="54">
        <v>0</v>
      </c>
      <c r="F38" s="54">
        <v>0.56000000000000005</v>
      </c>
      <c r="G38" s="54">
        <v>0.44</v>
      </c>
      <c r="H38" s="94"/>
      <c r="I38" s="56">
        <f t="shared" si="1"/>
        <v>22.2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63">
        <v>35</v>
      </c>
      <c r="B39" s="63">
        <v>422</v>
      </c>
      <c r="C39" s="63">
        <v>4</v>
      </c>
      <c r="D39" s="63">
        <v>50</v>
      </c>
      <c r="E39" s="54">
        <v>0.2</v>
      </c>
      <c r="F39" s="54">
        <v>0.44800000000000006</v>
      </c>
      <c r="G39" s="54">
        <v>0.35200000000000004</v>
      </c>
      <c r="H39" s="94"/>
      <c r="I39" s="52">
        <f t="shared" si="1"/>
        <v>21.6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63">
        <v>40</v>
      </c>
      <c r="B40" s="63">
        <v>477</v>
      </c>
      <c r="C40" s="63">
        <v>5</v>
      </c>
      <c r="D40" s="63">
        <v>50</v>
      </c>
      <c r="E40" s="54">
        <v>0.2</v>
      </c>
      <c r="F40" s="54">
        <v>0.44800000000000006</v>
      </c>
      <c r="G40" s="54">
        <v>0.35200000000000004</v>
      </c>
      <c r="H40" s="94"/>
      <c r="I40" s="52">
        <f t="shared" si="1"/>
        <v>21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63">
        <v>45</v>
      </c>
      <c r="B41" s="63">
        <v>528</v>
      </c>
      <c r="C41" s="63">
        <v>6</v>
      </c>
      <c r="D41" s="63">
        <v>52</v>
      </c>
      <c r="E41" s="54">
        <v>0.4</v>
      </c>
      <c r="F41" s="54">
        <v>0.33600000000000002</v>
      </c>
      <c r="G41" s="54">
        <v>0.26400000000000001</v>
      </c>
      <c r="H41" s="94"/>
      <c r="I41" s="56">
        <f t="shared" si="1"/>
        <v>20.2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3">
        <v>50</v>
      </c>
      <c r="B42" s="63">
        <v>571</v>
      </c>
      <c r="C42" s="63">
        <v>7</v>
      </c>
      <c r="D42" s="63">
        <v>49</v>
      </c>
      <c r="E42" s="54">
        <v>0.4</v>
      </c>
      <c r="F42" s="54">
        <v>0.33600000000000002</v>
      </c>
      <c r="G42" s="54">
        <v>0.26400000000000001</v>
      </c>
      <c r="H42" s="94"/>
      <c r="I42" s="56">
        <f t="shared" si="1"/>
        <v>19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55</v>
      </c>
      <c r="B43" s="63">
        <v>614</v>
      </c>
      <c r="C43" s="63">
        <v>8</v>
      </c>
      <c r="D43" s="63">
        <v>51</v>
      </c>
      <c r="E43" s="54">
        <v>0.6</v>
      </c>
      <c r="F43" s="54">
        <v>0.22400000000000003</v>
      </c>
      <c r="G43" s="54">
        <v>0.17600000000000002</v>
      </c>
      <c r="H43" s="94"/>
      <c r="I43" s="52">
        <f t="shared" si="1"/>
        <v>18.399999999999999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63">
        <v>60</v>
      </c>
      <c r="B44" s="63">
        <v>651</v>
      </c>
      <c r="C44" s="63">
        <v>9</v>
      </c>
      <c r="D44" s="63">
        <v>651</v>
      </c>
      <c r="E44" s="54">
        <v>0.8</v>
      </c>
      <c r="F44" s="54">
        <v>0.11</v>
      </c>
      <c r="G44" s="54">
        <v>0.09</v>
      </c>
      <c r="H44" s="94"/>
      <c r="I44" s="52">
        <f t="shared" si="1"/>
        <v>17.600000000000001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63"/>
      <c r="B45" s="63"/>
      <c r="C45" s="63"/>
      <c r="D45" s="63"/>
      <c r="E45" s="54"/>
      <c r="F45" s="54"/>
      <c r="G45" s="54"/>
      <c r="H45" s="9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63"/>
      <c r="B46" s="63"/>
      <c r="C46" s="63"/>
      <c r="D46" s="63"/>
      <c r="E46" s="94"/>
      <c r="F46" s="94"/>
      <c r="G46" s="94"/>
      <c r="H46" s="9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63"/>
      <c r="B47" s="63"/>
      <c r="C47" s="63"/>
      <c r="D47" s="63"/>
      <c r="E47" s="94"/>
      <c r="F47" s="94"/>
      <c r="G47" s="94"/>
      <c r="H47" s="9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63"/>
      <c r="B48" s="63"/>
      <c r="C48" s="63"/>
      <c r="D48" s="63"/>
      <c r="E48" s="94"/>
      <c r="F48" s="94"/>
      <c r="G48" s="94"/>
      <c r="H48" s="9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63"/>
      <c r="B49" s="63"/>
      <c r="C49" s="63"/>
      <c r="D49" s="63"/>
      <c r="E49" s="94"/>
      <c r="F49" s="94"/>
      <c r="G49" s="94"/>
      <c r="H49" s="9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63"/>
      <c r="B50" s="53"/>
      <c r="C50" s="63"/>
      <c r="D50" s="53"/>
      <c r="E50" s="68"/>
      <c r="F50" s="68"/>
      <c r="G50" s="68"/>
      <c r="H50" s="68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63"/>
      <c r="B51" s="53"/>
      <c r="C51" s="63"/>
      <c r="D51" s="53"/>
      <c r="E51" s="68"/>
      <c r="F51" s="68"/>
      <c r="G51" s="68"/>
      <c r="H51" s="68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63"/>
      <c r="B52" s="53"/>
      <c r="C52" s="63"/>
      <c r="D52" s="53"/>
      <c r="E52" s="57"/>
      <c r="F52" s="57"/>
      <c r="G52" s="57"/>
      <c r="H52" s="57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63"/>
      <c r="B53" s="53"/>
      <c r="C53" s="63"/>
      <c r="D53" s="53"/>
      <c r="E53" s="57"/>
      <c r="F53" s="57"/>
      <c r="G53" s="57"/>
      <c r="H53" s="57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63"/>
      <c r="B54" s="53"/>
      <c r="C54" s="63"/>
      <c r="D54" s="53"/>
      <c r="E54" s="57"/>
      <c r="F54" s="57"/>
      <c r="G54" s="57"/>
      <c r="H54" s="57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63"/>
      <c r="B55" s="53"/>
      <c r="C55" s="63"/>
      <c r="D55" s="53"/>
      <c r="E55" s="57"/>
      <c r="F55" s="57"/>
      <c r="G55" s="57"/>
      <c r="H55" s="57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Mélèze hybride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63">
        <v>10</v>
      </c>
      <c r="B62" s="63">
        <v>37</v>
      </c>
      <c r="C62" s="63">
        <v>1</v>
      </c>
      <c r="D62" s="63">
        <v>0</v>
      </c>
      <c r="E62" s="54">
        <v>0</v>
      </c>
      <c r="F62" s="54">
        <v>0.56000000000000005</v>
      </c>
      <c r="G62" s="54">
        <v>0.44</v>
      </c>
      <c r="H62" s="94"/>
      <c r="I62" s="56">
        <f>IFERROR(B62/A62,"")</f>
        <v>3.7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63">
        <v>15</v>
      </c>
      <c r="B63" s="63">
        <v>97</v>
      </c>
      <c r="C63" s="63">
        <v>2</v>
      </c>
      <c r="D63" s="63">
        <v>23</v>
      </c>
      <c r="E63" s="54">
        <v>0</v>
      </c>
      <c r="F63" s="54">
        <v>0.56000000000000005</v>
      </c>
      <c r="G63" s="54">
        <v>0.44</v>
      </c>
      <c r="H63" s="94"/>
      <c r="I63" s="52">
        <f>IF(A63&lt;&gt;0,(B63-(B62-D62))/(A63-A62),"")</f>
        <v>12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63">
        <v>20</v>
      </c>
      <c r="B64" s="63">
        <v>140</v>
      </c>
      <c r="C64" s="63">
        <v>3</v>
      </c>
      <c r="D64" s="63">
        <v>31</v>
      </c>
      <c r="E64" s="54">
        <v>0</v>
      </c>
      <c r="F64" s="54">
        <v>0.56000000000000005</v>
      </c>
      <c r="G64" s="54">
        <v>0.44</v>
      </c>
      <c r="H64" s="94"/>
      <c r="I64" s="52">
        <f>IF(A64&lt;&gt;0,(B64-(B63-D63))/(A64-A63),"")</f>
        <v>13.2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63">
        <v>25</v>
      </c>
      <c r="B65" s="63">
        <v>176</v>
      </c>
      <c r="C65" s="63">
        <v>4</v>
      </c>
      <c r="D65" s="63">
        <v>33</v>
      </c>
      <c r="E65" s="54">
        <v>0</v>
      </c>
      <c r="F65" s="54">
        <v>0.56000000000000005</v>
      </c>
      <c r="G65" s="54">
        <v>0.44</v>
      </c>
      <c r="H65" s="94"/>
      <c r="I65" s="52">
        <f>IF(A65&lt;&gt;0,(B65-(B64-D64))/(A65-A64),"")</f>
        <v>13.4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63">
        <v>30</v>
      </c>
      <c r="B66" s="63">
        <v>206</v>
      </c>
      <c r="C66" s="63">
        <v>5</v>
      </c>
      <c r="D66" s="63">
        <v>33</v>
      </c>
      <c r="E66" s="54">
        <v>0</v>
      </c>
      <c r="F66" s="54">
        <v>0.56000000000000005</v>
      </c>
      <c r="G66" s="54">
        <v>0.44</v>
      </c>
      <c r="H66" s="94"/>
      <c r="I66" s="52">
        <f t="shared" ref="I66:I81" si="2">IF(A66&lt;&gt;0,(B66-(B65-D65))/(A66-A65),"")</f>
        <v>12.6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63">
        <v>35</v>
      </c>
      <c r="B67" s="63">
        <v>229</v>
      </c>
      <c r="C67" s="63">
        <v>6</v>
      </c>
      <c r="D67" s="63">
        <v>30</v>
      </c>
      <c r="E67" s="54">
        <v>0.2</v>
      </c>
      <c r="F67" s="54">
        <v>0.44800000000000006</v>
      </c>
      <c r="G67" s="54">
        <v>0.35200000000000004</v>
      </c>
      <c r="H67" s="94"/>
      <c r="I67" s="52">
        <f t="shared" si="2"/>
        <v>11.2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63">
        <v>40</v>
      </c>
      <c r="B68" s="63">
        <v>249</v>
      </c>
      <c r="C68" s="63">
        <v>7</v>
      </c>
      <c r="D68" s="63">
        <v>28</v>
      </c>
      <c r="E68" s="54">
        <v>0.2</v>
      </c>
      <c r="F68" s="54">
        <v>0.44800000000000006</v>
      </c>
      <c r="G68" s="54">
        <v>0.35200000000000004</v>
      </c>
      <c r="H68" s="94"/>
      <c r="I68" s="52">
        <f t="shared" si="2"/>
        <v>10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3">
        <v>45</v>
      </c>
      <c r="B69" s="63">
        <v>263</v>
      </c>
      <c r="C69" s="63">
        <v>8</v>
      </c>
      <c r="D69" s="63">
        <v>24</v>
      </c>
      <c r="E69" s="54">
        <v>0.4</v>
      </c>
      <c r="F69" s="54">
        <v>0.33600000000000002</v>
      </c>
      <c r="G69" s="54">
        <v>0.26400000000000001</v>
      </c>
      <c r="H69" s="94"/>
      <c r="I69" s="52">
        <f t="shared" si="2"/>
        <v>8.4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3">
        <v>50</v>
      </c>
      <c r="B70" s="63">
        <v>276</v>
      </c>
      <c r="C70" s="63">
        <v>9</v>
      </c>
      <c r="D70" s="63">
        <v>21</v>
      </c>
      <c r="E70" s="54">
        <v>0.4</v>
      </c>
      <c r="F70" s="54">
        <v>0.33600000000000002</v>
      </c>
      <c r="G70" s="54">
        <v>0.26400000000000001</v>
      </c>
      <c r="H70" s="94"/>
      <c r="I70" s="52">
        <f t="shared" si="2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3">
        <v>55</v>
      </c>
      <c r="B71" s="63">
        <v>286</v>
      </c>
      <c r="C71" s="63">
        <v>10</v>
      </c>
      <c r="D71" s="63">
        <v>18</v>
      </c>
      <c r="E71" s="54">
        <v>0.6</v>
      </c>
      <c r="F71" s="54">
        <v>0.22400000000000003</v>
      </c>
      <c r="G71" s="54">
        <v>0.17600000000000002</v>
      </c>
      <c r="H71" s="94"/>
      <c r="I71" s="52">
        <f t="shared" si="2"/>
        <v>6.2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3">
        <v>60</v>
      </c>
      <c r="B72" s="63">
        <v>294</v>
      </c>
      <c r="C72" s="63">
        <v>11</v>
      </c>
      <c r="D72" s="63">
        <v>294</v>
      </c>
      <c r="E72" s="54">
        <v>0.8</v>
      </c>
      <c r="F72" s="54">
        <v>0.11</v>
      </c>
      <c r="G72" s="54">
        <v>0.09</v>
      </c>
      <c r="H72" s="94"/>
      <c r="I72" s="52">
        <f t="shared" si="2"/>
        <v>5.2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3"/>
      <c r="B73" s="63"/>
      <c r="C73" s="63"/>
      <c r="D73" s="63"/>
      <c r="E73" s="94"/>
      <c r="F73" s="94"/>
      <c r="G73" s="94"/>
      <c r="H73" s="9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63"/>
      <c r="B74" s="63"/>
      <c r="C74" s="63"/>
      <c r="D74" s="63"/>
      <c r="E74" s="94"/>
      <c r="F74" s="94"/>
      <c r="G74" s="94"/>
      <c r="H74" s="9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63"/>
      <c r="B75" s="63"/>
      <c r="C75" s="63"/>
      <c r="D75" s="63"/>
      <c r="E75" s="94"/>
      <c r="F75" s="94"/>
      <c r="G75" s="94"/>
      <c r="H75" s="9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63"/>
      <c r="B76" s="53"/>
      <c r="C76" s="63"/>
      <c r="D76" s="53"/>
      <c r="E76" s="68"/>
      <c r="F76" s="68"/>
      <c r="G76" s="68"/>
      <c r="H76" s="68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63"/>
      <c r="B77" s="53"/>
      <c r="C77" s="63"/>
      <c r="D77" s="53"/>
      <c r="E77" s="68"/>
      <c r="F77" s="68"/>
      <c r="G77" s="68"/>
      <c r="H77" s="68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63"/>
      <c r="B78" s="53"/>
      <c r="C78" s="63"/>
      <c r="D78" s="53"/>
      <c r="E78" s="57"/>
      <c r="F78" s="57"/>
      <c r="G78" s="57"/>
      <c r="H78" s="57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63"/>
      <c r="B79" s="53"/>
      <c r="C79" s="63"/>
      <c r="D79" s="53"/>
      <c r="E79" s="57"/>
      <c r="F79" s="57"/>
      <c r="G79" s="57"/>
      <c r="H79" s="57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63"/>
      <c r="B80" s="53"/>
      <c r="C80" s="63"/>
      <c r="D80" s="53"/>
      <c r="E80" s="57"/>
      <c r="F80" s="57"/>
      <c r="G80" s="57"/>
      <c r="H80" s="57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63"/>
      <c r="B81" s="53"/>
      <c r="C81" s="63"/>
      <c r="D81" s="53"/>
      <c r="E81" s="57"/>
      <c r="F81" s="57"/>
      <c r="G81" s="57"/>
      <c r="H81" s="57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sycomore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37</v>
      </c>
      <c r="C88" s="63">
        <v>1</v>
      </c>
      <c r="D88" s="63">
        <v>9</v>
      </c>
      <c r="E88" s="54">
        <v>0</v>
      </c>
      <c r="F88" s="54"/>
      <c r="G88" s="54"/>
      <c r="H88" s="94">
        <v>1</v>
      </c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59</v>
      </c>
      <c r="C89" s="63">
        <v>2</v>
      </c>
      <c r="D89" s="63">
        <v>11</v>
      </c>
      <c r="E89" s="54">
        <v>0</v>
      </c>
      <c r="F89" s="54"/>
      <c r="G89" s="54"/>
      <c r="H89" s="94">
        <v>1</v>
      </c>
      <c r="I89" s="56">
        <f t="shared" ref="I89:I107" si="3">IF(A89&lt;&gt;0,(B89-(B88-D88))/(A89-A88),"")</f>
        <v>6.2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84</v>
      </c>
      <c r="C90" s="63">
        <v>3</v>
      </c>
      <c r="D90" s="63">
        <v>14</v>
      </c>
      <c r="E90" s="94">
        <v>0</v>
      </c>
      <c r="F90" s="94"/>
      <c r="G90" s="94"/>
      <c r="H90" s="94">
        <v>1</v>
      </c>
      <c r="I90" s="56">
        <f t="shared" si="3"/>
        <v>7.2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108</v>
      </c>
      <c r="C91" s="63">
        <v>4</v>
      </c>
      <c r="D91" s="63">
        <v>16</v>
      </c>
      <c r="E91" s="94">
        <v>0</v>
      </c>
      <c r="F91" s="94"/>
      <c r="G91" s="94"/>
      <c r="H91" s="94">
        <v>1</v>
      </c>
      <c r="I91" s="56">
        <f t="shared" si="3"/>
        <v>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131</v>
      </c>
      <c r="C92" s="63">
        <v>5</v>
      </c>
      <c r="D92" s="63">
        <v>17</v>
      </c>
      <c r="E92" s="94">
        <v>0.2</v>
      </c>
      <c r="F92" s="94"/>
      <c r="G92" s="94"/>
      <c r="H92" s="94">
        <v>0.8</v>
      </c>
      <c r="I92" s="56">
        <f t="shared" si="3"/>
        <v>7.8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153</v>
      </c>
      <c r="C93" s="63">
        <v>6</v>
      </c>
      <c r="D93" s="63">
        <v>18</v>
      </c>
      <c r="E93" s="94">
        <v>0.3</v>
      </c>
      <c r="F93" s="94"/>
      <c r="G93" s="94"/>
      <c r="H93" s="94">
        <v>0.7</v>
      </c>
      <c r="I93" s="56">
        <f t="shared" si="3"/>
        <v>7.8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173</v>
      </c>
      <c r="C94" s="63">
        <v>7</v>
      </c>
      <c r="D94" s="63">
        <v>18</v>
      </c>
      <c r="E94" s="94">
        <v>0.4</v>
      </c>
      <c r="F94" s="94"/>
      <c r="G94" s="94"/>
      <c r="H94" s="94">
        <v>0.6</v>
      </c>
      <c r="I94" s="56">
        <f t="shared" si="3"/>
        <v>7.6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3">
        <v>191</v>
      </c>
      <c r="C95" s="63">
        <v>8</v>
      </c>
      <c r="D95" s="63">
        <v>18</v>
      </c>
      <c r="E95" s="94">
        <v>0.5</v>
      </c>
      <c r="F95" s="94"/>
      <c r="G95" s="94"/>
      <c r="H95" s="94">
        <v>0.5</v>
      </c>
      <c r="I95" s="56">
        <f t="shared" si="3"/>
        <v>7.2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63">
        <v>206</v>
      </c>
      <c r="C96" s="63">
        <v>9</v>
      </c>
      <c r="D96" s="63">
        <v>17</v>
      </c>
      <c r="E96" s="94">
        <v>0.6</v>
      </c>
      <c r="F96" s="94"/>
      <c r="G96" s="94"/>
      <c r="H96" s="94">
        <v>0.4</v>
      </c>
      <c r="I96" s="56">
        <f t="shared" si="3"/>
        <v>6.6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63">
        <v>221</v>
      </c>
      <c r="C97" s="63">
        <v>10</v>
      </c>
      <c r="D97" s="63">
        <v>221</v>
      </c>
      <c r="E97" s="94">
        <v>0.7</v>
      </c>
      <c r="F97" s="94"/>
      <c r="G97" s="94"/>
      <c r="H97" s="94">
        <v>0.3</v>
      </c>
      <c r="I97" s="56">
        <f t="shared" si="3"/>
        <v>6.4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54"/>
      <c r="F99" s="54"/>
      <c r="G99" s="5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4"/>
      <c r="F100" s="94"/>
      <c r="G100" s="94"/>
      <c r="H100" s="9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94"/>
      <c r="F101" s="94"/>
      <c r="G101" s="94"/>
      <c r="H101" s="9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68"/>
      <c r="F102" s="68"/>
      <c r="G102" s="68"/>
      <c r="H102" s="68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68"/>
      <c r="F103" s="68"/>
      <c r="G103" s="68"/>
      <c r="H103" s="68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6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6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6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/>
      <c r="B114" s="63"/>
      <c r="C114" s="63"/>
      <c r="D114" s="63"/>
      <c r="E114" s="54"/>
      <c r="F114" s="54"/>
      <c r="G114" s="54"/>
      <c r="H114" s="9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/>
      <c r="B115" s="63"/>
      <c r="C115" s="63"/>
      <c r="D115" s="63"/>
      <c r="E115" s="54"/>
      <c r="F115" s="54"/>
      <c r="G115" s="54"/>
      <c r="H115" s="9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/>
      <c r="B116" s="63"/>
      <c r="C116" s="63"/>
      <c r="D116" s="63"/>
      <c r="E116" s="54"/>
      <c r="F116" s="54"/>
      <c r="G116" s="54"/>
      <c r="H116" s="9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/>
      <c r="B117" s="63"/>
      <c r="C117" s="63"/>
      <c r="D117" s="63"/>
      <c r="E117" s="54"/>
      <c r="F117" s="54"/>
      <c r="G117" s="54"/>
      <c r="H117" s="68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/>
      <c r="B118" s="63"/>
      <c r="C118" s="63"/>
      <c r="D118" s="63"/>
      <c r="E118" s="94"/>
      <c r="F118" s="94"/>
      <c r="G118" s="94"/>
      <c r="H118" s="9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3"/>
      <c r="B128" s="53"/>
      <c r="C128" s="6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3"/>
      <c r="B129" s="53"/>
      <c r="C129" s="6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63"/>
      <c r="B130" s="53"/>
      <c r="C130" s="6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63"/>
      <c r="B140" s="63"/>
      <c r="C140" s="63"/>
      <c r="D140" s="63"/>
      <c r="E140" s="54"/>
      <c r="F140" s="54"/>
      <c r="G140" s="54"/>
      <c r="H140" s="9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63"/>
      <c r="B141" s="63"/>
      <c r="C141" s="63"/>
      <c r="D141" s="63"/>
      <c r="E141" s="54"/>
      <c r="F141" s="54"/>
      <c r="G141" s="54"/>
      <c r="H141" s="9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63"/>
      <c r="B142" s="63"/>
      <c r="C142" s="63"/>
      <c r="D142" s="63"/>
      <c r="E142" s="94"/>
      <c r="F142" s="94"/>
      <c r="G142" s="94"/>
      <c r="H142" s="9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63"/>
      <c r="B143" s="63"/>
      <c r="C143" s="63"/>
      <c r="D143" s="63"/>
      <c r="E143" s="94"/>
      <c r="F143" s="94"/>
      <c r="G143" s="94"/>
      <c r="H143" s="9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63"/>
      <c r="B144" s="63"/>
      <c r="C144" s="63"/>
      <c r="D144" s="63"/>
      <c r="E144" s="94"/>
      <c r="F144" s="94"/>
      <c r="G144" s="94"/>
      <c r="H144" s="9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63"/>
      <c r="B145" s="63"/>
      <c r="C145" s="63"/>
      <c r="D145" s="63"/>
      <c r="E145" s="94"/>
      <c r="F145" s="94"/>
      <c r="G145" s="94"/>
      <c r="H145" s="9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3"/>
      <c r="B146" s="63"/>
      <c r="C146" s="63"/>
      <c r="D146" s="63"/>
      <c r="E146" s="94"/>
      <c r="F146" s="94"/>
      <c r="G146" s="94"/>
      <c r="H146" s="9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3"/>
      <c r="B147" s="63"/>
      <c r="C147" s="63"/>
      <c r="D147" s="63"/>
      <c r="E147" s="94"/>
      <c r="F147" s="94"/>
      <c r="G147" s="94"/>
      <c r="H147" s="9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3"/>
      <c r="B148" s="63"/>
      <c r="C148" s="63"/>
      <c r="D148" s="63"/>
      <c r="E148" s="94"/>
      <c r="F148" s="94"/>
      <c r="G148" s="94"/>
      <c r="H148" s="9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3"/>
      <c r="B149" s="63"/>
      <c r="C149" s="63"/>
      <c r="D149" s="63"/>
      <c r="E149" s="94"/>
      <c r="F149" s="94"/>
      <c r="G149" s="94"/>
      <c r="H149" s="9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3"/>
      <c r="B150" s="63"/>
      <c r="C150" s="63"/>
      <c r="D150" s="63"/>
      <c r="E150" s="94"/>
      <c r="F150" s="94"/>
      <c r="G150" s="94"/>
      <c r="H150" s="9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3"/>
      <c r="B151" s="63"/>
      <c r="C151" s="63"/>
      <c r="D151" s="63"/>
      <c r="E151" s="94"/>
      <c r="F151" s="94"/>
      <c r="G151" s="94"/>
      <c r="H151" s="9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3"/>
      <c r="B152" s="63"/>
      <c r="C152" s="63"/>
      <c r="D152" s="63"/>
      <c r="E152" s="68"/>
      <c r="F152" s="68"/>
      <c r="G152" s="68"/>
      <c r="H152" s="68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3"/>
      <c r="B153" s="63"/>
      <c r="C153" s="63"/>
      <c r="D153" s="63"/>
      <c r="E153" s="68"/>
      <c r="F153" s="68"/>
      <c r="G153" s="68"/>
      <c r="H153" s="68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63"/>
      <c r="B154" s="53"/>
      <c r="C154" s="6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63"/>
      <c r="B155" s="53"/>
      <c r="C155" s="6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63"/>
      <c r="B156" s="53"/>
      <c r="C156" s="6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63"/>
      <c r="B166" s="63"/>
      <c r="C166" s="63"/>
      <c r="D166" s="63"/>
      <c r="E166" s="54"/>
      <c r="F166" s="54"/>
      <c r="G166" s="54"/>
      <c r="H166" s="9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63"/>
      <c r="B167" s="63"/>
      <c r="C167" s="63"/>
      <c r="D167" s="63"/>
      <c r="E167" s="94"/>
      <c r="F167" s="94"/>
      <c r="G167" s="94"/>
      <c r="H167" s="9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63"/>
      <c r="B168" s="63"/>
      <c r="C168" s="63"/>
      <c r="D168" s="63"/>
      <c r="E168" s="94"/>
      <c r="F168" s="94"/>
      <c r="G168" s="94"/>
      <c r="H168" s="9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63"/>
      <c r="B169" s="63"/>
      <c r="C169" s="63"/>
      <c r="D169" s="63"/>
      <c r="E169" s="94"/>
      <c r="F169" s="94"/>
      <c r="G169" s="94"/>
      <c r="H169" s="9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63"/>
      <c r="B170" s="63"/>
      <c r="C170" s="63"/>
      <c r="D170" s="63"/>
      <c r="E170" s="94"/>
      <c r="F170" s="94"/>
      <c r="G170" s="94"/>
      <c r="H170" s="9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63"/>
      <c r="B171" s="63"/>
      <c r="C171" s="63"/>
      <c r="D171" s="63"/>
      <c r="E171" s="94"/>
      <c r="F171" s="94"/>
      <c r="G171" s="94"/>
      <c r="H171" s="9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63"/>
      <c r="B172" s="63"/>
      <c r="C172" s="63"/>
      <c r="D172" s="63"/>
      <c r="E172" s="94"/>
      <c r="F172" s="94"/>
      <c r="G172" s="94"/>
      <c r="H172" s="9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63"/>
      <c r="B173" s="63"/>
      <c r="C173" s="63"/>
      <c r="D173" s="63"/>
      <c r="E173" s="94"/>
      <c r="F173" s="94"/>
      <c r="G173" s="94"/>
      <c r="H173" s="9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63"/>
      <c r="B174" s="63"/>
      <c r="C174" s="63"/>
      <c r="D174" s="63"/>
      <c r="E174" s="94"/>
      <c r="F174" s="94"/>
      <c r="G174" s="94"/>
      <c r="H174" s="9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63"/>
      <c r="B175" s="63"/>
      <c r="C175" s="63"/>
      <c r="D175" s="63"/>
      <c r="E175" s="94"/>
      <c r="F175" s="94"/>
      <c r="G175" s="94"/>
      <c r="H175" s="9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63"/>
      <c r="B176" s="63"/>
      <c r="C176" s="63"/>
      <c r="D176" s="63"/>
      <c r="E176" s="94"/>
      <c r="F176" s="94"/>
      <c r="G176" s="94"/>
      <c r="H176" s="9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63"/>
      <c r="B177" s="63"/>
      <c r="C177" s="63"/>
      <c r="D177" s="63"/>
      <c r="E177" s="68"/>
      <c r="F177" s="68"/>
      <c r="G177" s="68"/>
      <c r="H177" s="68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63"/>
      <c r="B178" s="63"/>
      <c r="C178" s="63"/>
      <c r="D178" s="63"/>
      <c r="E178" s="68"/>
      <c r="F178" s="68"/>
      <c r="G178" s="68"/>
      <c r="H178" s="68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63"/>
      <c r="B179" s="53"/>
      <c r="C179" s="6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63"/>
      <c r="B180" s="53"/>
      <c r="C180" s="63"/>
      <c r="D180" s="6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63"/>
      <c r="B181" s="53"/>
      <c r="C181" s="6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D1" zoomScale="85" zoomScaleNormal="85" workbookViewId="0">
      <selection activeCell="E16" sqref="E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f>1-B17</f>
        <v>0.88888888888888884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f>2/18</f>
        <v>0.1111111111111111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Douglas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Mélèze hybride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Erable sycomore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4.4444444444444446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16.296296296296298</v>
      </c>
      <c r="H3" s="70">
        <f>(B3+E3+F3)*44/12+(C3+D3)*0.475*44/12</f>
        <v>191.4814814814815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175.18518518518519</v>
      </c>
      <c r="S3" s="62">
        <f ca="1">AVERAGE(OFFSET($R$3,0,0,'Données projet'!$E$9+1,1))-AVERAGE(OFFSET($H$3,0,0,'Données projet'!$E$9+1,1))</f>
        <v>415.21844537846482</v>
      </c>
      <c r="T3" s="62">
        <f>IF('Données projet'!E9&gt;30,$R$33-$H$33,LOOKUP('Données projet'!$E$9,$A$3:$A$203,R3:R203)-LOOKUP('Données projet'!$E$9,$A$3:$A$203,$H$3:$H$203))</f>
        <v>491.25626166862321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175.18518518518519</v>
      </c>
      <c r="AN3" s="62">
        <f ca="1">AVERAGE(OFFSET($AM$3,0,0,'Données projet'!$E$10+1,1))-AVERAGE(OFFSET($H$3,0,0,'Données projet'!$E$10+1,1))</f>
        <v>243.3456100842846</v>
      </c>
      <c r="AO3" s="62">
        <f>IF('Données projet'!E10&gt;30,$AM$33-$H$33,LOOKUP('Données projet'!$E$10,$A$3:$A$203,AM3:AM203)-LOOKUP('Données projet'!$E$10,$A$3:$A$203,$H$3:$H$203))</f>
        <v>301.6462497303628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175.18518518518519</v>
      </c>
      <c r="BI3" s="62">
        <f ca="1">AVERAGE(OFFSET($BH$3,0,0,'Données projet'!$E$11+1,1))-AVERAGE(OFFSET($H$3,0,0,'Données projet'!$E$11+1,1))</f>
        <v>219.20272956499281</v>
      </c>
      <c r="BJ3" s="62">
        <f>IF('Données projet'!E11&gt;30,$BH$33-$H$33,LOOKUP('Données projet'!$E$11,$A$3:$A$203,BH3:BH203)-LOOKUP('Données projet'!$E$11,$A$3:$A$203,$H$3:$H$203))</f>
        <v>244.37146912604081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47.777777777777779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4.4444444444444446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16.296296296296298</v>
      </c>
      <c r="H4" s="70">
        <f t="shared" ref="H4:H67" si="1">(B4+E4+F4)*44/12+(C4+D4)*0.475*44/12</f>
        <v>191.4814814814815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10.15</v>
      </c>
      <c r="N4" s="14">
        <f>IF('Données projet'!$A$36&gt;35,N3+M4-V3,IF(A4&lt;'Données projet'!$A$36,$K$205^A4,IF(A4='Données projet'!$A$36,'Données projet'!$B$36,N3+M4-V3)))</f>
        <v>1.3042919140928491</v>
      </c>
      <c r="O4" s="14">
        <f>N4*VLOOKUP('Données projet'!$B$9,Paramètres!$A$1:$I$88,3,0)*VLOOKUP('Données projet'!$B$9,Paramètres!$A$1:$I$88,5,0)</f>
        <v>0.72909917997790263</v>
      </c>
      <c r="P4" s="14">
        <f>EXP(-1.0587+0.8836*LN(O4)+0.284)</f>
        <v>0.34858629890235465</v>
      </c>
      <c r="Q4" s="22">
        <f t="shared" ref="Q4:Q34" si="2">(O4+P4)*0.475*44/12</f>
        <v>1.8769688757164482</v>
      </c>
      <c r="R4" s="62">
        <f t="shared" si="0"/>
        <v>179.69789782152529</v>
      </c>
      <c r="S4" s="62">
        <f ca="1">AVERAGE(OFFSET($R$3,0,0,'Données projet'!$E$9+1,1))-AVERAGE(OFFSET($H$3,0,0,'Données projet'!$E$9+1,1))</f>
        <v>415.21844537846482</v>
      </c>
      <c r="T4" s="62">
        <f>$T$3</f>
        <v>491.25626166862321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3.7</v>
      </c>
      <c r="AI4" s="14">
        <f>IF('Données projet'!$A$62&gt;35,AI3+AH4-AQ3,IF(A4&lt;'Données projet'!$A$62,$AF$205^A4,IF(A4='Données projet'!$A$62,'Données projet'!$B$62,AI3+AH4-AQ3)))</f>
        <v>1.4348951656753595</v>
      </c>
      <c r="AJ4" s="14">
        <f>AI4*VLOOKUP('Données projet'!$B$10,Paramètres!$A$1:$I$88,3,0)*VLOOKUP('Données projet'!$B$10,Paramètres!$A$1:$I$88,5,0)</f>
        <v>0.78345276045874634</v>
      </c>
      <c r="AK4" s="14">
        <f>EXP(-1.0587+0.8836*LN(AJ4)+0.284)</f>
        <v>0.37145121932568331</v>
      </c>
      <c r="AL4" s="22">
        <f t="shared" ref="AL4:AL67" si="4">(AJ4+AK4)*0.475*44/12</f>
        <v>2.0114577647912149</v>
      </c>
      <c r="AM4" s="62">
        <f t="shared" ref="AM4:AM67" si="5">AL4+(AD4+AE4)*44/12</f>
        <v>179.83238671060005</v>
      </c>
      <c r="AN4" s="62">
        <f ca="1">AVERAGE(OFFSET($AM$3,0,0,'Données projet'!$E$10+1,1))-AVERAGE(OFFSET($H$3,0,0,'Données projet'!$E$10+1,1))</f>
        <v>243.3456100842846</v>
      </c>
      <c r="AO4" s="62">
        <f>$AO$3</f>
        <v>301.6462497303628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projet'!$B$11,Paramètres!$A$1:$I$88,3,0)*VLOOKUP('Données projet'!$B$11,Paramètres!$A$1:$I$88,5,0)</f>
        <v>1.0121422546683387</v>
      </c>
      <c r="BF4" s="14">
        <f>EXP(-1.0587+0.8836*LN(BE4)+0.284)</f>
        <v>0.46578286063395047</v>
      </c>
      <c r="BG4" s="22">
        <f t="shared" ref="BG4:BG67" si="7">(BE4+BF4)*0.475*44/12</f>
        <v>2.574052909151487</v>
      </c>
      <c r="BH4" s="62">
        <f t="shared" ref="BH4:BH67" si="8">BG4+(AY4+AZ4)*44/12</f>
        <v>180.39498185496032</v>
      </c>
      <c r="BI4" s="62">
        <f ca="1">AVERAGE(OFFSET($BH$3,0,0,'Données projet'!$E$11+1,1))-AVERAGE(OFFSET($H$3,0,0,'Données projet'!$E$11+1,1))</f>
        <v>219.20272956499281</v>
      </c>
      <c r="BJ4" s="62">
        <f>$BJ$3</f>
        <v>244.37146912604081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48.163283651887255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4.4444444444444446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16.296296296296298</v>
      </c>
      <c r="H5" s="70">
        <f t="shared" si="1"/>
        <v>191.4814814814815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10.15</v>
      </c>
      <c r="N5" s="14">
        <f>IF('Données projet'!$A$36&gt;35,N4+M5-V4,IF(A5&lt;'Données projet'!$A$36,$K$205^A5,IF(A5='Données projet'!$A$36,'Données projet'!$B$36,N4+M5-V4)))</f>
        <v>1.701177397167988</v>
      </c>
      <c r="O5" s="14">
        <f>N5*VLOOKUP('Données projet'!$B$9,Paramètres!$A$1:$I$88,3,0)*VLOOKUP('Données projet'!$B$9,Paramètres!$A$1:$I$88,5,0)</f>
        <v>0.95095816501690522</v>
      </c>
      <c r="P5" s="14">
        <f t="shared" ref="P5:P68" si="33">EXP(-1.0587+0.8836*LN(O5)+0.284)</f>
        <v>0.44081411086102068</v>
      </c>
      <c r="Q5" s="22">
        <f t="shared" si="2"/>
        <v>2.4240033804873873</v>
      </c>
      <c r="R5" s="62">
        <f t="shared" si="0"/>
        <v>182.85615464838938</v>
      </c>
      <c r="S5" s="62">
        <f ca="1">AVERAGE(OFFSET($R$3,0,0,'Données projet'!$E$9+1,1))-AVERAGE(OFFSET($H$3,0,0,'Données projet'!$E$9+1,1))</f>
        <v>415.21844537846482</v>
      </c>
      <c r="T5" s="62">
        <f t="shared" ref="T5:T68" si="34">$T$3</f>
        <v>491.25626166862321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3.7</v>
      </c>
      <c r="AI5" s="14">
        <f>IF('Données projet'!$A$62&gt;35,AI4+AH5-AQ4,IF(A5&lt;'Données projet'!$A$62,$AF$205^A5,IF(A5='Données projet'!$A$62,'Données projet'!$B$62,AI4+AH5-AQ4)))</f>
        <v>2.0589241364785171</v>
      </c>
      <c r="AJ5" s="14">
        <f>AI5*VLOOKUP('Données projet'!$B$10,Paramètres!$A$1:$I$88,3,0)*VLOOKUP('Données projet'!$B$10,Paramètres!$A$1:$I$88,5,0)</f>
        <v>1.1241725785172705</v>
      </c>
      <c r="AK5" s="14">
        <f t="shared" ref="AK5:AK68" si="35">EXP(-1.0587+0.8836*LN(AJ5)+0.284)</f>
        <v>0.51105553070967735</v>
      </c>
      <c r="AL5" s="22">
        <f t="shared" si="4"/>
        <v>2.8480222902369339</v>
      </c>
      <c r="AM5" s="62">
        <f t="shared" si="5"/>
        <v>183.28017355813893</v>
      </c>
      <c r="AN5" s="62">
        <f ca="1">AVERAGE(OFFSET($AM$3,0,0,'Données projet'!$E$10+1,1))-AVERAGE(OFFSET($H$3,0,0,'Données projet'!$E$10+1,1))</f>
        <v>243.3456100842846</v>
      </c>
      <c r="AO5" s="62">
        <f t="shared" ref="AO5:AO68" si="36">$AO$3</f>
        <v>301.6462497303628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projet'!$B$11,Paramètres!$A$1:$I$88,3,0)*VLOOKUP('Données projet'!$B$11,Paramètres!$A$1:$I$88,5,0)</f>
        <v>1.2876218497801761</v>
      </c>
      <c r="BF5" s="14">
        <f t="shared" ref="BF5:BF68" si="37">EXP(-1.0587+0.8836*LN(BE5)+0.284)</f>
        <v>0.57618379541883336</v>
      </c>
      <c r="BG5" s="22">
        <f t="shared" si="7"/>
        <v>3.2461281653882743</v>
      </c>
      <c r="BH5" s="62">
        <f t="shared" si="8"/>
        <v>183.67827943329027</v>
      </c>
      <c r="BI5" s="62">
        <f ca="1">AVERAGE(OFFSET($BH$3,0,0,'Données projet'!$E$11+1,1))-AVERAGE(OFFSET($H$3,0,0,'Données projet'!$E$11+1,1))</f>
        <v>219.20272956499281</v>
      </c>
      <c r="BJ5" s="62">
        <f t="shared" ref="BJ5:BJ68" si="38">$BJ$3</f>
        <v>244.37146912604081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48.542101860942964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4.4444444444444446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16.296296296296298</v>
      </c>
      <c r="H6" s="70">
        <f t="shared" si="1"/>
        <v>191.4814814814815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10.15</v>
      </c>
      <c r="N6" s="14">
        <f>IF('Données projet'!$A$36&gt;35,N5+M6-V5,IF(A6&lt;'Données projet'!$A$36,$K$205^A6,IF(A6='Données projet'!$A$36,'Données projet'!$B$36,N5+M6-V5)))</f>
        <v>2.2188319235637262</v>
      </c>
      <c r="O6" s="14">
        <f>N6*VLOOKUP('Données projet'!$B$9,Paramètres!$A$1:$I$88,3,0)*VLOOKUP('Données projet'!$B$9,Paramètres!$A$1:$I$88,5,0)</f>
        <v>1.2403270452721229</v>
      </c>
      <c r="P6" s="14">
        <f t="shared" si="33"/>
        <v>0.55744325277862972</v>
      </c>
      <c r="Q6" s="22">
        <f t="shared" si="2"/>
        <v>3.1311166024383943</v>
      </c>
      <c r="R6" s="62">
        <f t="shared" si="0"/>
        <v>186.15039414603976</v>
      </c>
      <c r="S6" s="62">
        <f ca="1">AVERAGE(OFFSET($R$3,0,0,'Données projet'!$E$9+1,1))-AVERAGE(OFFSET($H$3,0,0,'Données projet'!$E$9+1,1))</f>
        <v>415.21844537846482</v>
      </c>
      <c r="T6" s="62">
        <f t="shared" si="34"/>
        <v>491.25626166862321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3.7</v>
      </c>
      <c r="AI6" s="14">
        <f>IF('Données projet'!$A$62&gt;35,AI5+AH6-AQ5,IF(A6&lt;'Données projet'!$A$62,$AF$205^A6,IF(A6='Données projet'!$A$62,'Données projet'!$B$62,AI5+AH6-AQ5)))</f>
        <v>2.9543402899253381</v>
      </c>
      <c r="AJ6" s="14">
        <f>AI6*VLOOKUP('Données projet'!$B$10,Paramètres!$A$1:$I$88,3,0)*VLOOKUP('Données projet'!$B$10,Paramètres!$A$1:$I$88,5,0)</f>
        <v>1.6130697982992346</v>
      </c>
      <c r="AK6" s="14">
        <f t="shared" si="35"/>
        <v>0.70312800680283394</v>
      </c>
      <c r="AL6" s="22">
        <f t="shared" si="4"/>
        <v>4.0340445105527687</v>
      </c>
      <c r="AM6" s="62">
        <f t="shared" si="5"/>
        <v>187.05332205415414</v>
      </c>
      <c r="AN6" s="62">
        <f ca="1">AVERAGE(OFFSET($AM$3,0,0,'Données projet'!$E$10+1,1))-AVERAGE(OFFSET($H$3,0,0,'Données projet'!$E$10+1,1))</f>
        <v>243.3456100842846</v>
      </c>
      <c r="AO6" s="62">
        <f t="shared" si="36"/>
        <v>301.6462497303628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projet'!$B$11,Paramètres!$A$1:$I$88,3,0)*VLOOKUP('Données projet'!$B$11,Paramètres!$A$1:$I$88,5,0)</f>
        <v>1.6380800429823084</v>
      </c>
      <c r="BF6" s="14">
        <f t="shared" si="37"/>
        <v>0.71275221602487127</v>
      </c>
      <c r="BG6" s="22">
        <f t="shared" si="7"/>
        <v>4.0943661844375043</v>
      </c>
      <c r="BH6" s="62">
        <f t="shared" si="8"/>
        <v>187.11364372803888</v>
      </c>
      <c r="BI6" s="62">
        <f ca="1">AVERAGE(OFFSET($BH$3,0,0,'Données projet'!$E$11+1,1))-AVERAGE(OFFSET($H$3,0,0,'Données projet'!$E$11+1,1))</f>
        <v>219.20272956499281</v>
      </c>
      <c r="BJ6" s="62">
        <f t="shared" si="38"/>
        <v>244.37146912604081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48.914348420982193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4.4444444444444446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16.296296296296298</v>
      </c>
      <c r="H7" s="70">
        <f t="shared" si="1"/>
        <v>191.4814814814815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10.15</v>
      </c>
      <c r="N7" s="14">
        <f>IF('Données projet'!$A$36&gt;35,N6+M7-V6,IF(A7&lt;'Données projet'!$A$36,$K$205^A7,IF(A7='Données projet'!$A$36,'Données projet'!$B$36,N6+M7-V6)))</f>
        <v>2.8940045366352503</v>
      </c>
      <c r="O7" s="14">
        <f>N7*VLOOKUP('Données projet'!$B$9,Paramètres!$A$1:$I$88,3,0)*VLOOKUP('Données projet'!$B$9,Paramètres!$A$1:$I$88,5,0)</f>
        <v>1.6177485359791048</v>
      </c>
      <c r="P7" s="14">
        <f t="shared" si="33"/>
        <v>0.70492974796442009</v>
      </c>
      <c r="Q7" s="22">
        <f t="shared" si="2"/>
        <v>4.045331344534973</v>
      </c>
      <c r="R7" s="62">
        <f t="shared" si="0"/>
        <v>189.62805712997621</v>
      </c>
      <c r="S7" s="62">
        <f ca="1">AVERAGE(OFFSET($R$3,0,0,'Données projet'!$E$9+1,1))-AVERAGE(OFFSET($H$3,0,0,'Données projet'!$E$9+1,1))</f>
        <v>415.21844537846482</v>
      </c>
      <c r="T7" s="62">
        <f t="shared" si="34"/>
        <v>491.25626166862321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3.7</v>
      </c>
      <c r="AI7" s="14">
        <f>IF('Données projet'!$A$62&gt;35,AI6+AH7-AQ6,IF(A7&lt;'Données projet'!$A$62,$AF$205^A7,IF(A7='Données projet'!$A$62,'Données projet'!$B$62,AI6+AH7-AQ6)))</f>
        <v>4.2391685997738078</v>
      </c>
      <c r="AJ7" s="14">
        <f>AI7*VLOOKUP('Données projet'!$B$10,Paramètres!$A$1:$I$88,3,0)*VLOOKUP('Données projet'!$B$10,Paramètres!$A$1:$I$88,5,0)</f>
        <v>2.3145860554764988</v>
      </c>
      <c r="AK7" s="14">
        <f t="shared" si="35"/>
        <v>0.96738801214809822</v>
      </c>
      <c r="AL7" s="22">
        <f t="shared" si="4"/>
        <v>5.7161048344461731</v>
      </c>
      <c r="AM7" s="62">
        <f t="shared" si="5"/>
        <v>191.29883061988741</v>
      </c>
      <c r="AN7" s="62">
        <f ca="1">AVERAGE(OFFSET($AM$3,0,0,'Données projet'!$E$10+1,1))-AVERAGE(OFFSET($H$3,0,0,'Données projet'!$E$10+1,1))</f>
        <v>243.3456100842846</v>
      </c>
      <c r="AO7" s="62">
        <f t="shared" si="36"/>
        <v>301.6462497303628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projet'!$B$11,Paramètres!$A$1:$I$88,3,0)*VLOOKUP('Données projet'!$B$11,Paramètres!$A$1:$I$88,5,0)</f>
        <v>2.0839241176864287</v>
      </c>
      <c r="BF7" s="14">
        <f t="shared" si="37"/>
        <v>0.88169040068036508</v>
      </c>
      <c r="BG7" s="22">
        <f t="shared" si="7"/>
        <v>5.1651119528221656</v>
      </c>
      <c r="BH7" s="62">
        <f t="shared" si="8"/>
        <v>190.7478377382634</v>
      </c>
      <c r="BI7" s="62">
        <f ca="1">AVERAGE(OFFSET($BH$3,0,0,'Données projet'!$E$11+1,1))-AVERAGE(OFFSET($H$3,0,0,'Données projet'!$E$11+1,1))</f>
        <v>219.20272956499281</v>
      </c>
      <c r="BJ7" s="62">
        <f t="shared" si="38"/>
        <v>244.37146912604081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49.280137335423369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4.4444444444444446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16.296296296296298</v>
      </c>
      <c r="H8" s="70">
        <f t="shared" si="1"/>
        <v>191.4814814814815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10.15</v>
      </c>
      <c r="N8" s="14">
        <f>IF('Données projet'!$A$36&gt;35,N7+M8-V7,IF(A8&lt;'Données projet'!$A$36,$K$205^A8,IF(A8='Données projet'!$A$36,'Données projet'!$B$36,N7+M8-V7)))</f>
        <v>3.7746267164813792</v>
      </c>
      <c r="O8" s="14">
        <f>N8*VLOOKUP('Données projet'!$B$9,Paramètres!$A$1:$I$88,3,0)*VLOOKUP('Données projet'!$B$9,Paramètres!$A$1:$I$88,5,0)</f>
        <v>2.1100163345130909</v>
      </c>
      <c r="P8" s="14">
        <f t="shared" si="33"/>
        <v>0.89143773305750029</v>
      </c>
      <c r="Q8" s="22">
        <f t="shared" si="2"/>
        <v>5.2275325010187794</v>
      </c>
      <c r="R8" s="62">
        <f t="shared" si="0"/>
        <v>193.35043925539171</v>
      </c>
      <c r="S8" s="62">
        <f ca="1">AVERAGE(OFFSET($R$3,0,0,'Données projet'!$E$9+1,1))-AVERAGE(OFFSET($H$3,0,0,'Données projet'!$E$9+1,1))</f>
        <v>415.21844537846482</v>
      </c>
      <c r="T8" s="62">
        <f t="shared" si="34"/>
        <v>491.25626166862321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3.7</v>
      </c>
      <c r="AI8" s="14">
        <f>IF('Données projet'!$A$62&gt;35,AI7+AH8-AQ7,IF(A8&lt;'Données projet'!$A$62,$AF$205^A8,IF(A8='Données projet'!$A$62,'Données projet'!$B$62,AI7+AH8-AQ7)))</f>
        <v>6.0827625302982193</v>
      </c>
      <c r="AJ8" s="14">
        <f>AI8*VLOOKUP('Données projet'!$B$10,Paramètres!$A$1:$I$88,3,0)*VLOOKUP('Données projet'!$B$10,Paramètres!$A$1:$I$88,5,0)</f>
        <v>3.321188341542828</v>
      </c>
      <c r="AK8" s="14">
        <f t="shared" si="35"/>
        <v>1.3309661356019211</v>
      </c>
      <c r="AL8" s="22">
        <f t="shared" si="4"/>
        <v>8.1025023810271026</v>
      </c>
      <c r="AM8" s="62">
        <f t="shared" si="5"/>
        <v>196.22540913540004</v>
      </c>
      <c r="AN8" s="62">
        <f ca="1">AVERAGE(OFFSET($AM$3,0,0,'Données projet'!$E$10+1,1))-AVERAGE(OFFSET($H$3,0,0,'Données projet'!$E$10+1,1))</f>
        <v>243.3456100842846</v>
      </c>
      <c r="AO8" s="62">
        <f t="shared" si="36"/>
        <v>301.6462497303628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projet'!$B$11,Paramètres!$A$1:$I$88,3,0)*VLOOKUP('Données projet'!$B$11,Paramètres!$A$1:$I$88,5,0)</f>
        <v>2.6511157051695204</v>
      </c>
      <c r="BF8" s="14">
        <f t="shared" si="37"/>
        <v>1.0906707059957799</v>
      </c>
      <c r="BG8" s="22">
        <f t="shared" si="7"/>
        <v>6.5169446661128978</v>
      </c>
      <c r="BH8" s="62">
        <f t="shared" si="8"/>
        <v>194.63985142048583</v>
      </c>
      <c r="BI8" s="62">
        <f ca="1">AVERAGE(OFFSET($BH$3,0,0,'Données projet'!$E$11+1,1))-AVERAGE(OFFSET($H$3,0,0,'Données projet'!$E$11+1,1))</f>
        <v>219.20272956499281</v>
      </c>
      <c r="BJ8" s="62">
        <f t="shared" si="38"/>
        <v>244.37146912604081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49.6395806299805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4.4444444444444446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16.296296296296298</v>
      </c>
      <c r="H9" s="70">
        <f t="shared" si="1"/>
        <v>191.4814814814815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10.15</v>
      </c>
      <c r="N9" s="14">
        <f>IF('Données projet'!$A$36&gt;35,N8+M9-V8,IF(A9&lt;'Données projet'!$A$36,$K$205^A9,IF(A9='Données projet'!$A$36,'Données projet'!$B$36,N8+M9-V8)))</f>
        <v>4.9232151050255037</v>
      </c>
      <c r="O9" s="14">
        <f>N9*VLOOKUP('Données projet'!$B$9,Paramètres!$A$1:$I$88,3,0)*VLOOKUP('Données projet'!$B$9,Paramètres!$A$1:$I$88,5,0)</f>
        <v>2.7520772437092567</v>
      </c>
      <c r="P9" s="14">
        <f t="shared" si="33"/>
        <v>1.1272913850116086</v>
      </c>
      <c r="Q9" s="22">
        <f t="shared" si="2"/>
        <v>6.7565670283555059</v>
      </c>
      <c r="R9" s="62">
        <f t="shared" si="0"/>
        <v>197.39679111391905</v>
      </c>
      <c r="S9" s="62">
        <f ca="1">AVERAGE(OFFSET($R$3,0,0,'Données projet'!$E$9+1,1))-AVERAGE(OFFSET($H$3,0,0,'Données projet'!$E$9+1,1))</f>
        <v>415.21844537846482</v>
      </c>
      <c r="T9" s="62">
        <f t="shared" si="34"/>
        <v>491.25626166862321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3.7</v>
      </c>
      <c r="AI9" s="14">
        <f>IF('Données projet'!$A$62&gt;35,AI8+AH9-AQ8,IF(A9&lt;'Données projet'!$A$62,$AF$205^A9,IF(A9='Données projet'!$A$62,'Données projet'!$B$62,AI8+AH9-AQ8)))</f>
        <v>8.7281265486761317</v>
      </c>
      <c r="AJ9" s="14">
        <f>AI9*VLOOKUP('Données projet'!$B$10,Paramètres!$A$1:$I$88,3,0)*VLOOKUP('Données projet'!$B$10,Paramètres!$A$1:$I$88,5,0)</f>
        <v>4.7655570955771678</v>
      </c>
      <c r="AK9" s="14">
        <f t="shared" si="35"/>
        <v>1.8311895866742613</v>
      </c>
      <c r="AL9" s="22">
        <f t="shared" si="4"/>
        <v>11.489333804921237</v>
      </c>
      <c r="AM9" s="62">
        <f t="shared" si="5"/>
        <v>202.12955789048479</v>
      </c>
      <c r="AN9" s="62">
        <f ca="1">AVERAGE(OFFSET($AM$3,0,0,'Données projet'!$E$10+1,1))-AVERAGE(OFFSET($H$3,0,0,'Données projet'!$E$10+1,1))</f>
        <v>243.3456100842846</v>
      </c>
      <c r="AO9" s="62">
        <f t="shared" si="36"/>
        <v>301.6462497303628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projet'!$B$11,Paramètres!$A$1:$I$88,3,0)*VLOOKUP('Données projet'!$B$11,Paramètres!$A$1:$I$88,5,0)</f>
        <v>3.3726825379800407</v>
      </c>
      <c r="BF9" s="14">
        <f t="shared" si="37"/>
        <v>1.3491840083541735</v>
      </c>
      <c r="BG9" s="22">
        <f t="shared" si="7"/>
        <v>8.2239175681987557</v>
      </c>
      <c r="BH9" s="62">
        <f t="shared" si="8"/>
        <v>198.86414165376229</v>
      </c>
      <c r="BI9" s="62">
        <f ca="1">AVERAGE(OFFSET($BH$3,0,0,'Données projet'!$E$11+1,1))-AVERAGE(OFFSET($H$3,0,0,'Données projet'!$E$11+1,1))</f>
        <v>219.20272956499281</v>
      </c>
      <c r="BJ9" s="62">
        <f t="shared" si="38"/>
        <v>244.37146912604081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49.992788386971874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4.4444444444444446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16.296296296296298</v>
      </c>
      <c r="H10" s="70">
        <f t="shared" si="1"/>
        <v>191.4814814814815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10.15</v>
      </c>
      <c r="N10" s="14">
        <f>IF('Données projet'!$A$36&gt;35,N9+M10-V9,IF(A10&lt;'Données projet'!$A$36,$K$205^A10,IF(A10='Données projet'!$A$36,'Données projet'!$B$36,N9+M10-V9)))</f>
        <v>6.4213096528245419</v>
      </c>
      <c r="O10" s="14">
        <f>N10*VLOOKUP('Données projet'!$B$9,Paramètres!$A$1:$I$88,3,0)*VLOOKUP('Données projet'!$B$9,Paramètres!$A$1:$I$88,5,0)</f>
        <v>3.5895120959289191</v>
      </c>
      <c r="P10" s="14">
        <f t="shared" si="33"/>
        <v>1.4255464174292714</v>
      </c>
      <c r="Q10" s="22">
        <f t="shared" si="2"/>
        <v>8.7345602440988479</v>
      </c>
      <c r="R10" s="62">
        <f t="shared" si="0"/>
        <v>201.86963465611126</v>
      </c>
      <c r="S10" s="62">
        <f ca="1">AVERAGE(OFFSET($R$3,0,0,'Données projet'!$E$9+1,1))-AVERAGE(OFFSET($H$3,0,0,'Données projet'!$E$9+1,1))</f>
        <v>415.21844537846482</v>
      </c>
      <c r="T10" s="62">
        <f t="shared" si="34"/>
        <v>491.25626166862321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3.7</v>
      </c>
      <c r="AI10" s="14">
        <f>IF('Données projet'!$A$62&gt;35,AI9+AH10-AQ9,IF(A10&lt;'Données projet'!$A$62,$AF$205^A10,IF(A10='Données projet'!$A$62,'Données projet'!$B$62,AI9+AH10-AQ9)))</f>
        <v>12.523946590098141</v>
      </c>
      <c r="AJ10" s="14">
        <f>AI10*VLOOKUP('Données projet'!$B$10,Paramètres!$A$1:$I$88,3,0)*VLOOKUP('Données projet'!$B$10,Paramètres!$A$1:$I$88,5,0)</f>
        <v>6.8380748381935854</v>
      </c>
      <c r="AK10" s="14">
        <f t="shared" si="35"/>
        <v>2.5194144408698746</v>
      </c>
      <c r="AL10" s="22">
        <f t="shared" si="4"/>
        <v>16.297627161035525</v>
      </c>
      <c r="AM10" s="62">
        <f t="shared" si="5"/>
        <v>209.43270157304795</v>
      </c>
      <c r="AN10" s="62">
        <f ca="1">AVERAGE(OFFSET($AM$3,0,0,'Données projet'!$E$10+1,1))-AVERAGE(OFFSET($H$3,0,0,'Données projet'!$E$10+1,1))</f>
        <v>243.3456100842846</v>
      </c>
      <c r="AO10" s="62">
        <f t="shared" si="36"/>
        <v>301.6462497303628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projet'!$B$11,Paramètres!$A$1:$I$88,3,0)*VLOOKUP('Données projet'!$B$11,Paramètres!$A$1:$I$88,5,0)</f>
        <v>4.2906416644942853</v>
      </c>
      <c r="BF10" s="14">
        <f t="shared" si="37"/>
        <v>1.6689707336887791</v>
      </c>
      <c r="BG10" s="22">
        <f t="shared" si="7"/>
        <v>10.379658260168837</v>
      </c>
      <c r="BH10" s="62">
        <f t="shared" si="8"/>
        <v>203.51473267218125</v>
      </c>
      <c r="BI10" s="62">
        <f ca="1">AVERAGE(OFFSET($BH$3,0,0,'Données projet'!$E$11+1,1))-AVERAGE(OFFSET($H$3,0,0,'Données projet'!$E$11+1,1))</f>
        <v>219.20272956499281</v>
      </c>
      <c r="BJ10" s="62">
        <f t="shared" si="38"/>
        <v>244.37146912604081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50.339868779033694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4.4444444444444446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16.296296296296298</v>
      </c>
      <c r="H11" s="70">
        <f t="shared" si="1"/>
        <v>191.4814814814815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10.15</v>
      </c>
      <c r="N11" s="14">
        <f>IF('Données projet'!$A$36&gt;35,N10+M11-V10,IF(A11&lt;'Données projet'!$A$36,$K$205^A11,IF(A11='Données projet'!$A$36,'Données projet'!$B$36,N10+M11-V10)))</f>
        <v>8.3752622580654101</v>
      </c>
      <c r="O11" s="14">
        <f>N11*VLOOKUP('Données projet'!$B$9,Paramètres!$A$1:$I$88,3,0)*VLOOKUP('Données projet'!$B$9,Paramètres!$A$1:$I$88,5,0)</f>
        <v>4.6817716022585643</v>
      </c>
      <c r="P11" s="14">
        <f t="shared" si="33"/>
        <v>1.802712781509018</v>
      </c>
      <c r="Q11" s="22">
        <f t="shared" si="2"/>
        <v>11.29381030172854</v>
      </c>
      <c r="R11" s="62">
        <f t="shared" si="0"/>
        <v>206.90165778775173</v>
      </c>
      <c r="S11" s="62">
        <f ca="1">AVERAGE(OFFSET($R$3,0,0,'Données projet'!$E$9+1,1))-AVERAGE(OFFSET($H$3,0,0,'Données projet'!$E$9+1,1))</f>
        <v>415.21844537846482</v>
      </c>
      <c r="T11" s="62">
        <f t="shared" si="34"/>
        <v>491.25626166862321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3.7</v>
      </c>
      <c r="AI11" s="14">
        <f>IF('Données projet'!$A$62&gt;35,AI10+AH11-AQ10,IF(A11&lt;'Données projet'!$A$62,$AF$205^A11,IF(A11='Données projet'!$A$62,'Données projet'!$B$62,AI10+AH11-AQ10)))</f>
        <v>17.970550417308225</v>
      </c>
      <c r="AJ11" s="14">
        <f>AI11*VLOOKUP('Données projet'!$B$10,Paramètres!$A$1:$I$88,3,0)*VLOOKUP('Données projet'!$B$10,Paramètres!$A$1:$I$88,5,0)</f>
        <v>9.8119205278502903</v>
      </c>
      <c r="AK11" s="14">
        <f t="shared" si="35"/>
        <v>3.4662981763628657</v>
      </c>
      <c r="AL11" s="22">
        <f t="shared" si="4"/>
        <v>23.126230909837911</v>
      </c>
      <c r="AM11" s="62">
        <f t="shared" si="5"/>
        <v>218.7340783958611</v>
      </c>
      <c r="AN11" s="62">
        <f ca="1">AVERAGE(OFFSET($AM$3,0,0,'Données projet'!$E$10+1,1))-AVERAGE(OFFSET($H$3,0,0,'Données projet'!$E$10+1,1))</f>
        <v>243.3456100842846</v>
      </c>
      <c r="AO11" s="62">
        <f t="shared" si="36"/>
        <v>301.6462497303628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projet'!$B$11,Paramètres!$A$1:$I$88,3,0)*VLOOKUP('Données projet'!$B$11,Paramètres!$A$1:$I$88,5,0)</f>
        <v>5.4584461139707896</v>
      </c>
      <c r="BF11" s="14">
        <f t="shared" si="37"/>
        <v>2.0645540509389519</v>
      </c>
      <c r="BG11" s="22">
        <f t="shared" si="7"/>
        <v>13.102558620551131</v>
      </c>
      <c r="BH11" s="62">
        <f t="shared" si="8"/>
        <v>208.71040610657431</v>
      </c>
      <c r="BI11" s="62">
        <f ca="1">AVERAGE(OFFSET($BH$3,0,0,'Données projet'!$E$11+1,1))-AVERAGE(OFFSET($H$3,0,0,'Données projet'!$E$11+1,1))</f>
        <v>219.20272956499281</v>
      </c>
      <c r="BJ11" s="62">
        <f t="shared" si="38"/>
        <v>244.37146912604081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50.680928102248757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4.4444444444444446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16.296296296296298</v>
      </c>
      <c r="H12" s="70">
        <f t="shared" si="1"/>
        <v>191.4814814814815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10.15</v>
      </c>
      <c r="N12" s="14">
        <f>IF('Données projet'!$A$36&gt;35,N11+M12-V11,IF(A12&lt;'Données projet'!$A$36,$K$205^A12,IF(A12='Données projet'!$A$36,'Données projet'!$B$36,N11+M12-V11)))</f>
        <v>10.92378684160173</v>
      </c>
      <c r="O12" s="14">
        <f>N12*VLOOKUP('Données projet'!$B$9,Paramètres!$A$1:$I$88,3,0)*VLOOKUP('Données projet'!$B$9,Paramètres!$A$1:$I$88,5,0)</f>
        <v>6.1063968444553671</v>
      </c>
      <c r="P12" s="14">
        <f t="shared" si="33"/>
        <v>2.2796685768229072</v>
      </c>
      <c r="Q12" s="22">
        <f t="shared" si="2"/>
        <v>14.605730608726327</v>
      </c>
      <c r="R12" s="62">
        <f t="shared" si="0"/>
        <v>212.66465690729464</v>
      </c>
      <c r="S12" s="62">
        <f ca="1">AVERAGE(OFFSET($R$3,0,0,'Données projet'!$E$9+1,1))-AVERAGE(OFFSET($H$3,0,0,'Données projet'!$E$9+1,1))</f>
        <v>415.21844537846482</v>
      </c>
      <c r="T12" s="62">
        <f t="shared" si="34"/>
        <v>491.25626166862321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3.7</v>
      </c>
      <c r="AI12" s="14">
        <f>IF('Données projet'!$A$62&gt;35,AI11+AH12-AQ11,IF(A12&lt;'Données projet'!$A$62,$AF$205^A12,IF(A12='Données projet'!$A$62,'Données projet'!$B$62,AI11+AH12-AQ11)))</f>
        <v>25.785855918320884</v>
      </c>
      <c r="AJ12" s="14">
        <f>AI12*VLOOKUP('Données projet'!$B$10,Paramètres!$A$1:$I$88,3,0)*VLOOKUP('Données projet'!$B$10,Paramètres!$A$1:$I$88,5,0)</f>
        <v>14.079077331403202</v>
      </c>
      <c r="AK12" s="14">
        <f t="shared" si="35"/>
        <v>4.7690538136742804</v>
      </c>
      <c r="AL12" s="22">
        <f t="shared" si="4"/>
        <v>32.827161744343279</v>
      </c>
      <c r="AM12" s="62">
        <f t="shared" si="5"/>
        <v>230.88608804291158</v>
      </c>
      <c r="AN12" s="62">
        <f ca="1">AVERAGE(OFFSET($AM$3,0,0,'Données projet'!$E$10+1,1))-AVERAGE(OFFSET($H$3,0,0,'Données projet'!$E$10+1,1))</f>
        <v>243.3456100842846</v>
      </c>
      <c r="AO12" s="62">
        <f t="shared" si="36"/>
        <v>301.6462497303628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projet'!$B$11,Paramètres!$A$1:$I$88,3,0)*VLOOKUP('Données projet'!$B$11,Paramètres!$A$1:$I$88,5,0)</f>
        <v>6.9440974821267289</v>
      </c>
      <c r="BF12" s="14">
        <f t="shared" si="37"/>
        <v>2.5538994442566798</v>
      </c>
      <c r="BG12" s="22">
        <f t="shared" si="7"/>
        <v>16.542344646784436</v>
      </c>
      <c r="BH12" s="62">
        <f t="shared" si="8"/>
        <v>214.60127094535275</v>
      </c>
      <c r="BI12" s="62">
        <f ca="1">AVERAGE(OFFSET($BH$3,0,0,'Données projet'!$E$11+1,1))-AVERAGE(OFFSET($H$3,0,0,'Données projet'!$E$11+1,1))</f>
        <v>219.20272956499281</v>
      </c>
      <c r="BJ12" s="62">
        <f t="shared" si="38"/>
        <v>244.37146912604081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51.016070808700455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4.4444444444444446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16.296296296296298</v>
      </c>
      <c r="H13" s="70">
        <f t="shared" si="1"/>
        <v>191.4814814814815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10.15</v>
      </c>
      <c r="N13" s="14">
        <f>IF('Données projet'!$A$36&gt;35,N12+M13-V12,IF(A13&lt;'Données projet'!$A$36,$K$205^A13,IF(A13='Données projet'!$A$36,'Données projet'!$B$36,N12+M13-V12)))</f>
        <v>14.247806848774999</v>
      </c>
      <c r="O13" s="14">
        <f>N13*VLOOKUP('Données projet'!$B$9,Paramètres!$A$1:$I$88,3,0)*VLOOKUP('Données projet'!$B$9,Paramètres!$A$1:$I$88,5,0)</f>
        <v>7.9645240284652248</v>
      </c>
      <c r="P13" s="14">
        <f t="shared" si="33"/>
        <v>2.882815761589907</v>
      </c>
      <c r="Q13" s="22">
        <f t="shared" si="2"/>
        <v>18.892450134346024</v>
      </c>
      <c r="R13" s="62">
        <f t="shared" si="0"/>
        <v>219.38113733092916</v>
      </c>
      <c r="S13" s="62">
        <f ca="1">AVERAGE(OFFSET($R$3,0,0,'Données projet'!$E$9+1,1))-AVERAGE(OFFSET($H$3,0,0,'Données projet'!$E$9+1,1))</f>
        <v>415.21844537846482</v>
      </c>
      <c r="T13" s="62">
        <f t="shared" si="34"/>
        <v>491.25626166862321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37</v>
      </c>
      <c r="AG13" s="13">
        <f>VLOOKUP(A13,'Données projet'!$A$61:$I$81,9,0)</f>
        <v>3.7</v>
      </c>
      <c r="AH13" s="13">
        <f t="array" ref="AH13">INDEX(AG:AG,MIN(IF(ISNUMBER(AG13:AG209),ROW(AG13:AG209),"")))</f>
        <v>3.7</v>
      </c>
      <c r="AI13" s="14">
        <f>IF('Données projet'!$A$62&gt;35,AI12+AH13-AQ12,IF(A13&lt;'Données projet'!$A$62,$AF$205^A13,IF(A13='Données projet'!$A$62,'Données projet'!$B$62,AI12+AH13-AQ12)))</f>
        <v>37</v>
      </c>
      <c r="AJ13" s="14">
        <f>AI13*VLOOKUP('Données projet'!$B$10,Paramètres!$A$1:$I$88,3,0)*VLOOKUP('Données projet'!$B$10,Paramètres!$A$1:$I$88,5,0)</f>
        <v>20.201999999999998</v>
      </c>
      <c r="AK13" s="14">
        <f t="shared" si="35"/>
        <v>6.5614304138099309</v>
      </c>
      <c r="AL13" s="22">
        <f t="shared" si="4"/>
        <v>46.612974637385626</v>
      </c>
      <c r="AM13" s="62">
        <f t="shared" si="5"/>
        <v>247.10166183396876</v>
      </c>
      <c r="AN13" s="62">
        <f ca="1">AVERAGE(OFFSET($AM$3,0,0,'Données projet'!$E$10+1,1))-AVERAGE(OFFSET($H$3,0,0,'Données projet'!$E$10+1,1))</f>
        <v>243.3456100842846</v>
      </c>
      <c r="AO13" s="62">
        <f t="shared" si="36"/>
        <v>301.6462497303628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0.33600000000000002</v>
      </c>
      <c r="AT13" s="17">
        <f>IF(ISNA(VLOOKUP(A13,'Données projet'!$A$61:$I$81,7,0)),0%,VLOOKUP(A13,'Données projet'!$A$61:$I$81,7,0))</f>
        <v>0.44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projet'!$B$11,Paramètres!$A$1:$I$88,3,0)*VLOOKUP('Données projet'!$B$11,Paramètres!$A$1:$I$88,5,0)</f>
        <v>8.8341056840076444</v>
      </c>
      <c r="BF13" s="14">
        <f t="shared" si="37"/>
        <v>3.1592306185484516</v>
      </c>
      <c r="BG13" s="22">
        <f t="shared" si="7"/>
        <v>20.888394060285197</v>
      </c>
      <c r="BH13" s="62">
        <f t="shared" si="8"/>
        <v>221.37708125686834</v>
      </c>
      <c r="BI13" s="62">
        <f ca="1">AVERAGE(OFFSET($BH$3,0,0,'Données projet'!$E$11+1,1))-AVERAGE(OFFSET($H$3,0,0,'Données projet'!$E$11+1,1))</f>
        <v>219.20272956499281</v>
      </c>
      <c r="BJ13" s="62">
        <f t="shared" si="38"/>
        <v>244.37146912604081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51.345399538462061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4.4444444444444446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16.296296296296298</v>
      </c>
      <c r="H14" s="70">
        <f t="shared" si="1"/>
        <v>191.4814814814815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10.15</v>
      </c>
      <c r="N14" s="14">
        <f>IF('Données projet'!$A$36&gt;35,N13+M14-V13,IF(A14&lt;'Données projet'!$A$36,$K$205^A14,IF(A14='Données projet'!$A$36,'Données projet'!$B$36,N13+M14-V13)))</f>
        <v>18.583299266413949</v>
      </c>
      <c r="O14" s="14">
        <f>N14*VLOOKUP('Données projet'!$B$9,Paramètres!$A$1:$I$88,3,0)*VLOOKUP('Données projet'!$B$9,Paramètres!$A$1:$I$88,5,0)</f>
        <v>10.388064289925397</v>
      </c>
      <c r="P14" s="14">
        <f t="shared" si="33"/>
        <v>3.6455416369573412</v>
      </c>
      <c r="Q14" s="22">
        <f t="shared" si="2"/>
        <v>24.441863655987433</v>
      </c>
      <c r="R14" s="62">
        <f t="shared" si="0"/>
        <v>227.33936365421238</v>
      </c>
      <c r="S14" s="62">
        <f ca="1">AVERAGE(OFFSET($R$3,0,0,'Données projet'!$E$9+1,1))-AVERAGE(OFFSET($H$3,0,0,'Données projet'!$E$9+1,1))</f>
        <v>415.21844537846482</v>
      </c>
      <c r="T14" s="62">
        <f t="shared" si="34"/>
        <v>491.25626166862321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12</v>
      </c>
      <c r="AI14" s="14">
        <f>IF('Données projet'!$A$62&gt;35,AI13+AH14-AQ13,IF(A14&lt;'Données projet'!$A$62,$AF$205^A14,IF(A14='Données projet'!$A$62,'Données projet'!$B$62,AI13+AH14-AQ13)))</f>
        <v>49</v>
      </c>
      <c r="AJ14" s="14">
        <f>AI14*VLOOKUP('Données projet'!$B$10,Paramètres!$A$1:$I$88,3,0)*VLOOKUP('Données projet'!$B$10,Paramètres!$A$1:$I$88,5,0)</f>
        <v>26.753999999999998</v>
      </c>
      <c r="AK14" s="14">
        <f t="shared" si="35"/>
        <v>8.4099369579114427</v>
      </c>
      <c r="AL14" s="22">
        <f t="shared" si="4"/>
        <v>61.243856868362421</v>
      </c>
      <c r="AM14" s="62">
        <f t="shared" si="5"/>
        <v>264.14135686658733</v>
      </c>
      <c r="AN14" s="62">
        <f ca="1">AVERAGE(OFFSET($AM$3,0,0,'Données projet'!$E$10+1,1))-AVERAGE(OFFSET($H$3,0,0,'Données projet'!$E$10+1,1))</f>
        <v>243.3456100842846</v>
      </c>
      <c r="AO14" s="62">
        <f t="shared" si="36"/>
        <v>301.6462497303628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projet'!$B$11,Paramètres!$A$1:$I$88,3,0)*VLOOKUP('Données projet'!$B$11,Paramètres!$A$1:$I$88,5,0)</f>
        <v>11.238526451721825</v>
      </c>
      <c r="BF14" s="14">
        <f t="shared" si="37"/>
        <v>3.9080387928425129</v>
      </c>
      <c r="BG14" s="22">
        <f t="shared" si="7"/>
        <v>26.380267800949554</v>
      </c>
      <c r="BH14" s="62">
        <f t="shared" si="8"/>
        <v>229.27776779917448</v>
      </c>
      <c r="BI14" s="62">
        <f ca="1">AVERAGE(OFFSET($BH$3,0,0,'Données projet'!$E$11+1,1))-AVERAGE(OFFSET($H$3,0,0,'Données projet'!$E$11+1,1))</f>
        <v>219.20272956499281</v>
      </c>
      <c r="BJ14" s="62">
        <f t="shared" si="38"/>
        <v>244.37146912604081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51.66901515103104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4.4444444444444446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16.296296296296298</v>
      </c>
      <c r="H15" s="70">
        <f t="shared" si="1"/>
        <v>191.4814814814815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10.15</v>
      </c>
      <c r="N15" s="14">
        <f>IF('Données projet'!$A$36&gt;35,N14+M15-V14,IF(A15&lt;'Données projet'!$A$36,$K$205^A15,IF(A15='Données projet'!$A$36,'Données projet'!$B$36,N14+M15-V14)))</f>
        <v>24.238046970351288</v>
      </c>
      <c r="O15" s="14">
        <f>N15*VLOOKUP('Données projet'!$B$9,Paramètres!$A$1:$I$88,3,0)*VLOOKUP('Données projet'!$B$9,Paramètres!$A$1:$I$88,5,0)</f>
        <v>13.54906825642637</v>
      </c>
      <c r="P15" s="14">
        <f t="shared" si="33"/>
        <v>4.6100670059678155</v>
      </c>
      <c r="Q15" s="22">
        <f t="shared" si="2"/>
        <v>31.62716058200321</v>
      </c>
      <c r="R15" s="62">
        <f t="shared" si="0"/>
        <v>236.91288868813609</v>
      </c>
      <c r="S15" s="62">
        <f ca="1">AVERAGE(OFFSET($R$3,0,0,'Données projet'!$E$9+1,1))-AVERAGE(OFFSET($H$3,0,0,'Données projet'!$E$9+1,1))</f>
        <v>415.21844537846482</v>
      </c>
      <c r="T15" s="62">
        <f t="shared" si="34"/>
        <v>491.25626166862321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12</v>
      </c>
      <c r="AI15" s="14">
        <f>IF('Données projet'!$A$62&gt;35,AI14+AH15-AQ14,IF(A15&lt;'Données projet'!$A$62,$AF$205^A15,IF(A15='Données projet'!$A$62,'Données projet'!$B$62,AI14+AH15-AQ14)))</f>
        <v>61</v>
      </c>
      <c r="AJ15" s="14">
        <f>AI15*VLOOKUP('Données projet'!$B$10,Paramètres!$A$1:$I$88,3,0)*VLOOKUP('Données projet'!$B$10,Paramètres!$A$1:$I$88,5,0)</f>
        <v>33.305999999999997</v>
      </c>
      <c r="AK15" s="14">
        <f t="shared" si="35"/>
        <v>10.205938010999132</v>
      </c>
      <c r="AL15" s="22">
        <f t="shared" si="4"/>
        <v>75.783292035823493</v>
      </c>
      <c r="AM15" s="62">
        <f t="shared" si="5"/>
        <v>281.0690201419564</v>
      </c>
      <c r="AN15" s="62">
        <f ca="1">AVERAGE(OFFSET($AM$3,0,0,'Données projet'!$E$10+1,1))-AVERAGE(OFFSET($H$3,0,0,'Données projet'!$E$10+1,1))</f>
        <v>243.3456100842846</v>
      </c>
      <c r="AO15" s="62">
        <f t="shared" si="36"/>
        <v>301.6462497303628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projet'!$B$11,Paramètres!$A$1:$I$88,3,0)*VLOOKUP('Données projet'!$B$11,Paramètres!$A$1:$I$88,5,0)</f>
        <v>14.297369912010421</v>
      </c>
      <c r="BF15" s="14">
        <f t="shared" si="37"/>
        <v>4.8343312187127445</v>
      </c>
      <c r="BG15" s="22">
        <f t="shared" si="7"/>
        <v>33.321046136009507</v>
      </c>
      <c r="BH15" s="62">
        <f t="shared" si="8"/>
        <v>238.60677424214239</v>
      </c>
      <c r="BI15" s="62">
        <f ca="1">AVERAGE(OFFSET($BH$3,0,0,'Données projet'!$E$11+1,1))-AVERAGE(OFFSET($H$3,0,0,'Données projet'!$E$11+1,1))</f>
        <v>219.20272956499281</v>
      </c>
      <c r="BJ15" s="62">
        <f t="shared" si="38"/>
        <v>244.37146912604081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51.987016756218068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4.4444444444444446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16.296296296296298</v>
      </c>
      <c r="H16" s="70">
        <f t="shared" si="1"/>
        <v>191.4814814814815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10.15</v>
      </c>
      <c r="N16" s="14">
        <f>IF('Données projet'!$A$36&gt;35,N15+M16-V15,IF(A16&lt;'Données projet'!$A$36,$K$205^A16,IF(A16='Données projet'!$A$36,'Données projet'!$B$36,N15+M16-V15)))</f>
        <v>31.61348867683186</v>
      </c>
      <c r="O16" s="14">
        <f>N16*VLOOKUP('Données projet'!$B$9,Paramètres!$A$1:$I$88,3,0)*VLOOKUP('Données projet'!$B$9,Paramètres!$A$1:$I$88,5,0)</f>
        <v>17.671940170349011</v>
      </c>
      <c r="P16" s="14">
        <f t="shared" si="33"/>
        <v>5.8297833123231317</v>
      </c>
      <c r="Q16" s="22">
        <f t="shared" si="2"/>
        <v>40.932168398987308</v>
      </c>
      <c r="R16" s="62">
        <f t="shared" si="0"/>
        <v>248.58589701771018</v>
      </c>
      <c r="S16" s="62">
        <f ca="1">AVERAGE(OFFSET($R$3,0,0,'Données projet'!$E$9+1,1))-AVERAGE(OFFSET($H$3,0,0,'Données projet'!$E$9+1,1))</f>
        <v>415.21844537846482</v>
      </c>
      <c r="T16" s="62">
        <f t="shared" si="34"/>
        <v>491.25626166862321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12</v>
      </c>
      <c r="AI16" s="14">
        <f>IF('Données projet'!$A$62&gt;35,AI15+AH16-AQ15,IF(A16&lt;'Données projet'!$A$62,$AF$205^A16,IF(A16='Données projet'!$A$62,'Données projet'!$B$62,AI15+AH16-AQ15)))</f>
        <v>73</v>
      </c>
      <c r="AJ16" s="14">
        <f>AI16*VLOOKUP('Données projet'!$B$10,Paramètres!$A$1:$I$88,3,0)*VLOOKUP('Données projet'!$B$10,Paramètres!$A$1:$I$88,5,0)</f>
        <v>39.858000000000004</v>
      </c>
      <c r="AK16" s="14">
        <f t="shared" si="35"/>
        <v>11.961002004555791</v>
      </c>
      <c r="AL16" s="22">
        <f t="shared" si="4"/>
        <v>90.251428491268015</v>
      </c>
      <c r="AM16" s="62">
        <f t="shared" si="5"/>
        <v>297.90515710999091</v>
      </c>
      <c r="AN16" s="62">
        <f ca="1">AVERAGE(OFFSET($AM$3,0,0,'Données projet'!$E$10+1,1))-AVERAGE(OFFSET($H$3,0,0,'Données projet'!$E$10+1,1))</f>
        <v>243.3456100842846</v>
      </c>
      <c r="AO16" s="62">
        <f t="shared" si="36"/>
        <v>301.6462497303628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projet'!$B$11,Paramètres!$A$1:$I$88,3,0)*VLOOKUP('Données projet'!$B$11,Paramètres!$A$1:$I$88,5,0)</f>
        <v>18.188753417005401</v>
      </c>
      <c r="BF16" s="14">
        <f t="shared" si="37"/>
        <v>5.9801756254374139</v>
      </c>
      <c r="BG16" s="22">
        <f t="shared" si="7"/>
        <v>42.094218082254564</v>
      </c>
      <c r="BH16" s="62">
        <f t="shared" si="8"/>
        <v>249.74794670097745</v>
      </c>
      <c r="BI16" s="62">
        <f ca="1">AVERAGE(OFFSET($BH$3,0,0,'Données projet'!$E$11+1,1))-AVERAGE(OFFSET($H$3,0,0,'Données projet'!$E$11+1,1))</f>
        <v>219.20272956499281</v>
      </c>
      <c r="BJ16" s="62">
        <f t="shared" si="38"/>
        <v>244.37146912604081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52.299501744500176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4.4444444444444446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16.296296296296298</v>
      </c>
      <c r="H17" s="70">
        <f t="shared" si="1"/>
        <v>191.4814814814815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10.15</v>
      </c>
      <c r="N17" s="14">
        <f>IF('Données projet'!$A$36&gt;35,N16+M17-V16,IF(A17&lt;'Données projet'!$A$36,$K$205^A17,IF(A17='Données projet'!$A$36,'Données projet'!$B$36,N16+M17-V16)))</f>
        <v>41.233217657457637</v>
      </c>
      <c r="O17" s="14">
        <f>N17*VLOOKUP('Données projet'!$B$9,Paramètres!$A$1:$I$88,3,0)*VLOOKUP('Données projet'!$B$9,Paramètres!$A$1:$I$88,5,0)</f>
        <v>23.04936867051882</v>
      </c>
      <c r="P17" s="14">
        <f t="shared" si="33"/>
        <v>7.3722081316053112</v>
      </c>
      <c r="Q17" s="22">
        <f t="shared" si="2"/>
        <v>52.984246263699525</v>
      </c>
      <c r="R17" s="62">
        <f t="shared" si="0"/>
        <v>262.986098703251</v>
      </c>
      <c r="S17" s="62">
        <f ca="1">AVERAGE(OFFSET($R$3,0,0,'Données projet'!$E$9+1,1))-AVERAGE(OFFSET($H$3,0,0,'Données projet'!$E$9+1,1))</f>
        <v>415.21844537846482</v>
      </c>
      <c r="T17" s="62">
        <f t="shared" si="34"/>
        <v>491.25626166862321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12</v>
      </c>
      <c r="AI17" s="14">
        <f>IF('Données projet'!$A$62&gt;35,AI16+AH17-AQ16,IF(A17&lt;'Données projet'!$A$62,$AF$205^A17,IF(A17='Données projet'!$A$62,'Données projet'!$B$62,AI16+AH17-AQ16)))</f>
        <v>85</v>
      </c>
      <c r="AJ17" s="14">
        <f>AI17*VLOOKUP('Données projet'!$B$10,Paramètres!$A$1:$I$88,3,0)*VLOOKUP('Données projet'!$B$10,Paramètres!$A$1:$I$88,5,0)</f>
        <v>46.41</v>
      </c>
      <c r="AK17" s="14">
        <f t="shared" si="35"/>
        <v>13.682644606433925</v>
      </c>
      <c r="AL17" s="22">
        <f t="shared" si="4"/>
        <v>104.66135602287243</v>
      </c>
      <c r="AM17" s="62">
        <f t="shared" si="5"/>
        <v>314.66320846242394</v>
      </c>
      <c r="AN17" s="62">
        <f ca="1">AVERAGE(OFFSET($AM$3,0,0,'Données projet'!$E$10+1,1))-AVERAGE(OFFSET($H$3,0,0,'Données projet'!$E$10+1,1))</f>
        <v>243.3456100842846</v>
      </c>
      <c r="AO17" s="62">
        <f t="shared" si="36"/>
        <v>301.6462497303628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projet'!$B$11,Paramètres!$A$1:$I$88,3,0)*VLOOKUP('Données projet'!$B$11,Paramètres!$A$1:$I$88,5,0)</f>
        <v>23.13927336990233</v>
      </c>
      <c r="BF17" s="14">
        <f t="shared" si="37"/>
        <v>7.3976107331343286</v>
      </c>
      <c r="BG17" s="22">
        <f t="shared" si="7"/>
        <v>53.185073146122171</v>
      </c>
      <c r="BH17" s="62">
        <f t="shared" si="8"/>
        <v>263.18692558567369</v>
      </c>
      <c r="BI17" s="62">
        <f ca="1">AVERAGE(OFFSET($BH$3,0,0,'Données projet'!$E$11+1,1))-AVERAGE(OFFSET($H$3,0,0,'Données projet'!$E$11+1,1))</f>
        <v>219.20272956499281</v>
      </c>
      <c r="BJ17" s="62">
        <f t="shared" si="38"/>
        <v>244.37146912604081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52.606565816847379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4.4444444444444446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16.296296296296298</v>
      </c>
      <c r="H18" s="70">
        <f t="shared" si="1"/>
        <v>191.4814814814815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10.15</v>
      </c>
      <c r="N18" s="14">
        <f>IF('Données projet'!$A$36&gt;35,N17+M18-V17,IF(A18&lt;'Données projet'!$A$36,$K$205^A18,IF(A18='Données projet'!$A$36,'Données projet'!$B$36,N17+M18-V17)))</f>
        <v>53.780152382652489</v>
      </c>
      <c r="O18" s="14">
        <f>N18*VLOOKUP('Données projet'!$B$9,Paramètres!$A$1:$I$88,3,0)*VLOOKUP('Données projet'!$B$9,Paramètres!$A$1:$I$88,5,0)</f>
        <v>30.063105181902742</v>
      </c>
      <c r="P18" s="14">
        <f t="shared" si="33"/>
        <v>9.3227226166060575</v>
      </c>
      <c r="Q18" s="22">
        <f t="shared" si="2"/>
        <v>68.596983415736148</v>
      </c>
      <c r="R18" s="62">
        <f t="shared" si="0"/>
        <v>280.9274278005193</v>
      </c>
      <c r="S18" s="62">
        <f ca="1">AVERAGE(OFFSET($R$3,0,0,'Données projet'!$E$9+1,1))-AVERAGE(OFFSET($H$3,0,0,'Données projet'!$E$9+1,1))</f>
        <v>415.21844537846482</v>
      </c>
      <c r="T18" s="62">
        <f t="shared" si="34"/>
        <v>491.25626166862321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97</v>
      </c>
      <c r="AG18" s="13">
        <f>VLOOKUP(A18,'Données projet'!$A$61:$I$81,9,0)</f>
        <v>12</v>
      </c>
      <c r="AH18" s="13">
        <f t="array" ref="AH18">INDEX(AG:AG,MIN(IF(ISNUMBER(AG18:AG214),ROW(AG18:AG214),"")))</f>
        <v>12</v>
      </c>
      <c r="AI18" s="14">
        <f>IF('Données projet'!$A$62&gt;35,AI17+AH18-AQ17,IF(A18&lt;'Données projet'!$A$62,$AF$205^A18,IF(A18='Données projet'!$A$62,'Données projet'!$B$62,AI17+AH18-AQ17)))</f>
        <v>97</v>
      </c>
      <c r="AJ18" s="14">
        <f>AI18*VLOOKUP('Données projet'!$B$10,Paramètres!$A$1:$I$88,3,0)*VLOOKUP('Données projet'!$B$10,Paramètres!$A$1:$I$88,5,0)</f>
        <v>52.962000000000003</v>
      </c>
      <c r="AK18" s="14">
        <f t="shared" si="35"/>
        <v>15.376128095486882</v>
      </c>
      <c r="AL18" s="22">
        <f t="shared" si="4"/>
        <v>119.0222397663063</v>
      </c>
      <c r="AM18" s="62">
        <f t="shared" si="5"/>
        <v>331.35268415108942</v>
      </c>
      <c r="AN18" s="62">
        <f ca="1">AVERAGE(OFFSET($AM$3,0,0,'Données projet'!$E$10+1,1))-AVERAGE(OFFSET($H$3,0,0,'Données projet'!$E$10+1,1))</f>
        <v>243.3456100842846</v>
      </c>
      <c r="AO18" s="62">
        <f t="shared" si="36"/>
        <v>301.6462497303628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23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0.33600000000000002</v>
      </c>
      <c r="AT18" s="17">
        <f>IF(ISNA(VLOOKUP(A18,'Données projet'!$A$61:$I$81,7,0)),0%,VLOOKUP(A18,'Données projet'!$A$61:$I$81,7,0))</f>
        <v>0.44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5.5753836146010256</v>
      </c>
      <c r="AW18" s="23">
        <f>EXP(-LN(2)/2)*AW17+(1-EXP(-LN(2)/2))/(LN(2)/2)*AQ18*AT18*VLOOKUP('Données projet'!$B$10,Paramètres!$A$1:$I$88,3,0)*0.475*44/12</f>
        <v>6.2561722046284372</v>
      </c>
      <c r="AX18" s="23">
        <f t="shared" si="6"/>
        <v>11.831555819229463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projet'!$B$11,Paramètres!$A$1:$I$88,3,0)*VLOOKUP('Données projet'!$B$11,Paramètres!$A$1:$I$88,5,0)</f>
        <v>29.437200000000004</v>
      </c>
      <c r="BF18" s="14">
        <f t="shared" si="37"/>
        <v>9.1510096001539196</v>
      </c>
      <c r="BG18" s="22">
        <f t="shared" si="7"/>
        <v>67.207798386934755</v>
      </c>
      <c r="BH18" s="62">
        <f t="shared" si="8"/>
        <v>279.53824277171788</v>
      </c>
      <c r="BI18" s="62">
        <f ca="1">AVERAGE(OFFSET($BH$3,0,0,'Données projet'!$E$11+1,1))-AVERAGE(OFFSET($H$3,0,0,'Données projet'!$E$11+1,1))</f>
        <v>219.20272956499281</v>
      </c>
      <c r="BJ18" s="62">
        <f t="shared" si="38"/>
        <v>244.37146912604081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9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52.908303014031766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4.4444444444444446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16.296296296296298</v>
      </c>
      <c r="H19" s="70">
        <f t="shared" si="1"/>
        <v>191.4814814814815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10.15</v>
      </c>
      <c r="N19" s="14">
        <f>IF('Données projet'!$A$36&gt;35,N18+M19-V18,IF(A19&lt;'Données projet'!$A$36,$K$205^A19,IF(A19='Données projet'!$A$36,'Données projet'!$B$36,N18+M19-V18)))</f>
        <v>70.145017891374906</v>
      </c>
      <c r="O19" s="14">
        <f>N19*VLOOKUP('Données projet'!$B$9,Paramètres!$A$1:$I$88,3,0)*VLOOKUP('Données projet'!$B$9,Paramètres!$A$1:$I$88,5,0)</f>
        <v>39.211065001278577</v>
      </c>
      <c r="P19" s="14">
        <f t="shared" si="33"/>
        <v>11.789297783600777</v>
      </c>
      <c r="Q19" s="22">
        <f t="shared" si="2"/>
        <v>88.825631850331547</v>
      </c>
      <c r="R19" s="62">
        <f t="shared" si="0"/>
        <v>303.46547513912424</v>
      </c>
      <c r="S19" s="62">
        <f ca="1">AVERAGE(OFFSET($R$3,0,0,'Données projet'!$E$9+1,1))-AVERAGE(OFFSET($H$3,0,0,'Données projet'!$E$9+1,1))</f>
        <v>415.21844537846482</v>
      </c>
      <c r="T19" s="62">
        <f t="shared" si="34"/>
        <v>491.25626166862321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13.2</v>
      </c>
      <c r="AI19" s="14">
        <f>IF('Données projet'!$A$62&gt;35,AI18+AH19-AQ18,IF(A19&lt;'Données projet'!$A$62,$AF$205^A19,IF(A19='Données projet'!$A$62,'Données projet'!$B$62,AI18+AH19-AQ18)))</f>
        <v>87.2</v>
      </c>
      <c r="AJ19" s="14">
        <f>AI19*VLOOKUP('Données projet'!$B$10,Paramètres!$A$1:$I$88,3,0)*VLOOKUP('Données projet'!$B$10,Paramètres!$A$1:$I$88,5,0)</f>
        <v>47.611200000000004</v>
      </c>
      <c r="AK19" s="14">
        <f t="shared" si="35"/>
        <v>13.995094974431229</v>
      </c>
      <c r="AL19" s="22">
        <f t="shared" si="4"/>
        <v>107.29763041380107</v>
      </c>
      <c r="AM19" s="62">
        <f t="shared" si="5"/>
        <v>321.93747370259382</v>
      </c>
      <c r="AN19" s="62">
        <f ca="1">AVERAGE(OFFSET($AM$3,0,0,'Données projet'!$E$10+1,1))-AVERAGE(OFFSET($H$3,0,0,'Données projet'!$E$10+1,1))</f>
        <v>243.3456100842846</v>
      </c>
      <c r="AO19" s="62">
        <f t="shared" si="36"/>
        <v>301.6462497303628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5.422924456463079</v>
      </c>
      <c r="AW19" s="23">
        <f>EXP(-LN(2)/2)*AW18+(1-EXP(-LN(2)/2))/(LN(2)/2)*AQ19*AT19*VLOOKUP('Données projet'!$B$10,Paramètres!$A$1:$I$88,3,0)*0.475*44/12</f>
        <v>4.4237817901635612</v>
      </c>
      <c r="AX19" s="23">
        <f t="shared" si="6"/>
        <v>9.8467062466266402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</v>
      </c>
      <c r="BD19" s="13">
        <f>IF('Données projet'!$A$88&gt;35,BD18+BC19-BL18,IF(A19&lt;'Données projet'!$A$88,$BA$205^A19,IF(A19='Données projet'!$A$88,'Données projet'!$B$88,BD18+BC19-BL18)))</f>
        <v>34.200000000000003</v>
      </c>
      <c r="BE19" s="14">
        <f>BD19*VLOOKUP('Données projet'!$B$11,Paramètres!$A$1:$I$88,3,0)*VLOOKUP('Données projet'!$B$11,Paramètres!$A$1:$I$88,5,0)</f>
        <v>27.209520000000001</v>
      </c>
      <c r="BF19" s="14">
        <f t="shared" si="37"/>
        <v>8.5363346988730786</v>
      </c>
      <c r="BG19" s="22">
        <f t="shared" si="7"/>
        <v>62.257363600537282</v>
      </c>
      <c r="BH19" s="62">
        <f t="shared" si="8"/>
        <v>276.89720688932999</v>
      </c>
      <c r="BI19" s="62">
        <f ca="1">AVERAGE(OFFSET($BH$3,0,0,'Données projet'!$E$11+1,1))-AVERAGE(OFFSET($H$3,0,0,'Données projet'!$E$11+1,1))</f>
        <v>219.20272956499281</v>
      </c>
      <c r="BJ19" s="62">
        <f t="shared" si="38"/>
        <v>244.37146912604081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53.204805745428317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4.4444444444444446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16.296296296296298</v>
      </c>
      <c r="H20" s="70">
        <f t="shared" si="1"/>
        <v>191.4814814814815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10.15</v>
      </c>
      <c r="N20" s="14">
        <f>IF('Données projet'!$A$36&gt;35,N19+M20-V19,IF(A20&lt;'Données projet'!$A$36,$K$205^A20,IF(A20='Données projet'!$A$36,'Données projet'!$B$36,N19+M20-V19)))</f>
        <v>91.48957964961852</v>
      </c>
      <c r="O20" s="14">
        <f>N20*VLOOKUP('Données projet'!$B$9,Paramètres!$A$1:$I$88,3,0)*VLOOKUP('Données projet'!$B$9,Paramètres!$A$1:$I$88,5,0)</f>
        <v>51.14267502413675</v>
      </c>
      <c r="P20" s="14">
        <f t="shared" si="33"/>
        <v>14.908471263839084</v>
      </c>
      <c r="Q20" s="22">
        <f t="shared" si="2"/>
        <v>115.03907978489126</v>
      </c>
      <c r="R20" s="62">
        <f t="shared" si="0"/>
        <v>331.9694618928275</v>
      </c>
      <c r="S20" s="62">
        <f ca="1">AVERAGE(OFFSET($R$3,0,0,'Données projet'!$E$9+1,1))-AVERAGE(OFFSET($H$3,0,0,'Données projet'!$E$9+1,1))</f>
        <v>415.21844537846482</v>
      </c>
      <c r="T20" s="62">
        <f t="shared" si="34"/>
        <v>491.25626166862321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13.2</v>
      </c>
      <c r="AI20" s="14">
        <f>IF('Données projet'!$A$62&gt;35,AI19+AH20-AQ19,IF(A20&lt;'Données projet'!$A$62,$AF$205^A20,IF(A20='Données projet'!$A$62,'Données projet'!$B$62,AI19+AH20-AQ19)))</f>
        <v>100.4</v>
      </c>
      <c r="AJ20" s="14">
        <f>AI20*VLOOKUP('Données projet'!$B$10,Paramètres!$A$1:$I$88,3,0)*VLOOKUP('Données projet'!$B$10,Paramètres!$A$1:$I$88,5,0)</f>
        <v>54.818400000000004</v>
      </c>
      <c r="AK20" s="14">
        <f t="shared" si="35"/>
        <v>15.851391508314059</v>
      </c>
      <c r="AL20" s="22">
        <f t="shared" si="4"/>
        <v>123.08322021031366</v>
      </c>
      <c r="AM20" s="62">
        <f t="shared" si="5"/>
        <v>340.01360231824992</v>
      </c>
      <c r="AN20" s="62">
        <f ca="1">AVERAGE(OFFSET($AM$3,0,0,'Données projet'!$E$10+1,1))-AVERAGE(OFFSET($H$3,0,0,'Données projet'!$E$10+1,1))</f>
        <v>243.3456100842846</v>
      </c>
      <c r="AO20" s="62">
        <f t="shared" si="36"/>
        <v>301.6462497303628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5.2746343020218935</v>
      </c>
      <c r="AW20" s="23">
        <f>EXP(-LN(2)/2)*AW19+(1-EXP(-LN(2)/2))/(LN(2)/2)*AQ20*AT20*VLOOKUP('Données projet'!$B$10,Paramètres!$A$1:$I$88,3,0)*0.475*44/12</f>
        <v>3.128086102314219</v>
      </c>
      <c r="AX20" s="23">
        <f t="shared" si="6"/>
        <v>8.4027204043361117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</v>
      </c>
      <c r="BD20" s="13">
        <f>IF('Données projet'!$A$88&gt;35,BD19+BC20-BL19,IF(A20&lt;'Données projet'!$A$88,$BA$205^A20,IF(A20='Données projet'!$A$88,'Données projet'!$B$88,BD19+BC20-BL19)))</f>
        <v>40.400000000000006</v>
      </c>
      <c r="BE20" s="14">
        <f>BD20*VLOOKUP('Données projet'!$B$11,Paramètres!$A$1:$I$88,3,0)*VLOOKUP('Données projet'!$B$11,Paramètres!$A$1:$I$88,5,0)</f>
        <v>32.142240000000008</v>
      </c>
      <c r="BF20" s="14">
        <f t="shared" si="37"/>
        <v>9.8901878797910232</v>
      </c>
      <c r="BG20" s="22">
        <f t="shared" si="7"/>
        <v>73.206478557302702</v>
      </c>
      <c r="BH20" s="62">
        <f t="shared" si="8"/>
        <v>290.13686066523894</v>
      </c>
      <c r="BI20" s="62">
        <f ca="1">AVERAGE(OFFSET($BH$3,0,0,'Données projet'!$E$11+1,1))-AVERAGE(OFFSET($H$3,0,0,'Données projet'!$E$11+1,1))</f>
        <v>219.20272956499281</v>
      </c>
      <c r="BJ20" s="62">
        <f t="shared" si="38"/>
        <v>244.37146912604081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53.49616481731595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4.4444444444444446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16.296296296296298</v>
      </c>
      <c r="H21" s="70">
        <f t="shared" si="1"/>
        <v>191.4814814814815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10.15</v>
      </c>
      <c r="N21" s="14">
        <f>IF('Données projet'!$A$36&gt;35,N20+M21-V20,IF(A21&lt;'Données projet'!$A$36,$K$205^A21,IF(A21='Données projet'!$A$36,'Données projet'!$B$36,N20+M21-V20)))</f>
        <v>119.32911896075112</v>
      </c>
      <c r="O21" s="14">
        <f>N21*VLOOKUP('Données projet'!$B$9,Paramètres!$A$1:$I$88,3,0)*VLOOKUP('Données projet'!$B$9,Paramètres!$A$1:$I$88,5,0)</f>
        <v>66.704977499059879</v>
      </c>
      <c r="P21" s="14">
        <f t="shared" si="33"/>
        <v>18.852905364209981</v>
      </c>
      <c r="Q21" s="22">
        <f t="shared" si="2"/>
        <v>149.01331265352835</v>
      </c>
      <c r="R21" s="62">
        <f t="shared" si="0"/>
        <v>368.21570067604966</v>
      </c>
      <c r="S21" s="62">
        <f ca="1">AVERAGE(OFFSET($R$3,0,0,'Données projet'!$E$9+1,1))-AVERAGE(OFFSET($H$3,0,0,'Données projet'!$E$9+1,1))</f>
        <v>415.21844537846482</v>
      </c>
      <c r="T21" s="62">
        <f t="shared" si="34"/>
        <v>491.25626166862321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13.2</v>
      </c>
      <c r="AI21" s="14">
        <f>IF('Données projet'!$A$62&gt;35,AI20+AH21-AQ20,IF(A21&lt;'Données projet'!$A$62,$AF$205^A21,IF(A21='Données projet'!$A$62,'Données projet'!$B$62,AI20+AH21-AQ20)))</f>
        <v>113.60000000000001</v>
      </c>
      <c r="AJ21" s="14">
        <f>AI21*VLOOKUP('Données projet'!$B$10,Paramètres!$A$1:$I$88,3,0)*VLOOKUP('Données projet'!$B$10,Paramètres!$A$1:$I$88,5,0)</f>
        <v>62.025600000000004</v>
      </c>
      <c r="AK21" s="14">
        <f t="shared" si="35"/>
        <v>17.679410406677206</v>
      </c>
      <c r="AL21" s="22">
        <f t="shared" si="4"/>
        <v>138.81955979162947</v>
      </c>
      <c r="AM21" s="62">
        <f t="shared" si="5"/>
        <v>358.02194781415074</v>
      </c>
      <c r="AN21" s="62">
        <f ca="1">AVERAGE(OFFSET($AM$3,0,0,'Données projet'!$E$10+1,1))-AVERAGE(OFFSET($H$3,0,0,'Données projet'!$E$10+1,1))</f>
        <v>243.3456100842846</v>
      </c>
      <c r="AO21" s="62">
        <f t="shared" si="36"/>
        <v>301.6462497303628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5.1303991496521419</v>
      </c>
      <c r="AW21" s="23">
        <f>EXP(-LN(2)/2)*AW20+(1-EXP(-LN(2)/2))/(LN(2)/2)*AQ21*AT21*VLOOKUP('Données projet'!$B$10,Paramètres!$A$1:$I$88,3,0)*0.475*44/12</f>
        <v>2.211890895081781</v>
      </c>
      <c r="AX21" s="23">
        <f t="shared" si="6"/>
        <v>7.3422900447339234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6.2</v>
      </c>
      <c r="BD21" s="13">
        <f>IF('Données projet'!$A$88&gt;35,BD20+BC21-BL20,IF(A21&lt;'Données projet'!$A$88,$BA$205^A21,IF(A21='Données projet'!$A$88,'Données projet'!$B$88,BD20+BC21-BL20)))</f>
        <v>46.600000000000009</v>
      </c>
      <c r="BE21" s="14">
        <f>BD21*VLOOKUP('Données projet'!$B$11,Paramètres!$A$1:$I$88,3,0)*VLOOKUP('Données projet'!$B$11,Paramètres!$A$1:$I$88,5,0)</f>
        <v>37.074960000000011</v>
      </c>
      <c r="BF21" s="14">
        <f t="shared" si="37"/>
        <v>11.219971753147917</v>
      </c>
      <c r="BG21" s="22">
        <f t="shared" si="7"/>
        <v>84.113672803399311</v>
      </c>
      <c r="BH21" s="62">
        <f t="shared" si="8"/>
        <v>303.3160608259206</v>
      </c>
      <c r="BI21" s="62">
        <f ca="1">AVERAGE(OFFSET($BH$3,0,0,'Données projet'!$E$11+1,1))-AVERAGE(OFFSET($H$3,0,0,'Données projet'!$E$11+1,1))</f>
        <v>219.20272956499281</v>
      </c>
      <c r="BJ21" s="62">
        <f t="shared" si="38"/>
        <v>244.37146912604081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53.782469460687622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4.4444444444444446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16.296296296296298</v>
      </c>
      <c r="H22" s="70">
        <f t="shared" si="1"/>
        <v>191.4814814814815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10.15</v>
      </c>
      <c r="N22" s="14">
        <f>IF('Données projet'!$A$36&gt;35,N21+M22-V21,IF(A22&lt;'Données projet'!$A$36,$K$205^A22,IF(A22='Données projet'!$A$36,'Données projet'!$B$36,N21+M22-V21)))</f>
        <v>155.64000497633137</v>
      </c>
      <c r="O22" s="14">
        <f>N22*VLOOKUP('Données projet'!$B$9,Paramètres!$A$1:$I$88,3,0)*VLOOKUP('Données projet'!$B$9,Paramètres!$A$1:$I$88,5,0)</f>
        <v>87.002762781769235</v>
      </c>
      <c r="P22" s="14">
        <f t="shared" si="33"/>
        <v>23.840944814641574</v>
      </c>
      <c r="Q22" s="22">
        <f t="shared" si="2"/>
        <v>193.05279073041547</v>
      </c>
      <c r="R22" s="62">
        <f t="shared" si="0"/>
        <v>414.50897326742404</v>
      </c>
      <c r="S22" s="62">
        <f ca="1">AVERAGE(OFFSET($R$3,0,0,'Données projet'!$E$9+1,1))-AVERAGE(OFFSET($H$3,0,0,'Données projet'!$E$9+1,1))</f>
        <v>415.21844537846482</v>
      </c>
      <c r="T22" s="62">
        <f t="shared" si="34"/>
        <v>491.25626166862321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13.2</v>
      </c>
      <c r="AI22" s="14">
        <f>IF('Données projet'!$A$62&gt;35,AI21+AH22-AQ21,IF(A22&lt;'Données projet'!$A$62,$AF$205^A22,IF(A22='Données projet'!$A$62,'Données projet'!$B$62,AI21+AH22-AQ21)))</f>
        <v>126.80000000000001</v>
      </c>
      <c r="AJ22" s="14">
        <f>AI22*VLOOKUP('Données projet'!$B$10,Paramètres!$A$1:$I$88,3,0)*VLOOKUP('Données projet'!$B$10,Paramètres!$A$1:$I$88,5,0)</f>
        <v>69.232799999999997</v>
      </c>
      <c r="AK22" s="14">
        <f t="shared" si="35"/>
        <v>19.482812744132794</v>
      </c>
      <c r="AL22" s="22">
        <f t="shared" si="4"/>
        <v>154.51302552936457</v>
      </c>
      <c r="AM22" s="62">
        <f t="shared" si="5"/>
        <v>375.96920806637314</v>
      </c>
      <c r="AN22" s="62">
        <f ca="1">AVERAGE(OFFSET($AM$3,0,0,'Données projet'!$E$10+1,1))-AVERAGE(OFFSET($H$3,0,0,'Données projet'!$E$10+1,1))</f>
        <v>243.3456100842846</v>
      </c>
      <c r="AO22" s="62">
        <f t="shared" si="36"/>
        <v>301.6462497303628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4.9901081151089386</v>
      </c>
      <c r="AW22" s="23">
        <f>EXP(-LN(2)/2)*AW21+(1-EXP(-LN(2)/2))/(LN(2)/2)*AQ22*AT22*VLOOKUP('Données projet'!$B$10,Paramètres!$A$1:$I$88,3,0)*0.475*44/12</f>
        <v>1.5640430511571097</v>
      </c>
      <c r="AX22" s="23">
        <f t="shared" si="6"/>
        <v>6.5541511662660481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6.2</v>
      </c>
      <c r="BD22" s="13">
        <f>IF('Données projet'!$A$88&gt;35,BD21+BC22-BL21,IF(A22&lt;'Données projet'!$A$88,$BA$205^A22,IF(A22='Données projet'!$A$88,'Données projet'!$B$88,BD21+BC22-BL21)))</f>
        <v>52.800000000000011</v>
      </c>
      <c r="BE22" s="14">
        <f>BD22*VLOOKUP('Données projet'!$B$11,Paramètres!$A$1:$I$88,3,0)*VLOOKUP('Données projet'!$B$11,Paramètres!$A$1:$I$88,5,0)</f>
        <v>42.007680000000015</v>
      </c>
      <c r="BF22" s="14">
        <f t="shared" si="37"/>
        <v>12.529256537066756</v>
      </c>
      <c r="BG22" s="22">
        <f t="shared" si="7"/>
        <v>94.985164468724633</v>
      </c>
      <c r="BH22" s="62">
        <f t="shared" si="8"/>
        <v>316.44134700573318</v>
      </c>
      <c r="BI22" s="62">
        <f ca="1">AVERAGE(OFFSET($BH$3,0,0,'Données projet'!$E$11+1,1))-AVERAGE(OFFSET($H$3,0,0,'Données projet'!$E$11+1,1))</f>
        <v>219.20272956499281</v>
      </c>
      <c r="BJ22" s="62">
        <f t="shared" si="38"/>
        <v>244.37146912604081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54.063807358578096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4.4444444444444446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16.296296296296298</v>
      </c>
      <c r="H23" s="70">
        <f t="shared" si="1"/>
        <v>191.4814814814815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203</v>
      </c>
      <c r="L23" s="13">
        <f>VLOOKUP(A23,'Données projet'!$A$35:$I$55,9,0)</f>
        <v>10.15</v>
      </c>
      <c r="M23" s="13">
        <f t="array" ref="M23">INDEX(L:L,MIN(IF(ISNUMBER(L23:L219),ROW(L23:L219),"")))</f>
        <v>10.15</v>
      </c>
      <c r="N23" s="14">
        <f>IF('Données projet'!$A$36&gt;35,N22+M23-V22,IF(A23&lt;'Données projet'!$A$36,$K$205^A23,IF(A23='Données projet'!$A$36,'Données projet'!$B$36,N22+M23-V22)))</f>
        <v>203</v>
      </c>
      <c r="O23" s="14">
        <f>N23*VLOOKUP('Données projet'!$B$9,Paramètres!$A$1:$I$88,3,0)*VLOOKUP('Données projet'!$B$9,Paramètres!$A$1:$I$88,5,0)</f>
        <v>113.47699999999999</v>
      </c>
      <c r="P23" s="14">
        <f t="shared" si="33"/>
        <v>30.148703272749046</v>
      </c>
      <c r="Q23" s="22">
        <f t="shared" si="2"/>
        <v>250.14809986670457</v>
      </c>
      <c r="R23" s="62">
        <f t="shared" si="0"/>
        <v>473.84018144517972</v>
      </c>
      <c r="S23" s="62">
        <f ca="1">AVERAGE(OFFSET($R$3,0,0,'Données projet'!$E$9+1,1))-AVERAGE(OFFSET($H$3,0,0,'Données projet'!$E$9+1,1))</f>
        <v>415.21844537846482</v>
      </c>
      <c r="T23" s="62">
        <f t="shared" si="34"/>
        <v>491.25626166862321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25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0.30800000000000005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5.6874492100290821</v>
      </c>
      <c r="AB23" s="23">
        <f>EXP(-LN(2)/2)*AB22+(1-EXP(-LN(2)/2))/(LN(2)/2)*V23*Y23*VLOOKUP('Données projet'!$B$9,Paramètres!$A$1:$I$88,3,0)*0.475*44/12</f>
        <v>6.9620963974902379</v>
      </c>
      <c r="AC23" s="24">
        <f t="shared" si="3"/>
        <v>12.64954560751932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140</v>
      </c>
      <c r="AG23" s="13">
        <f>VLOOKUP(A23,'Données projet'!$A$61:$I$81,9,0)</f>
        <v>13.2</v>
      </c>
      <c r="AH23" s="13">
        <f t="array" ref="AH23">INDEX(AG:AG,MIN(IF(ISNUMBER(AG23:AG219),ROW(AG23:AG219),"")))</f>
        <v>13.2</v>
      </c>
      <c r="AI23" s="14">
        <f>IF('Données projet'!$A$62&gt;35,AI22+AH23-AQ22,IF(A23&lt;'Données projet'!$A$62,$AF$205^A23,IF(A23='Données projet'!$A$62,'Données projet'!$B$62,AI22+AH23-AQ22)))</f>
        <v>140</v>
      </c>
      <c r="AJ23" s="14">
        <f>AI23*VLOOKUP('Données projet'!$B$10,Paramètres!$A$1:$I$88,3,0)*VLOOKUP('Données projet'!$B$10,Paramètres!$A$1:$I$88,5,0)</f>
        <v>76.44</v>
      </c>
      <c r="AK23" s="14">
        <f t="shared" si="35"/>
        <v>21.264453036605779</v>
      </c>
      <c r="AL23" s="22">
        <f t="shared" si="4"/>
        <v>170.16858903875504</v>
      </c>
      <c r="AM23" s="62">
        <f t="shared" si="5"/>
        <v>393.8606706172302</v>
      </c>
      <c r="AN23" s="62">
        <f ca="1">AVERAGE(OFFSET($AM$3,0,0,'Données projet'!$E$10+1,1))-AVERAGE(OFFSET($H$3,0,0,'Données projet'!$E$10+1,1))</f>
        <v>243.3456100842846</v>
      </c>
      <c r="AO23" s="62">
        <f t="shared" si="36"/>
        <v>301.6462497303628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31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0.33600000000000002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12.368300826832112</v>
      </c>
      <c r="AW23" s="23">
        <f>EXP(-LN(2)/2)*AW22+(1-EXP(-LN(2)/2))/(LN(2)/2)*AQ23*AT23*VLOOKUP('Données projet'!$B$10,Paramètres!$A$1:$I$88,3,0)*0.475*44/12</f>
        <v>9.5381775494313921</v>
      </c>
      <c r="AX23" s="23">
        <f t="shared" si="6"/>
        <v>21.906478376263504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59</v>
      </c>
      <c r="BB23" s="13">
        <f>VLOOKUP(A23,'Données projet'!$A$87:$I$107,9,0)</f>
        <v>6.2</v>
      </c>
      <c r="BC23" s="13">
        <f t="array" ref="BC23">INDEX(BB:BB,MIN(IF(ISNUMBER(BB23:BB219),ROW(BB23:BB219),"")))</f>
        <v>6.2</v>
      </c>
      <c r="BD23" s="13">
        <f>IF('Données projet'!$A$88&gt;35,BD22+BC23-BL22,IF(A23&lt;'Données projet'!$A$88,$BA$205^A23,IF(A23='Données projet'!$A$88,'Données projet'!$B$88,BD22+BC23-BL22)))</f>
        <v>59.000000000000014</v>
      </c>
      <c r="BE23" s="14">
        <f>BD23*VLOOKUP('Données projet'!$B$11,Paramètres!$A$1:$I$88,3,0)*VLOOKUP('Données projet'!$B$11,Paramètres!$A$1:$I$88,5,0)</f>
        <v>46.940400000000011</v>
      </c>
      <c r="BF23" s="14">
        <f t="shared" si="37"/>
        <v>13.82072434588865</v>
      </c>
      <c r="BG23" s="22">
        <f t="shared" si="7"/>
        <v>105.82562490242276</v>
      </c>
      <c r="BH23" s="62">
        <f t="shared" si="8"/>
        <v>329.51770648089791</v>
      </c>
      <c r="BI23" s="62">
        <f ca="1">AVERAGE(OFFSET($BH$3,0,0,'Données projet'!$E$11+1,1))-AVERAGE(OFFSET($H$3,0,0,'Données projet'!$E$11+1,1))</f>
        <v>219.20272956499281</v>
      </c>
      <c r="BJ23" s="62">
        <f t="shared" si="38"/>
        <v>244.37146912604081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11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54.340264672917478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4.4444444444444446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16.296296296296298</v>
      </c>
      <c r="H24" s="70">
        <f t="shared" si="1"/>
        <v>191.4814814814815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22</v>
      </c>
      <c r="N24" s="14">
        <f>IF('Données projet'!$A$36&gt;35,N23+M24-V23,IF(A24&lt;'Données projet'!$A$36,$K$205^A24,IF(A24='Données projet'!$A$36,'Données projet'!$B$36,N23+M24-V23)))</f>
        <v>200</v>
      </c>
      <c r="O24" s="14">
        <f>N24*VLOOKUP('Données projet'!$B$9,Paramètres!$A$1:$I$88,3,0)*VLOOKUP('Données projet'!$B$9,Paramètres!$A$1:$I$88,5,0)</f>
        <v>111.8</v>
      </c>
      <c r="P24" s="14">
        <f t="shared" si="33"/>
        <v>29.75467715869992</v>
      </c>
      <c r="Q24" s="22">
        <f t="shared" si="2"/>
        <v>246.54106271806896</v>
      </c>
      <c r="R24" s="62">
        <f t="shared" si="0"/>
        <v>472.45145831143873</v>
      </c>
      <c r="S24" s="62">
        <f ca="1">AVERAGE(OFFSET($R$3,0,0,'Données projet'!$E$9+1,1))-AVERAGE(OFFSET($H$3,0,0,'Données projet'!$E$9+1,1))</f>
        <v>415.21844537846482</v>
      </c>
      <c r="T24" s="62">
        <f t="shared" si="34"/>
        <v>491.25626166862321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5.5319256122908813</v>
      </c>
      <c r="AB24" s="23">
        <f>EXP(-LN(2)/2)*AB23+(1-EXP(-LN(2)/2))/(LN(2)/2)*V24*Y24*VLOOKUP('Données projet'!$B$9,Paramètres!$A$1:$I$88,3,0)*0.475*44/12</f>
        <v>4.9229455739397805</v>
      </c>
      <c r="AC24" s="24">
        <f t="shared" si="3"/>
        <v>10.454871186230662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13.4</v>
      </c>
      <c r="AI24" s="14">
        <f>IF('Données projet'!$A$62&gt;35,AI23+AH24-AQ23,IF(A24&lt;'Données projet'!$A$62,$AF$205^A24,IF(A24='Données projet'!$A$62,'Données projet'!$B$62,AI23+AH24-AQ23)))</f>
        <v>122.4</v>
      </c>
      <c r="AJ24" s="14">
        <f>AI24*VLOOKUP('Données projet'!$B$10,Paramètres!$A$1:$I$88,3,0)*VLOOKUP('Données projet'!$B$10,Paramètres!$A$1:$I$88,5,0)</f>
        <v>66.830399999999997</v>
      </c>
      <c r="AK24" s="14">
        <f t="shared" si="35"/>
        <v>18.884224063325359</v>
      </c>
      <c r="AL24" s="22">
        <f t="shared" si="4"/>
        <v>149.28630357695832</v>
      </c>
      <c r="AM24" s="62">
        <f t="shared" si="5"/>
        <v>375.19669917032809</v>
      </c>
      <c r="AN24" s="62">
        <f ca="1">AVERAGE(OFFSET($AM$3,0,0,'Données projet'!$E$10+1,1))-AVERAGE(OFFSET($H$3,0,0,'Données projet'!$E$10+1,1))</f>
        <v>243.3456100842846</v>
      </c>
      <c r="AO24" s="62">
        <f t="shared" si="36"/>
        <v>301.6462497303628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12.030088990301715</v>
      </c>
      <c r="AW24" s="23">
        <f>EXP(-LN(2)/2)*AW23+(1-EXP(-LN(2)/2))/(LN(2)/2)*AQ24*AT24*VLOOKUP('Données projet'!$B$10,Paramètres!$A$1:$I$88,3,0)*0.475*44/12</f>
        <v>6.7445100253642236</v>
      </c>
      <c r="AX24" s="23">
        <f t="shared" si="6"/>
        <v>18.774599015665938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55.200000000000017</v>
      </c>
      <c r="BE24" s="14">
        <f>BD24*VLOOKUP('Données projet'!$B$11,Paramètres!$A$1:$I$88,3,0)*VLOOKUP('Données projet'!$B$11,Paramètres!$A$1:$I$88,5,0)</f>
        <v>43.917120000000011</v>
      </c>
      <c r="BF24" s="14">
        <f t="shared" si="37"/>
        <v>13.031167785120262</v>
      </c>
      <c r="BG24" s="22">
        <f t="shared" si="7"/>
        <v>99.184934559084468</v>
      </c>
      <c r="BH24" s="62">
        <f t="shared" si="8"/>
        <v>325.09533015245427</v>
      </c>
      <c r="BI24" s="62">
        <f ca="1">AVERAGE(OFFSET($BH$3,0,0,'Données projet'!$E$11+1,1))-AVERAGE(OFFSET($H$3,0,0,'Données projet'!$E$11+1,1))</f>
        <v>219.20272956499281</v>
      </c>
      <c r="BJ24" s="62">
        <f t="shared" si="38"/>
        <v>244.37146912604081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54.61192607091904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4.4444444444444446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16.296296296296298</v>
      </c>
      <c r="H25" s="70">
        <f t="shared" si="1"/>
        <v>191.4814814814815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22</v>
      </c>
      <c r="N25" s="14">
        <f>IF('Données projet'!$A$36&gt;35,N24+M25-V24,IF(A25&lt;'Données projet'!$A$36,$K$205^A25,IF(A25='Données projet'!$A$36,'Données projet'!$B$36,N24+M25-V24)))</f>
        <v>222</v>
      </c>
      <c r="O25" s="14">
        <f>N25*VLOOKUP('Données projet'!$B$9,Paramètres!$A$1:$I$88,3,0)*VLOOKUP('Données projet'!$B$9,Paramètres!$A$1:$I$88,5,0)</f>
        <v>124.098</v>
      </c>
      <c r="P25" s="14">
        <f t="shared" si="33"/>
        <v>32.62891454809418</v>
      </c>
      <c r="Q25" s="22">
        <f t="shared" si="2"/>
        <v>272.96604283793073</v>
      </c>
      <c r="R25" s="62">
        <f t="shared" si="0"/>
        <v>501.07747248051987</v>
      </c>
      <c r="S25" s="62">
        <f ca="1">AVERAGE(OFFSET($R$3,0,0,'Données projet'!$E$9+1,1))-AVERAGE(OFFSET($H$3,0,0,'Données projet'!$E$9+1,1))</f>
        <v>415.21844537846482</v>
      </c>
      <c r="T25" s="62">
        <f t="shared" si="34"/>
        <v>491.25626166862321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5.3806548155114626</v>
      </c>
      <c r="AB25" s="23">
        <f>EXP(-LN(2)/2)*AB24+(1-EXP(-LN(2)/2))/(LN(2)/2)*V25*Y25*VLOOKUP('Données projet'!$B$9,Paramètres!$A$1:$I$88,3,0)*0.475*44/12</f>
        <v>3.4810481987451194</v>
      </c>
      <c r="AC25" s="24">
        <f t="shared" si="3"/>
        <v>8.861703014256582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13.4</v>
      </c>
      <c r="AI25" s="14">
        <f>IF('Données projet'!$A$62&gt;35,AI24+AH25-AQ24,IF(A25&lt;'Données projet'!$A$62,$AF$205^A25,IF(A25='Données projet'!$A$62,'Données projet'!$B$62,AI24+AH25-AQ24)))</f>
        <v>135.80000000000001</v>
      </c>
      <c r="AJ25" s="14">
        <f>AI25*VLOOKUP('Données projet'!$B$10,Paramètres!$A$1:$I$88,3,0)*VLOOKUP('Données projet'!$B$10,Paramètres!$A$1:$I$88,5,0)</f>
        <v>74.146799999999999</v>
      </c>
      <c r="AK25" s="14">
        <f t="shared" si="35"/>
        <v>20.699779568371355</v>
      </c>
      <c r="AL25" s="22">
        <f t="shared" si="4"/>
        <v>165.19112608158011</v>
      </c>
      <c r="AM25" s="62">
        <f t="shared" si="5"/>
        <v>393.30255572416928</v>
      </c>
      <c r="AN25" s="62">
        <f ca="1">AVERAGE(OFFSET($AM$3,0,0,'Données projet'!$E$10+1,1))-AVERAGE(OFFSET($H$3,0,0,'Données projet'!$E$10+1,1))</f>
        <v>243.3456100842846</v>
      </c>
      <c r="AO25" s="62">
        <f t="shared" si="36"/>
        <v>301.6462497303628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11.70112557422703</v>
      </c>
      <c r="AW25" s="23">
        <f>EXP(-LN(2)/2)*AW24+(1-EXP(-LN(2)/2))/(LN(2)/2)*AQ25*AT25*VLOOKUP('Données projet'!$B$10,Paramètres!$A$1:$I$88,3,0)*0.475*44/12</f>
        <v>4.7690887747156969</v>
      </c>
      <c r="AX25" s="23">
        <f t="shared" si="6"/>
        <v>16.470214348942726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62.40000000000002</v>
      </c>
      <c r="BE25" s="14">
        <f>BD25*VLOOKUP('Données projet'!$B$11,Paramètres!$A$1:$I$88,3,0)*VLOOKUP('Données projet'!$B$11,Paramètres!$A$1:$I$88,5,0)</f>
        <v>49.645440000000022</v>
      </c>
      <c r="BF25" s="14">
        <f t="shared" si="37"/>
        <v>14.522155106917744</v>
      </c>
      <c r="BG25" s="22">
        <f t="shared" si="7"/>
        <v>111.75856147788176</v>
      </c>
      <c r="BH25" s="62">
        <f t="shared" si="8"/>
        <v>339.8699911204709</v>
      </c>
      <c r="BI25" s="62">
        <f ca="1">AVERAGE(OFFSET($BH$3,0,0,'Données projet'!$E$11+1,1))-AVERAGE(OFFSET($H$3,0,0,'Données projet'!$E$11+1,1))</f>
        <v>219.20272956499281</v>
      </c>
      <c r="BJ25" s="62">
        <f t="shared" si="38"/>
        <v>244.37146912604081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54.878874751009164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4.4444444444444446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16.296296296296298</v>
      </c>
      <c r="H26" s="70">
        <f t="shared" si="1"/>
        <v>191.4814814814815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22</v>
      </c>
      <c r="N26" s="14">
        <f>IF('Données projet'!$A$36&gt;35,N25+M26-V25,IF(A26&lt;'Données projet'!$A$36,$K$205^A26,IF(A26='Données projet'!$A$36,'Données projet'!$B$36,N25+M26-V25)))</f>
        <v>244</v>
      </c>
      <c r="O26" s="14">
        <f>N26*VLOOKUP('Données projet'!$B$9,Paramètres!$A$1:$I$88,3,0)*VLOOKUP('Données projet'!$B$9,Paramètres!$A$1:$I$88,5,0)</f>
        <v>136.39600000000002</v>
      </c>
      <c r="P26" s="14">
        <f t="shared" si="33"/>
        <v>35.470130709133613</v>
      </c>
      <c r="Q26" s="22">
        <f t="shared" si="2"/>
        <v>299.33351098507438</v>
      </c>
      <c r="R26" s="62">
        <f t="shared" si="0"/>
        <v>529.62899447997995</v>
      </c>
      <c r="S26" s="62">
        <f ca="1">AVERAGE(OFFSET($R$3,0,0,'Données projet'!$E$9+1,1))-AVERAGE(OFFSET($H$3,0,0,'Données projet'!$E$9+1,1))</f>
        <v>415.21844537846482</v>
      </c>
      <c r="T26" s="62">
        <f t="shared" si="34"/>
        <v>491.25626166862321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5.2335205266249627</v>
      </c>
      <c r="AB26" s="23">
        <f>EXP(-LN(2)/2)*AB25+(1-EXP(-LN(2)/2))/(LN(2)/2)*V26*Y26*VLOOKUP('Données projet'!$B$9,Paramètres!$A$1:$I$88,3,0)*0.475*44/12</f>
        <v>2.4614727869698907</v>
      </c>
      <c r="AC26" s="24">
        <f t="shared" si="3"/>
        <v>7.6949933135948534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13.4</v>
      </c>
      <c r="AI26" s="14">
        <f>IF('Données projet'!$A$62&gt;35,AI25+AH26-AQ25,IF(A26&lt;'Données projet'!$A$62,$AF$205^A26,IF(A26='Données projet'!$A$62,'Données projet'!$B$62,AI25+AH26-AQ25)))</f>
        <v>149.20000000000002</v>
      </c>
      <c r="AJ26" s="14">
        <f>AI26*VLOOKUP('Données projet'!$B$10,Paramètres!$A$1:$I$88,3,0)*VLOOKUP('Données projet'!$B$10,Paramètres!$A$1:$I$88,5,0)</f>
        <v>81.463200000000001</v>
      </c>
      <c r="AK26" s="14">
        <f t="shared" si="35"/>
        <v>22.494565874977347</v>
      </c>
      <c r="AL26" s="22">
        <f t="shared" si="4"/>
        <v>181.05977556558557</v>
      </c>
      <c r="AM26" s="62">
        <f t="shared" si="5"/>
        <v>411.35525906049111</v>
      </c>
      <c r="AN26" s="62">
        <f ca="1">AVERAGE(OFFSET($AM$3,0,0,'Données projet'!$E$10+1,1))-AVERAGE(OFFSET($H$3,0,0,'Données projet'!$E$10+1,1))</f>
        <v>243.3456100842846</v>
      </c>
      <c r="AO26" s="62">
        <f t="shared" si="36"/>
        <v>301.6462497303628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11.381157680064341</v>
      </c>
      <c r="AW26" s="23">
        <f>EXP(-LN(2)/2)*AW25+(1-EXP(-LN(2)/2))/(LN(2)/2)*AQ26*AT26*VLOOKUP('Données projet'!$B$10,Paramètres!$A$1:$I$88,3,0)*0.475*44/12</f>
        <v>3.3722550126821127</v>
      </c>
      <c r="AX26" s="23">
        <f t="shared" si="6"/>
        <v>14.753412692746453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69.600000000000023</v>
      </c>
      <c r="BE26" s="14">
        <f>BD26*VLOOKUP('Données projet'!$B$11,Paramètres!$A$1:$I$88,3,0)*VLOOKUP('Données projet'!$B$11,Paramètres!$A$1:$I$88,5,0)</f>
        <v>55.373760000000019</v>
      </c>
      <c r="BF26" s="14">
        <f t="shared" si="37"/>
        <v>15.993204545316392</v>
      </c>
      <c r="BG26" s="22">
        <f t="shared" si="7"/>
        <v>124.29746324975939</v>
      </c>
      <c r="BH26" s="62">
        <f t="shared" si="8"/>
        <v>354.59294674466491</v>
      </c>
      <c r="BI26" s="62">
        <f ca="1">AVERAGE(OFFSET($BH$3,0,0,'Données projet'!$E$11+1,1))-AVERAGE(OFFSET($H$3,0,0,'Données projet'!$E$11+1,1))</f>
        <v>219.20272956499281</v>
      </c>
      <c r="BJ26" s="62">
        <f t="shared" si="38"/>
        <v>244.37146912604081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55.141192468307572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4.4444444444444446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16.296296296296298</v>
      </c>
      <c r="H27" s="70">
        <f t="shared" si="1"/>
        <v>191.4814814814815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22</v>
      </c>
      <c r="N27" s="14">
        <f>IF('Données projet'!$A$36&gt;35,N26+M27-V26,IF(A27&lt;'Données projet'!$A$36,$K$205^A27,IF(A27='Données projet'!$A$36,'Données projet'!$B$36,N26+M27-V26)))</f>
        <v>266</v>
      </c>
      <c r="O27" s="14">
        <f>N27*VLOOKUP('Données projet'!$B$9,Paramètres!$A$1:$I$88,3,0)*VLOOKUP('Données projet'!$B$9,Paramètres!$A$1:$I$88,5,0)</f>
        <v>148.69399999999999</v>
      </c>
      <c r="P27" s="14">
        <f t="shared" si="33"/>
        <v>38.281641551494822</v>
      </c>
      <c r="Q27" s="22">
        <f t="shared" si="2"/>
        <v>325.64924236885344</v>
      </c>
      <c r="R27" s="62">
        <f t="shared" si="0"/>
        <v>558.11209408762659</v>
      </c>
      <c r="S27" s="62">
        <f ca="1">AVERAGE(OFFSET($R$3,0,0,'Données projet'!$E$9+1,1))-AVERAGE(OFFSET($H$3,0,0,'Données projet'!$E$9+1,1))</f>
        <v>415.21844537846482</v>
      </c>
      <c r="T27" s="62">
        <f t="shared" si="34"/>
        <v>491.25626166862321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5.0904096326055202</v>
      </c>
      <c r="AB27" s="23">
        <f>EXP(-LN(2)/2)*AB26+(1-EXP(-LN(2)/2))/(LN(2)/2)*V27*Y27*VLOOKUP('Données projet'!$B$9,Paramètres!$A$1:$I$88,3,0)*0.475*44/12</f>
        <v>1.7405240993725599</v>
      </c>
      <c r="AC27" s="24">
        <f t="shared" si="3"/>
        <v>6.8309337319780798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13.4</v>
      </c>
      <c r="AI27" s="14">
        <f>IF('Données projet'!$A$62&gt;35,AI26+AH27-AQ26,IF(A27&lt;'Données projet'!$A$62,$AF$205^A27,IF(A27='Données projet'!$A$62,'Données projet'!$B$62,AI26+AH27-AQ26)))</f>
        <v>162.60000000000002</v>
      </c>
      <c r="AJ27" s="14">
        <f>AI27*VLOOKUP('Données projet'!$B$10,Paramètres!$A$1:$I$88,3,0)*VLOOKUP('Données projet'!$B$10,Paramètres!$A$1:$I$88,5,0)</f>
        <v>88.779600000000002</v>
      </c>
      <c r="AK27" s="14">
        <f t="shared" si="35"/>
        <v>24.270660436720163</v>
      </c>
      <c r="AL27" s="22">
        <f t="shared" si="4"/>
        <v>196.89587026062097</v>
      </c>
      <c r="AM27" s="62">
        <f t="shared" si="5"/>
        <v>429.35872197939415</v>
      </c>
      <c r="AN27" s="62">
        <f ca="1">AVERAGE(OFFSET($AM$3,0,0,'Données projet'!$E$10+1,1))-AVERAGE(OFFSET($H$3,0,0,'Données projet'!$E$10+1,1))</f>
        <v>243.3456100842846</v>
      </c>
      <c r="AO27" s="62">
        <f t="shared" si="36"/>
        <v>301.6462497303628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11.069939324793911</v>
      </c>
      <c r="AW27" s="23">
        <f>EXP(-LN(2)/2)*AW26+(1-EXP(-LN(2)/2))/(LN(2)/2)*AQ27*AT27*VLOOKUP('Données projet'!$B$10,Paramètres!$A$1:$I$88,3,0)*0.475*44/12</f>
        <v>2.3845443873578489</v>
      </c>
      <c r="AX27" s="23">
        <f t="shared" si="6"/>
        <v>13.45448371215176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76.800000000000026</v>
      </c>
      <c r="BE27" s="14">
        <f>BD27*VLOOKUP('Données projet'!$B$11,Paramètres!$A$1:$I$88,3,0)*VLOOKUP('Données projet'!$B$11,Paramètres!$A$1:$I$88,5,0)</f>
        <v>61.102080000000022</v>
      </c>
      <c r="BF27" s="14">
        <f t="shared" si="37"/>
        <v>17.446613559244284</v>
      </c>
      <c r="BG27" s="22">
        <f t="shared" si="7"/>
        <v>136.80564128235048</v>
      </c>
      <c r="BH27" s="62">
        <f t="shared" si="8"/>
        <v>369.26849300112366</v>
      </c>
      <c r="BI27" s="62">
        <f ca="1">AVERAGE(OFFSET($BH$3,0,0,'Données projet'!$E$11+1,1))-AVERAGE(OFFSET($H$3,0,0,'Données projet'!$E$11+1,1))</f>
        <v>219.20272956499281</v>
      </c>
      <c r="BJ27" s="62">
        <f t="shared" si="38"/>
        <v>244.37146912604081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55.398959559665407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4.4444444444444446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16.296296296296298</v>
      </c>
      <c r="H28" s="70">
        <f t="shared" si="1"/>
        <v>191.4814814814815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288</v>
      </c>
      <c r="L28" s="13">
        <f>VLOOKUP(A28,'Données projet'!$A$35:$I$55,9,0)</f>
        <v>22</v>
      </c>
      <c r="M28" s="13">
        <f t="array" ref="M28">INDEX(L:L,MIN(IF(ISNUMBER(L28:L224),ROW(L28:L224),"")))</f>
        <v>22</v>
      </c>
      <c r="N28" s="14">
        <f>IF('Données projet'!$A$36&gt;35,N27+M28-V27,IF(A28&lt;'Données projet'!$A$36,$K$205^A28,IF(A28='Données projet'!$A$36,'Données projet'!$B$36,N27+M28-V27)))</f>
        <v>288</v>
      </c>
      <c r="O28" s="14">
        <f>N28*VLOOKUP('Données projet'!$B$9,Paramètres!$A$1:$I$88,3,0)*VLOOKUP('Données projet'!$B$9,Paramètres!$A$1:$I$88,5,0)</f>
        <v>160.99200000000002</v>
      </c>
      <c r="P28" s="14">
        <f t="shared" si="33"/>
        <v>41.066183224007858</v>
      </c>
      <c r="Q28" s="22">
        <f t="shared" si="2"/>
        <v>351.91800244848037</v>
      </c>
      <c r="R28" s="62">
        <f t="shared" si="0"/>
        <v>586.53182622102247</v>
      </c>
      <c r="S28" s="62">
        <f ca="1">AVERAGE(OFFSET($R$3,0,0,'Données projet'!$E$9+1,1))-AVERAGE(OFFSET($H$3,0,0,'Données projet'!$E$9+1,1))</f>
        <v>415.21844537846482</v>
      </c>
      <c r="T28" s="62">
        <f t="shared" si="34"/>
        <v>491.25626166862321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39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0.30800000000000005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13.823632881154284</v>
      </c>
      <c r="AB28" s="23">
        <f>EXP(-LN(2)/2)*AB27+(1-EXP(-LN(2)/2))/(LN(2)/2)*V28*Y28*VLOOKUP('Données projet'!$B$9,Paramètres!$A$1:$I$88,3,0)*0.475*44/12</f>
        <v>12.091606773569721</v>
      </c>
      <c r="AC28" s="24">
        <f t="shared" si="3"/>
        <v>25.915239654724004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176</v>
      </c>
      <c r="AG28" s="13">
        <f>VLOOKUP(A28,'Données projet'!$A$61:$I$81,9,0)</f>
        <v>13.4</v>
      </c>
      <c r="AH28" s="13">
        <f t="array" ref="AH28">INDEX(AG:AG,MIN(IF(ISNUMBER(AG28:AG224),ROW(AG28:AG224),"")))</f>
        <v>13.4</v>
      </c>
      <c r="AI28" s="14">
        <f>IF('Données projet'!$A$62&gt;35,AI27+AH28-AQ27,IF(A28&lt;'Données projet'!$A$62,$AF$205^A28,IF(A28='Données projet'!$A$62,'Données projet'!$B$62,AI27+AH28-AQ27)))</f>
        <v>176.00000000000003</v>
      </c>
      <c r="AJ28" s="14">
        <f>AI28*VLOOKUP('Données projet'!$B$10,Paramètres!$A$1:$I$88,3,0)*VLOOKUP('Données projet'!$B$10,Paramètres!$A$1:$I$88,5,0)</f>
        <v>96.096000000000018</v>
      </c>
      <c r="AK28" s="14">
        <f t="shared" si="35"/>
        <v>26.029778784173352</v>
      </c>
      <c r="AL28" s="22">
        <f t="shared" si="4"/>
        <v>212.70239804910196</v>
      </c>
      <c r="AM28" s="62">
        <f t="shared" si="5"/>
        <v>447.31622182164409</v>
      </c>
      <c r="AN28" s="62">
        <f ca="1">AVERAGE(OFFSET($AM$3,0,0,'Données projet'!$E$10+1,1))-AVERAGE(OFFSET($H$3,0,0,'Données projet'!$E$10+1,1))</f>
        <v>243.3456100842846</v>
      </c>
      <c r="AO28" s="62">
        <f t="shared" si="36"/>
        <v>301.6462497303628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33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0.33600000000000002</v>
      </c>
      <c r="AT28" s="17">
        <f>IF(ISNA(VLOOKUP(A28,'Données projet'!$A$61:$I$81,7,0)),0%,VLOOKUP(A28,'Données projet'!$A$61:$I$81,7,0))</f>
        <v>0.44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18.766694698850866</v>
      </c>
      <c r="AW28" s="23">
        <f>EXP(-LN(2)/2)*AW27+(1-EXP(-LN(2)/2))/(LN(2)/2)*AQ28*AT28*VLOOKUP('Données projet'!$B$10,Paramètres!$A$1:$I$88,3,0)*0.475*44/12</f>
        <v>10.662374582547075</v>
      </c>
      <c r="AX28" s="23">
        <f t="shared" si="6"/>
        <v>29.429069281397943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84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84.000000000000028</v>
      </c>
      <c r="BE28" s="14">
        <f>BD28*VLOOKUP('Données projet'!$B$11,Paramètres!$A$1:$I$88,3,0)*VLOOKUP('Données projet'!$B$11,Paramètres!$A$1:$I$88,5,0)</f>
        <v>66.830400000000026</v>
      </c>
      <c r="BF28" s="14">
        <f t="shared" si="37"/>
        <v>18.884224063325359</v>
      </c>
      <c r="BG28" s="22">
        <f t="shared" si="7"/>
        <v>149.28630357695837</v>
      </c>
      <c r="BH28" s="62">
        <f t="shared" si="8"/>
        <v>383.90012734950051</v>
      </c>
      <c r="BI28" s="62">
        <f ca="1">AVERAGE(OFFSET($BH$3,0,0,'Données projet'!$E$11+1,1))-AVERAGE(OFFSET($H$3,0,0,'Données projet'!$E$11+1,1))</f>
        <v>219.20272956499281</v>
      </c>
      <c r="BJ28" s="62">
        <f t="shared" si="38"/>
        <v>244.37146912604081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55.652254968269062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4.4444444444444446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16.296296296296298</v>
      </c>
      <c r="H29" s="70">
        <f t="shared" si="1"/>
        <v>191.4814814814815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22.2</v>
      </c>
      <c r="N29" s="14">
        <f>IF('Données projet'!$A$36&gt;35,N28+M29-V28,IF(A29&lt;'Données projet'!$A$36,$K$205^A29,IF(A29='Données projet'!$A$36,'Données projet'!$B$36,N28+M29-V28)))</f>
        <v>271.2</v>
      </c>
      <c r="O29" s="14">
        <f>N29*VLOOKUP('Données projet'!$B$9,Paramètres!$A$1:$I$88,3,0)*VLOOKUP('Données projet'!$B$9,Paramètres!$A$1:$I$88,5,0)</f>
        <v>151.60079999999999</v>
      </c>
      <c r="P29" s="14">
        <f t="shared" si="33"/>
        <v>38.942148105194256</v>
      </c>
      <c r="Q29" s="22">
        <f t="shared" si="2"/>
        <v>331.8623012832133</v>
      </c>
      <c r="R29" s="62">
        <f t="shared" si="0"/>
        <v>568.61098537632063</v>
      </c>
      <c r="S29" s="62">
        <f ca="1">AVERAGE(OFFSET($R$3,0,0,'Données projet'!$E$9+1,1))-AVERAGE(OFFSET($H$3,0,0,'Données projet'!$E$9+1,1))</f>
        <v>415.21844537846482</v>
      </c>
      <c r="T29" s="62">
        <f t="shared" si="34"/>
        <v>491.25626166862321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13.445624913065862</v>
      </c>
      <c r="AB29" s="23">
        <f>EXP(-LN(2)/2)*AB28+(1-EXP(-LN(2)/2))/(LN(2)/2)*V29*Y29*VLOOKUP('Données projet'!$B$9,Paramètres!$A$1:$I$88,3,0)*0.475*44/12</f>
        <v>8.5500571450323406</v>
      </c>
      <c r="AC29" s="24">
        <f t="shared" si="3"/>
        <v>21.995682058098204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12.6</v>
      </c>
      <c r="AI29" s="14">
        <f>IF('Données projet'!$A$62&gt;35,AI28+AH29-AQ28,IF(A29&lt;'Données projet'!$A$62,$AF$205^A29,IF(A29='Données projet'!$A$62,'Données projet'!$B$62,AI28+AH29-AQ28)))</f>
        <v>155.60000000000002</v>
      </c>
      <c r="AJ29" s="14">
        <f>AI29*VLOOKUP('Données projet'!$B$10,Paramètres!$A$1:$I$88,3,0)*VLOOKUP('Données projet'!$B$10,Paramètres!$A$1:$I$88,5,0)</f>
        <v>84.957600000000014</v>
      </c>
      <c r="AK29" s="14">
        <f t="shared" si="35"/>
        <v>23.345068899926233</v>
      </c>
      <c r="AL29" s="22">
        <f t="shared" si="4"/>
        <v>188.62714833403822</v>
      </c>
      <c r="AM29" s="62">
        <f t="shared" si="5"/>
        <v>425.3758324271455</v>
      </c>
      <c r="AN29" s="62">
        <f ca="1">AVERAGE(OFFSET($AM$3,0,0,'Données projet'!$E$10+1,1))-AVERAGE(OFFSET($H$3,0,0,'Données projet'!$E$10+1,1))</f>
        <v>243.3456100842846</v>
      </c>
      <c r="AO29" s="62">
        <f t="shared" si="36"/>
        <v>301.6462497303628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18.253518445413206</v>
      </c>
      <c r="AW29" s="23">
        <f>EXP(-LN(2)/2)*AW28+(1-EXP(-LN(2)/2))/(LN(2)/2)*AQ29*AT29*VLOOKUP('Données projet'!$B$10,Paramètres!$A$1:$I$88,3,0)*0.475*44/12</f>
        <v>7.5394373708701217</v>
      </c>
      <c r="AX29" s="23">
        <f t="shared" si="6"/>
        <v>25.792955816283328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7.6</v>
      </c>
      <c r="BD29" s="13">
        <f>IF('Données projet'!$A$88&gt;35,BD28+BC29-BL28,IF(A29&lt;'Données projet'!$A$88,$BA$205^A29,IF(A29='Données projet'!$A$88,'Données projet'!$B$88,BD28+BC29-BL28)))</f>
        <v>77.600000000000023</v>
      </c>
      <c r="BE29" s="14">
        <f>BD29*VLOOKUP('Données projet'!$B$11,Paramètres!$A$1:$I$88,3,0)*VLOOKUP('Données projet'!$B$11,Paramètres!$A$1:$I$88,5,0)</f>
        <v>61.738560000000028</v>
      </c>
      <c r="BF29" s="14">
        <f t="shared" si="37"/>
        <v>17.607098120964388</v>
      </c>
      <c r="BG29" s="22">
        <f t="shared" si="7"/>
        <v>138.19368789401301</v>
      </c>
      <c r="BH29" s="62">
        <f t="shared" si="8"/>
        <v>374.94237198712028</v>
      </c>
      <c r="BI29" s="62">
        <f ca="1">AVERAGE(OFFSET($BH$3,0,0,'Données projet'!$E$11+1,1))-AVERAGE(OFFSET($H$3,0,0,'Données projet'!$E$11+1,1))</f>
        <v>219.20272956499281</v>
      </c>
      <c r="BJ29" s="62">
        <f t="shared" si="38"/>
        <v>244.37146912604081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55.90115626781715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4.4444444444444446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16.296296296296298</v>
      </c>
      <c r="H30" s="70">
        <f t="shared" si="1"/>
        <v>191.4814814814815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22.2</v>
      </c>
      <c r="N30" s="14">
        <f>IF('Données projet'!$A$36&gt;35,N29+M30-V29,IF(A30&lt;'Données projet'!$A$36,$K$205^A30,IF(A30='Données projet'!$A$36,'Données projet'!$B$36,N29+M30-V29)))</f>
        <v>293.39999999999998</v>
      </c>
      <c r="O30" s="14">
        <f>N30*VLOOKUP('Données projet'!$B$9,Paramètres!$A$1:$I$88,3,0)*VLOOKUP('Données projet'!$B$9,Paramètres!$A$1:$I$88,5,0)</f>
        <v>164.01059999999998</v>
      </c>
      <c r="P30" s="14">
        <f t="shared" si="33"/>
        <v>41.745809896992185</v>
      </c>
      <c r="Q30" s="22">
        <f t="shared" si="2"/>
        <v>358.3590805705947</v>
      </c>
      <c r="R30" s="62">
        <f t="shared" si="0"/>
        <v>597.22679275361406</v>
      </c>
      <c r="S30" s="62">
        <f ca="1">AVERAGE(OFFSET($R$3,0,0,'Données projet'!$E$9+1,1))-AVERAGE(OFFSET($H$3,0,0,'Données projet'!$E$9+1,1))</f>
        <v>415.21844537846482</v>
      </c>
      <c r="T30" s="62">
        <f t="shared" si="34"/>
        <v>491.25626166862321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13.077953592743391</v>
      </c>
      <c r="AB30" s="23">
        <f>EXP(-LN(2)/2)*AB29+(1-EXP(-LN(2)/2))/(LN(2)/2)*V30*Y30*VLOOKUP('Données projet'!$B$9,Paramètres!$A$1:$I$88,3,0)*0.475*44/12</f>
        <v>6.0458033867848613</v>
      </c>
      <c r="AC30" s="24">
        <f t="shared" si="3"/>
        <v>19.123756979528252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12.6</v>
      </c>
      <c r="AI30" s="14">
        <f>IF('Données projet'!$A$62&gt;35,AI29+AH30-AQ29,IF(A30&lt;'Données projet'!$A$62,$AF$205^A30,IF(A30='Données projet'!$A$62,'Données projet'!$B$62,AI29+AH30-AQ29)))</f>
        <v>168.20000000000002</v>
      </c>
      <c r="AJ30" s="14">
        <f>AI30*VLOOKUP('Données projet'!$B$10,Paramètres!$A$1:$I$88,3,0)*VLOOKUP('Données projet'!$B$10,Paramètres!$A$1:$I$88,5,0)</f>
        <v>91.83720000000001</v>
      </c>
      <c r="AK30" s="14">
        <f t="shared" si="35"/>
        <v>25.007790936639399</v>
      </c>
      <c r="AL30" s="22">
        <f t="shared" si="4"/>
        <v>203.5050258813136</v>
      </c>
      <c r="AM30" s="62">
        <f t="shared" si="5"/>
        <v>442.37273806433302</v>
      </c>
      <c r="AN30" s="62">
        <f ca="1">AVERAGE(OFFSET($AM$3,0,0,'Données projet'!$E$10+1,1))-AVERAGE(OFFSET($H$3,0,0,'Données projet'!$E$10+1,1))</f>
        <v>243.3456100842846</v>
      </c>
      <c r="AO30" s="62">
        <f t="shared" si="36"/>
        <v>301.6462497303628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17.754375023612567</v>
      </c>
      <c r="AW30" s="23">
        <f>EXP(-LN(2)/2)*AW29+(1-EXP(-LN(2)/2))/(LN(2)/2)*AQ30*AT30*VLOOKUP('Données projet'!$B$10,Paramètres!$A$1:$I$88,3,0)*0.475*44/12</f>
        <v>5.3311872912735385</v>
      </c>
      <c r="AX30" s="23">
        <f t="shared" si="6"/>
        <v>23.085562314886104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7.6</v>
      </c>
      <c r="BD30" s="13">
        <f>IF('Données projet'!$A$88&gt;35,BD29+BC30-BL29,IF(A30&lt;'Données projet'!$A$88,$BA$205^A30,IF(A30='Données projet'!$A$88,'Données projet'!$B$88,BD29+BC30-BL29)))</f>
        <v>85.200000000000017</v>
      </c>
      <c r="BE30" s="14">
        <f>BD30*VLOOKUP('Données projet'!$B$11,Paramètres!$A$1:$I$88,3,0)*VLOOKUP('Données projet'!$B$11,Paramètres!$A$1:$I$88,5,0)</f>
        <v>67.78512000000002</v>
      </c>
      <c r="BF30" s="14">
        <f t="shared" si="37"/>
        <v>19.12239978164402</v>
      </c>
      <c r="BG30" s="22">
        <f t="shared" si="7"/>
        <v>151.36393028636337</v>
      </c>
      <c r="BH30" s="62">
        <f t="shared" si="8"/>
        <v>390.23164246938279</v>
      </c>
      <c r="BI30" s="62">
        <f ca="1">AVERAGE(OFFSET($BH$3,0,0,'Données projet'!$E$11+1,1))-AVERAGE(OFFSET($H$3,0,0,'Données projet'!$E$11+1,1))</f>
        <v>219.20272956499281</v>
      </c>
      <c r="BJ30" s="62">
        <f t="shared" si="38"/>
        <v>244.37146912604081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56.14573968627802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4.4444444444444446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16.296296296296298</v>
      </c>
      <c r="H31" s="70">
        <f t="shared" si="1"/>
        <v>191.4814814814815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22.2</v>
      </c>
      <c r="N31" s="14">
        <f>IF('Données projet'!$A$36&gt;35,N30+M31-V30,IF(A31&lt;'Données projet'!$A$36,$K$205^A31,IF(A31='Données projet'!$A$36,'Données projet'!$B$36,N30+M31-V30)))</f>
        <v>315.59999999999997</v>
      </c>
      <c r="O31" s="14">
        <f>N31*VLOOKUP('Données projet'!$B$9,Paramètres!$A$1:$I$88,3,0)*VLOOKUP('Données projet'!$B$9,Paramètres!$A$1:$I$88,5,0)</f>
        <v>176.42039999999997</v>
      </c>
      <c r="P31" s="14">
        <f t="shared" si="33"/>
        <v>44.5248624718784</v>
      </c>
      <c r="Q31" s="22">
        <f t="shared" si="2"/>
        <v>384.81299880518822</v>
      </c>
      <c r="R31" s="62">
        <f t="shared" si="0"/>
        <v>625.78418150127277</v>
      </c>
      <c r="S31" s="62">
        <f ca="1">AVERAGE(OFFSET($R$3,0,0,'Données projet'!$E$9+1,1))-AVERAGE(OFFSET($H$3,0,0,'Données projet'!$E$9+1,1))</f>
        <v>415.21844537846482</v>
      </c>
      <c r="T31" s="62">
        <f t="shared" si="34"/>
        <v>491.25626166862321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12.720336264010134</v>
      </c>
      <c r="AB31" s="23">
        <f>EXP(-LN(2)/2)*AB30+(1-EXP(-LN(2)/2))/(LN(2)/2)*V31*Y31*VLOOKUP('Données projet'!$B$9,Paramètres!$A$1:$I$88,3,0)*0.475*44/12</f>
        <v>4.2750285725161712</v>
      </c>
      <c r="AC31" s="24">
        <f t="shared" si="3"/>
        <v>16.995364836526306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12.6</v>
      </c>
      <c r="AI31" s="14">
        <f>IF('Données projet'!$A$62&gt;35,AI30+AH31-AQ30,IF(A31&lt;'Données projet'!$A$62,$AF$205^A31,IF(A31='Données projet'!$A$62,'Données projet'!$B$62,AI30+AH31-AQ30)))</f>
        <v>180.8</v>
      </c>
      <c r="AJ31" s="14">
        <f>AI31*VLOOKUP('Données projet'!$B$10,Paramètres!$A$1:$I$88,3,0)*VLOOKUP('Données projet'!$B$10,Paramètres!$A$1:$I$88,5,0)</f>
        <v>98.716800000000006</v>
      </c>
      <c r="AK31" s="14">
        <f t="shared" si="35"/>
        <v>26.656063438447475</v>
      </c>
      <c r="AL31" s="22">
        <f t="shared" si="4"/>
        <v>218.35773715529604</v>
      </c>
      <c r="AM31" s="62">
        <f t="shared" si="5"/>
        <v>459.32891985138065</v>
      </c>
      <c r="AN31" s="62">
        <f ca="1">AVERAGE(OFFSET($AM$3,0,0,'Données projet'!$E$10+1,1))-AVERAGE(OFFSET($H$3,0,0,'Données projet'!$E$10+1,1))</f>
        <v>243.3456100842846</v>
      </c>
      <c r="AO31" s="62">
        <f t="shared" si="36"/>
        <v>301.6462497303628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17.268880704929877</v>
      </c>
      <c r="AW31" s="23">
        <f>EXP(-LN(2)/2)*AW30+(1-EXP(-LN(2)/2))/(LN(2)/2)*AQ31*AT31*VLOOKUP('Données projet'!$B$10,Paramètres!$A$1:$I$88,3,0)*0.475*44/12</f>
        <v>3.7697186854350613</v>
      </c>
      <c r="AX31" s="23">
        <f t="shared" si="6"/>
        <v>21.03859939036494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7.6</v>
      </c>
      <c r="BD31" s="13">
        <f>IF('Données projet'!$A$88&gt;35,BD30+BC31-BL30,IF(A31&lt;'Données projet'!$A$88,$BA$205^A31,IF(A31='Données projet'!$A$88,'Données projet'!$B$88,BD30+BC31-BL30)))</f>
        <v>92.800000000000011</v>
      </c>
      <c r="BE31" s="14">
        <f>BD31*VLOOKUP('Données projet'!$B$11,Paramètres!$A$1:$I$88,3,0)*VLOOKUP('Données projet'!$B$11,Paramètres!$A$1:$I$88,5,0)</f>
        <v>73.83168000000002</v>
      </c>
      <c r="BF31" s="14">
        <f t="shared" si="37"/>
        <v>20.62202739072254</v>
      </c>
      <c r="BG31" s="22">
        <f t="shared" si="7"/>
        <v>164.50687370550844</v>
      </c>
      <c r="BH31" s="62">
        <f t="shared" si="8"/>
        <v>405.47805640159299</v>
      </c>
      <c r="BI31" s="62">
        <f ca="1">AVERAGE(OFFSET($BH$3,0,0,'Données projet'!$E$11+1,1))-AVERAGE(OFFSET($H$3,0,0,'Données projet'!$E$11+1,1))</f>
        <v>219.20272956499281</v>
      </c>
      <c r="BJ31" s="62">
        <f t="shared" si="38"/>
        <v>244.37146912604081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56.386080129235197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4.4444444444444446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16.296296296296298</v>
      </c>
      <c r="H32" s="70">
        <f t="shared" si="1"/>
        <v>191.4814814814815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22.2</v>
      </c>
      <c r="N32" s="14">
        <f>IF('Données projet'!$A$36&gt;35,N31+M32-V31,IF(A32&lt;'Données projet'!$A$36,$K$205^A32,IF(A32='Données projet'!$A$36,'Données projet'!$B$36,N31+M32-V31)))</f>
        <v>337.79999999999995</v>
      </c>
      <c r="O32" s="14">
        <f>N32*VLOOKUP('Données projet'!$B$9,Paramètres!$A$1:$I$88,3,0)*VLOOKUP('Données projet'!$B$9,Paramètres!$A$1:$I$88,5,0)</f>
        <v>188.83019999999999</v>
      </c>
      <c r="P32" s="14">
        <f t="shared" si="33"/>
        <v>47.28123379422199</v>
      </c>
      <c r="Q32" s="22">
        <f t="shared" si="2"/>
        <v>411.22741385826993</v>
      </c>
      <c r="R32" s="62">
        <f t="shared" si="0"/>
        <v>654.28677937974965</v>
      </c>
      <c r="S32" s="62">
        <f ca="1">AVERAGE(OFFSET($R$3,0,0,'Données projet'!$E$9+1,1))-AVERAGE(OFFSET($H$3,0,0,'Données projet'!$E$9+1,1))</f>
        <v>415.21844537846482</v>
      </c>
      <c r="T32" s="62">
        <f t="shared" si="34"/>
        <v>491.25626166862321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12.372497999937366</v>
      </c>
      <c r="AB32" s="23">
        <f>EXP(-LN(2)/2)*AB31+(1-EXP(-LN(2)/2))/(LN(2)/2)*V32*Y32*VLOOKUP('Données projet'!$B$9,Paramètres!$A$1:$I$88,3,0)*0.475*44/12</f>
        <v>3.0229016933924311</v>
      </c>
      <c r="AC32" s="24">
        <f t="shared" si="3"/>
        <v>15.395399693329797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12.6</v>
      </c>
      <c r="AI32" s="14">
        <f>IF('Données projet'!$A$62&gt;35,AI31+AH32-AQ31,IF(A32&lt;'Données projet'!$A$62,$AF$205^A32,IF(A32='Données projet'!$A$62,'Données projet'!$B$62,AI31+AH32-AQ31)))</f>
        <v>193.4</v>
      </c>
      <c r="AJ32" s="14">
        <f>AI32*VLOOKUP('Données projet'!$B$10,Paramètres!$A$1:$I$88,3,0)*VLOOKUP('Données projet'!$B$10,Paramètres!$A$1:$I$88,5,0)</f>
        <v>105.5964</v>
      </c>
      <c r="AK32" s="14">
        <f t="shared" si="35"/>
        <v>28.291007942615327</v>
      </c>
      <c r="AL32" s="22">
        <f t="shared" si="4"/>
        <v>233.18723550005507</v>
      </c>
      <c r="AM32" s="62">
        <f t="shared" si="5"/>
        <v>476.24660102153473</v>
      </c>
      <c r="AN32" s="62">
        <f ca="1">AVERAGE(OFFSET($AM$3,0,0,'Données projet'!$E$10+1,1))-AVERAGE(OFFSET($H$3,0,0,'Données projet'!$E$10+1,1))</f>
        <v>243.3456100842846</v>
      </c>
      <c r="AO32" s="62">
        <f t="shared" si="36"/>
        <v>301.6462497303628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16.796662253922602</v>
      </c>
      <c r="AW32" s="23">
        <f>EXP(-LN(2)/2)*AW31+(1-EXP(-LN(2)/2))/(LN(2)/2)*AQ32*AT32*VLOOKUP('Données projet'!$B$10,Paramètres!$A$1:$I$88,3,0)*0.475*44/12</f>
        <v>2.6655936456367697</v>
      </c>
      <c r="AX32" s="23">
        <f t="shared" si="6"/>
        <v>19.46225589955937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7.6</v>
      </c>
      <c r="BD32" s="13">
        <f>IF('Données projet'!$A$88&gt;35,BD31+BC32-BL31,IF(A32&lt;'Données projet'!$A$88,$BA$205^A32,IF(A32='Données projet'!$A$88,'Données projet'!$B$88,BD31+BC32-BL31)))</f>
        <v>100.4</v>
      </c>
      <c r="BE32" s="14">
        <f>BD32*VLOOKUP('Données projet'!$B$11,Paramètres!$A$1:$I$88,3,0)*VLOOKUP('Données projet'!$B$11,Paramètres!$A$1:$I$88,5,0)</f>
        <v>79.878240000000005</v>
      </c>
      <c r="BF32" s="14">
        <f t="shared" si="37"/>
        <v>22.107410537049741</v>
      </c>
      <c r="BG32" s="22">
        <f t="shared" si="7"/>
        <v>177.62500801869498</v>
      </c>
      <c r="BH32" s="62">
        <f t="shared" si="8"/>
        <v>420.68437354017465</v>
      </c>
      <c r="BI32" s="62">
        <f ca="1">AVERAGE(OFFSET($BH$3,0,0,'Données projet'!$E$11+1,1))-AVERAGE(OFFSET($H$3,0,0,'Données projet'!$E$11+1,1))</f>
        <v>219.20272956499281</v>
      </c>
      <c r="BJ32" s="62">
        <f t="shared" si="38"/>
        <v>244.37146912604081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56.622251202827805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4.4444444444444446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16.296296296296298</v>
      </c>
      <c r="H33" s="70">
        <f t="shared" si="1"/>
        <v>191.4814814814815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360</v>
      </c>
      <c r="L33" s="13">
        <f>VLOOKUP(A33,'Données projet'!$A$35:$I$55,9,0)</f>
        <v>22.2</v>
      </c>
      <c r="M33" s="13">
        <f t="array" ref="M33">INDEX(L:L,MIN(IF(ISNUMBER(L33:L229),ROW(L33:L229),"")))</f>
        <v>22.2</v>
      </c>
      <c r="N33" s="14">
        <f>IF('Données projet'!$A$36&gt;35,N32+M33-V32,IF(A33&lt;'Données projet'!$A$36,$K$205^A33,IF(A33='Données projet'!$A$36,'Données projet'!$B$36,N32+M33-V32)))</f>
        <v>359.99999999999994</v>
      </c>
      <c r="O33" s="14">
        <f>N33*VLOOKUP('Données projet'!$B$9,Paramètres!$A$1:$I$88,3,0)*VLOOKUP('Données projet'!$B$9,Paramètres!$A$1:$I$88,5,0)</f>
        <v>201.23999999999998</v>
      </c>
      <c r="P33" s="14">
        <f t="shared" si="33"/>
        <v>50.016584086333268</v>
      </c>
      <c r="Q33" s="22">
        <f t="shared" si="2"/>
        <v>437.60521728369707</v>
      </c>
      <c r="R33" s="62">
        <f t="shared" si="0"/>
        <v>682.73774315010473</v>
      </c>
      <c r="S33" s="62">
        <f ca="1">AVERAGE(OFFSET($R$3,0,0,'Données projet'!$E$9+1,1))-AVERAGE(OFFSET($H$3,0,0,'Données projet'!$E$9+1,1))</f>
        <v>415.21844537846482</v>
      </c>
      <c r="T33" s="62">
        <f t="shared" si="34"/>
        <v>491.25626166862321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46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0.30800000000000005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22.499077937941202</v>
      </c>
      <c r="AB33" s="23">
        <f>EXP(-LN(2)/2)*AB32+(1-EXP(-LN(2)/2))/(LN(2)/2)*V33*Y33*VLOOKUP('Données projet'!$B$9,Paramètres!$A$1:$I$88,3,0)*0.475*44/12</f>
        <v>14.947771657640125</v>
      </c>
      <c r="AC33" s="24">
        <f t="shared" si="3"/>
        <v>37.446849595581327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206</v>
      </c>
      <c r="AG33" s="13">
        <f>VLOOKUP(A33,'Données projet'!$A$61:$I$81,9,0)</f>
        <v>12.6</v>
      </c>
      <c r="AH33" s="13">
        <f t="array" ref="AH33">INDEX(AG:AG,MIN(IF(ISNUMBER(AG33:AG229),ROW(AG33:AG229),"")))</f>
        <v>12.6</v>
      </c>
      <c r="AI33" s="14">
        <f>IF('Données projet'!$A$62&gt;35,AI32+AH33-AQ32,IF(A33&lt;'Données projet'!$A$62,$AF$205^A33,IF(A33='Données projet'!$A$62,'Données projet'!$B$62,AI32+AH33-AQ32)))</f>
        <v>206</v>
      </c>
      <c r="AJ33" s="14">
        <f>AI33*VLOOKUP('Données projet'!$B$10,Paramètres!$A$1:$I$88,3,0)*VLOOKUP('Données projet'!$B$10,Paramètres!$A$1:$I$88,5,0)</f>
        <v>112.476</v>
      </c>
      <c r="AK33" s="14">
        <f t="shared" si="35"/>
        <v>29.913591585896675</v>
      </c>
      <c r="AL33" s="22">
        <f t="shared" si="4"/>
        <v>247.99520534543672</v>
      </c>
      <c r="AM33" s="62">
        <f t="shared" si="5"/>
        <v>493.12773121184432</v>
      </c>
      <c r="AN33" s="62">
        <f ca="1">AVERAGE(OFFSET($AM$3,0,0,'Données projet'!$E$10+1,1))-AVERAGE(OFFSET($H$3,0,0,'Données projet'!$E$10+1,1))</f>
        <v>243.3456100842846</v>
      </c>
      <c r="AO33" s="62">
        <f t="shared" si="36"/>
        <v>301.6462497303628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33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0.33600000000000002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24.336820088327261</v>
      </c>
      <c r="AW33" s="23">
        <f>EXP(-LN(2)/2)*AW32+(1-EXP(-LN(2)/2))/(LN(2)/2)*AQ33*AT33*VLOOKUP('Données projet'!$B$10,Paramètres!$A$1:$I$88,3,0)*0.475*44/12</f>
        <v>10.86110641892355</v>
      </c>
      <c r="AX33" s="23">
        <f t="shared" si="6"/>
        <v>35.197926507250813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108</v>
      </c>
      <c r="BB33" s="13">
        <f>VLOOKUP(A33,'Données projet'!$A$87:$I$107,9,0)</f>
        <v>7.6</v>
      </c>
      <c r="BC33" s="13">
        <f t="array" ref="BC33">INDEX(BB:BB,MIN(IF(ISNUMBER(BB33:BB229),ROW(BB33:BB229),"")))</f>
        <v>7.6</v>
      </c>
      <c r="BD33" s="13">
        <f>IF('Données projet'!$A$88&gt;35,BD32+BC33-BL32,IF(A33&lt;'Données projet'!$A$88,$BA$205^A33,IF(A33='Données projet'!$A$88,'Données projet'!$B$88,BD32+BC33-BL32)))</f>
        <v>108</v>
      </c>
      <c r="BE33" s="14">
        <f>BD33*VLOOKUP('Données projet'!$B$11,Paramètres!$A$1:$I$88,3,0)*VLOOKUP('Données projet'!$B$11,Paramètres!$A$1:$I$88,5,0)</f>
        <v>85.924800000000005</v>
      </c>
      <c r="BF33" s="14">
        <f t="shared" si="37"/>
        <v>23.579750090592171</v>
      </c>
      <c r="BG33" s="22">
        <f t="shared" si="7"/>
        <v>190.7204247411147</v>
      </c>
      <c r="BH33" s="62">
        <f t="shared" si="8"/>
        <v>435.8529506075223</v>
      </c>
      <c r="BI33" s="62">
        <f ca="1">AVERAGE(OFFSET($BH$3,0,0,'Données projet'!$E$11+1,1))-AVERAGE(OFFSET($H$3,0,0,'Données projet'!$E$11+1,1))</f>
        <v>219.20272956499281</v>
      </c>
      <c r="BJ33" s="62">
        <f t="shared" si="38"/>
        <v>244.37146912604081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16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56.854325236293001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4.4444444444444446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16.296296296296298</v>
      </c>
      <c r="H34" s="70">
        <f t="shared" si="1"/>
        <v>191.4814814814815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21.6</v>
      </c>
      <c r="N34" s="14">
        <f>IF('Données projet'!$A$36&gt;35,N33+M34-V33,IF(A34&lt;'Données projet'!$A$36,$K$205^A34,IF(A34='Données projet'!$A$36,'Données projet'!$B$36,N33+M34-V33)))</f>
        <v>335.59999999999997</v>
      </c>
      <c r="O34" s="14">
        <f>N34*VLOOKUP('Données projet'!$B$9,Paramètres!$A$1:$I$88,3,0)*VLOOKUP('Données projet'!$B$9,Paramètres!$A$1:$I$88,5,0)</f>
        <v>187.60040000000001</v>
      </c>
      <c r="P34" s="14">
        <f t="shared" si="33"/>
        <v>47.009043567098132</v>
      </c>
      <c r="Q34" s="22">
        <f t="shared" si="2"/>
        <v>408.61144754602924</v>
      </c>
      <c r="R34" s="62">
        <f t="shared" si="0"/>
        <v>654.58014966112626</v>
      </c>
      <c r="S34" s="62">
        <f ca="1">AVERAGE(OFFSET($R$3,0,0,'Données projet'!$E$9+1,1))-AVERAGE(OFFSET($H$3,0,0,'Données projet'!$E$9+1,1))</f>
        <v>415.21844537846482</v>
      </c>
      <c r="T34" s="62">
        <f t="shared" si="34"/>
        <v>491.25626166862321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21.883839468553113</v>
      </c>
      <c r="AB34" s="23">
        <f>EXP(-LN(2)/2)*AB33+(1-EXP(-LN(2)/2))/(LN(2)/2)*V34*Y34*VLOOKUP('Données projet'!$B$9,Paramètres!$A$1:$I$88,3,0)*0.475*44/12</f>
        <v>10.569670702745414</v>
      </c>
      <c r="AC34" s="24">
        <f t="shared" si="3"/>
        <v>32.453510171298525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11.2</v>
      </c>
      <c r="AI34" s="14">
        <f>IF('Données projet'!$A$62&gt;35,AI33+AH34-AQ33,IF(A34&lt;'Données projet'!$A$62,$AF$205^A34,IF(A34='Données projet'!$A$62,'Données projet'!$B$62,AI33+AH34-AQ33)))</f>
        <v>184.2</v>
      </c>
      <c r="AJ34" s="14">
        <f>AI34*VLOOKUP('Données projet'!$B$10,Paramètres!$A$1:$I$88,3,0)*VLOOKUP('Données projet'!$B$10,Paramètres!$A$1:$I$88,5,0)</f>
        <v>100.57319999999999</v>
      </c>
      <c r="AK34" s="14">
        <f t="shared" si="35"/>
        <v>27.098509085254605</v>
      </c>
      <c r="AL34" s="22">
        <f t="shared" si="4"/>
        <v>222.36155999015173</v>
      </c>
      <c r="AM34" s="62">
        <f t="shared" si="5"/>
        <v>468.33026210524878</v>
      </c>
      <c r="AN34" s="62">
        <f ca="1">AVERAGE(OFFSET($AM$3,0,0,'Données projet'!$E$10+1,1))-AVERAGE(OFFSET($H$3,0,0,'Données projet'!$E$10+1,1))</f>
        <v>243.3456100842846</v>
      </c>
      <c r="AO34" s="62">
        <f t="shared" si="36"/>
        <v>301.6462497303628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23.671328463194207</v>
      </c>
      <c r="AW34" s="23">
        <f>EXP(-LN(2)/2)*AW33+(1-EXP(-LN(2)/2))/(LN(2)/2)*AQ34*AT34*VLOOKUP('Données projet'!$B$10,Paramètres!$A$1:$I$88,3,0)*0.475*44/12</f>
        <v>7.6799620000095814</v>
      </c>
      <c r="AX34" s="23">
        <f t="shared" si="6"/>
        <v>31.351290463203789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99.8</v>
      </c>
      <c r="BE34" s="14">
        <f>BD34*VLOOKUP('Données projet'!$B$11,Paramètres!$A$1:$I$88,3,0)*VLOOKUP('Données projet'!$B$11,Paramètres!$A$1:$I$88,5,0)</f>
        <v>79.400880000000001</v>
      </c>
      <c r="BF34" s="14">
        <f t="shared" si="37"/>
        <v>21.990632147157569</v>
      </c>
      <c r="BG34" s="22">
        <f t="shared" si="7"/>
        <v>176.59021698963275</v>
      </c>
      <c r="BH34" s="62">
        <f t="shared" si="8"/>
        <v>422.5589191047298</v>
      </c>
      <c r="BI34" s="62">
        <f ca="1">AVERAGE(OFFSET($BH$3,0,0,'Données projet'!$E$11+1,1))-AVERAGE(OFFSET($H$3,0,0,'Données projet'!$E$11+1,1))</f>
        <v>219.20272956499281</v>
      </c>
      <c r="BJ34" s="62">
        <f t="shared" si="38"/>
        <v>244.37146912604081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57.082373304117382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4.4444444444444446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16.296296296296298</v>
      </c>
      <c r="H35" s="70">
        <f t="shared" si="1"/>
        <v>191.4814814814815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21.6</v>
      </c>
      <c r="N35" s="14">
        <f>IF('Données projet'!$A$36&gt;35,N34+M35-V34,IF(A35&lt;'Données projet'!$A$36,$K$205^A35,IF(A35='Données projet'!$A$36,'Données projet'!$B$36,N34+M35-V34)))</f>
        <v>357.2</v>
      </c>
      <c r="O35" s="14">
        <f>N35*VLOOKUP('Données projet'!$B$9,Paramètres!$A$1:$I$88,3,0)*VLOOKUP('Données projet'!$B$9,Paramètres!$A$1:$I$88,5,0)</f>
        <v>199.6748</v>
      </c>
      <c r="P35" s="14">
        <f t="shared" si="33"/>
        <v>49.672691840760869</v>
      </c>
      <c r="Q35" s="22">
        <f t="shared" ref="Q35:Q66" si="53">(O35+P35)*0.475*44/12</f>
        <v>434.28021495599182</v>
      </c>
      <c r="R35" s="62">
        <f t="shared" si="0"/>
        <v>681.07058753127353</v>
      </c>
      <c r="S35" s="62">
        <f ca="1">AVERAGE(OFFSET($R$3,0,0,'Données projet'!$E$9+1,1))-AVERAGE(OFFSET($H$3,0,0,'Données projet'!$E$9+1,1))</f>
        <v>415.21844537846482</v>
      </c>
      <c r="T35" s="62">
        <f t="shared" si="34"/>
        <v>491.25626166862321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21.285424727464427</v>
      </c>
      <c r="AB35" s="23">
        <f>EXP(-LN(2)/2)*AB34+(1-EXP(-LN(2)/2))/(LN(2)/2)*V35*Y35*VLOOKUP('Données projet'!$B$9,Paramètres!$A$1:$I$88,3,0)*0.475*44/12</f>
        <v>7.4738858288200642</v>
      </c>
      <c r="AC35" s="24">
        <f t="shared" si="3"/>
        <v>28.75931055628449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11.2</v>
      </c>
      <c r="AI35" s="14">
        <f>IF('Données projet'!$A$62&gt;35,AI34+AH35-AQ34,IF(A35&lt;'Données projet'!$A$62,$AF$205^A35,IF(A35='Données projet'!$A$62,'Données projet'!$B$62,AI34+AH35-AQ34)))</f>
        <v>195.39999999999998</v>
      </c>
      <c r="AJ35" s="14">
        <f>AI35*VLOOKUP('Données projet'!$B$10,Paramètres!$A$1:$I$88,3,0)*VLOOKUP('Données projet'!$B$10,Paramètres!$A$1:$I$88,5,0)</f>
        <v>106.68839999999999</v>
      </c>
      <c r="AK35" s="14">
        <f t="shared" si="35"/>
        <v>28.549363132997357</v>
      </c>
      <c r="AL35" s="22">
        <f t="shared" si="4"/>
        <v>235.5391041233037</v>
      </c>
      <c r="AM35" s="62">
        <f t="shared" si="5"/>
        <v>482.32947669858544</v>
      </c>
      <c r="AN35" s="62">
        <f ca="1">AVERAGE(OFFSET($AM$3,0,0,'Données projet'!$E$10+1,1))-AVERAGE(OFFSET($H$3,0,0,'Données projet'!$E$10+1,1))</f>
        <v>243.3456100842846</v>
      </c>
      <c r="AO35" s="62">
        <f t="shared" si="36"/>
        <v>301.6462497303628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23.024034741547098</v>
      </c>
      <c r="AW35" s="23">
        <f>EXP(-LN(2)/2)*AW34+(1-EXP(-LN(2)/2))/(LN(2)/2)*AQ35*AT35*VLOOKUP('Données projet'!$B$10,Paramètres!$A$1:$I$88,3,0)*0.475*44/12</f>
        <v>5.4305532094617757</v>
      </c>
      <c r="AX35" s="23">
        <f t="shared" si="6"/>
        <v>28.454587951008875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107.6</v>
      </c>
      <c r="BE35" s="14">
        <f>BD35*VLOOKUP('Données projet'!$B$11,Paramètres!$A$1:$I$88,3,0)*VLOOKUP('Données projet'!$B$11,Paramètres!$A$1:$I$88,5,0)</f>
        <v>85.606560000000002</v>
      </c>
      <c r="BF35" s="14">
        <f t="shared" si="37"/>
        <v>23.502566518382334</v>
      </c>
      <c r="BG35" s="22">
        <f t="shared" si="7"/>
        <v>190.03172868618256</v>
      </c>
      <c r="BH35" s="62">
        <f t="shared" si="8"/>
        <v>436.8221012614643</v>
      </c>
      <c r="BI35" s="62">
        <f ca="1">AVERAGE(OFFSET($BH$3,0,0,'Données projet'!$E$11+1,1))-AVERAGE(OFFSET($H$3,0,0,'Données projet'!$E$11+1,1))</f>
        <v>219.20272956499281</v>
      </c>
      <c r="BJ35" s="62">
        <f t="shared" si="38"/>
        <v>244.37146912604081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57.306465247804113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4.4444444444444446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16.296296296296298</v>
      </c>
      <c r="H36" s="70">
        <f t="shared" si="1"/>
        <v>191.4814814814815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21.6</v>
      </c>
      <c r="N36" s="14">
        <f>IF('Données projet'!$A$36&gt;35,N35+M36-V35,IF(A36&lt;'Données projet'!$A$36,$K$205^A36,IF(A36='Données projet'!$A$36,'Données projet'!$B$36,N35+M36-V35)))</f>
        <v>378.8</v>
      </c>
      <c r="O36" s="14">
        <f>N36*VLOOKUP('Données projet'!$B$9,Paramètres!$A$1:$I$88,3,0)*VLOOKUP('Données projet'!$B$9,Paramètres!$A$1:$I$88,5,0)</f>
        <v>211.74920000000003</v>
      </c>
      <c r="P36" s="14">
        <f t="shared" si="33"/>
        <v>52.317645175705572</v>
      </c>
      <c r="Q36" s="22">
        <f t="shared" si="53"/>
        <v>459.91642201435394</v>
      </c>
      <c r="R36" s="62">
        <f t="shared" si="0"/>
        <v>707.51421090431609</v>
      </c>
      <c r="S36" s="62">
        <f ca="1">AVERAGE(OFFSET($R$3,0,0,'Données projet'!$E$9+1,1))-AVERAGE(OFFSET($H$3,0,0,'Données projet'!$E$9+1,1))</f>
        <v>415.21844537846482</v>
      </c>
      <c r="T36" s="62">
        <f t="shared" si="34"/>
        <v>491.25626166862321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20.703373668940074</v>
      </c>
      <c r="AB36" s="23">
        <f>EXP(-LN(2)/2)*AB35+(1-EXP(-LN(2)/2))/(LN(2)/2)*V36*Y36*VLOOKUP('Données projet'!$B$9,Paramètres!$A$1:$I$88,3,0)*0.475*44/12</f>
        <v>5.284835351372708</v>
      </c>
      <c r="AC36" s="24">
        <f t="shared" si="3"/>
        <v>25.98820902031278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11.2</v>
      </c>
      <c r="AI36" s="14">
        <f>IF('Données projet'!$A$62&gt;35,AI35+AH36-AQ35,IF(A36&lt;'Données projet'!$A$62,$AF$205^A36,IF(A36='Données projet'!$A$62,'Données projet'!$B$62,AI35+AH36-AQ35)))</f>
        <v>206.59999999999997</v>
      </c>
      <c r="AJ36" s="14">
        <f>AI36*VLOOKUP('Données projet'!$B$10,Paramètres!$A$1:$I$88,3,0)*VLOOKUP('Données projet'!$B$10,Paramètres!$A$1:$I$88,5,0)</f>
        <v>112.80359999999997</v>
      </c>
      <c r="AK36" s="14">
        <f t="shared" si="35"/>
        <v>29.990563936842406</v>
      </c>
      <c r="AL36" s="22">
        <f t="shared" si="4"/>
        <v>248.6998355233338</v>
      </c>
      <c r="AM36" s="62">
        <f t="shared" si="5"/>
        <v>496.29762441329598</v>
      </c>
      <c r="AN36" s="62">
        <f ca="1">AVERAGE(OFFSET($AM$3,0,0,'Données projet'!$E$10+1,1))-AVERAGE(OFFSET($H$3,0,0,'Données projet'!$E$10+1,1))</f>
        <v>243.3456100842846</v>
      </c>
      <c r="AO36" s="62">
        <f t="shared" si="36"/>
        <v>301.6462497303628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22.394441300758128</v>
      </c>
      <c r="AW36" s="23">
        <f>EXP(-LN(2)/2)*AW35+(1-EXP(-LN(2)/2))/(LN(2)/2)*AQ36*AT36*VLOOKUP('Données projet'!$B$10,Paramètres!$A$1:$I$88,3,0)*0.475*44/12</f>
        <v>3.8399810000047916</v>
      </c>
      <c r="AX36" s="23">
        <f t="shared" si="6"/>
        <v>26.234422300762919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115.39999999999999</v>
      </c>
      <c r="BE36" s="14">
        <f>BD36*VLOOKUP('Données projet'!$B$11,Paramètres!$A$1:$I$88,3,0)*VLOOKUP('Données projet'!$B$11,Paramètres!$A$1:$I$88,5,0)</f>
        <v>91.812240000000003</v>
      </c>
      <c r="BF36" s="14">
        <f t="shared" si="37"/>
        <v>25.001785233596511</v>
      </c>
      <c r="BG36" s="22">
        <f t="shared" si="7"/>
        <v>203.45109394851394</v>
      </c>
      <c r="BH36" s="62">
        <f t="shared" si="8"/>
        <v>451.04888283847612</v>
      </c>
      <c r="BI36" s="62">
        <f ca="1">AVERAGE(OFFSET($BH$3,0,0,'Données projet'!$E$11+1,1))-AVERAGE(OFFSET($H$3,0,0,'Données projet'!$E$11+1,1))</f>
        <v>219.20272956499281</v>
      </c>
      <c r="BJ36" s="62">
        <f t="shared" si="38"/>
        <v>244.37146912604081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57.526669697262406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4.4444444444444446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16.296296296296298</v>
      </c>
      <c r="H37" s="70">
        <f t="shared" si="1"/>
        <v>191.4814814814815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21.6</v>
      </c>
      <c r="N37" s="14">
        <f>IF('Données projet'!$A$36&gt;35,N36+M37-V36,IF(A37&lt;'Données projet'!$A$36,$K$205^A37,IF(A37='Données projet'!$A$36,'Données projet'!$B$36,N36+M37-V36)))</f>
        <v>400.40000000000003</v>
      </c>
      <c r="O37" s="14">
        <f>N37*VLOOKUP('Données projet'!$B$9,Paramètres!$A$1:$I$88,3,0)*VLOOKUP('Données projet'!$B$9,Paramètres!$A$1:$I$88,5,0)</f>
        <v>223.82360000000003</v>
      </c>
      <c r="P37" s="14">
        <f t="shared" si="33"/>
        <v>54.945091065438675</v>
      </c>
      <c r="Q37" s="22">
        <f t="shared" si="53"/>
        <v>485.52213693897232</v>
      </c>
      <c r="R37" s="62">
        <f t="shared" si="0"/>
        <v>733.91333527566758</v>
      </c>
      <c r="S37" s="62">
        <f ca="1">AVERAGE(OFFSET($R$3,0,0,'Données projet'!$E$9+1,1))-AVERAGE(OFFSET($H$3,0,0,'Données projet'!$E$9+1,1))</f>
        <v>415.21844537846482</v>
      </c>
      <c r="T37" s="62">
        <f t="shared" si="34"/>
        <v>491.25626166862321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20.137238827219804</v>
      </c>
      <c r="AB37" s="23">
        <f>EXP(-LN(2)/2)*AB36+(1-EXP(-LN(2)/2))/(LN(2)/2)*V37*Y37*VLOOKUP('Données projet'!$B$9,Paramètres!$A$1:$I$88,3,0)*0.475*44/12</f>
        <v>3.7369429144100326</v>
      </c>
      <c r="AC37" s="24">
        <f t="shared" si="3"/>
        <v>23.874181741629837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11.2</v>
      </c>
      <c r="AI37" s="14">
        <f>IF('Données projet'!$A$62&gt;35,AI36+AH37-AQ36,IF(A37&lt;'Données projet'!$A$62,$AF$205^A37,IF(A37='Données projet'!$A$62,'Données projet'!$B$62,AI36+AH37-AQ36)))</f>
        <v>217.79999999999995</v>
      </c>
      <c r="AJ37" s="14">
        <f>AI37*VLOOKUP('Données projet'!$B$10,Paramètres!$A$1:$I$88,3,0)*VLOOKUP('Données projet'!$B$10,Paramètres!$A$1:$I$88,5,0)</f>
        <v>118.91879999999996</v>
      </c>
      <c r="AK37" s="14">
        <f t="shared" si="35"/>
        <v>31.422694469411539</v>
      </c>
      <c r="AL37" s="22">
        <f t="shared" si="4"/>
        <v>261.84476953422501</v>
      </c>
      <c r="AM37" s="62">
        <f t="shared" si="5"/>
        <v>510.23596787092032</v>
      </c>
      <c r="AN37" s="62">
        <f ca="1">AVERAGE(OFFSET($AM$3,0,0,'Données projet'!$E$10+1,1))-AVERAGE(OFFSET($H$3,0,0,'Données projet'!$E$10+1,1))</f>
        <v>243.3456100842846</v>
      </c>
      <c r="AO37" s="62">
        <f t="shared" si="36"/>
        <v>301.6462497303628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21.782064125716413</v>
      </c>
      <c r="AW37" s="23">
        <f>EXP(-LN(2)/2)*AW36+(1-EXP(-LN(2)/2))/(LN(2)/2)*AQ37*AT37*VLOOKUP('Données projet'!$B$10,Paramètres!$A$1:$I$88,3,0)*0.475*44/12</f>
        <v>2.7152766047308883</v>
      </c>
      <c r="AX37" s="23">
        <f t="shared" si="6"/>
        <v>24.497340730447302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123.19999999999999</v>
      </c>
      <c r="BE37" s="14">
        <f>BD37*VLOOKUP('Données projet'!$B$11,Paramètres!$A$1:$I$88,3,0)*VLOOKUP('Données projet'!$B$11,Paramètres!$A$1:$I$88,5,0)</f>
        <v>98.017919999999989</v>
      </c>
      <c r="BF37" s="14">
        <f t="shared" si="37"/>
        <v>26.489245540318151</v>
      </c>
      <c r="BG37" s="22">
        <f t="shared" si="7"/>
        <v>216.84997998272073</v>
      </c>
      <c r="BH37" s="62">
        <f t="shared" si="8"/>
        <v>465.24117831941601</v>
      </c>
      <c r="BI37" s="62">
        <f ca="1">AVERAGE(OFFSET($BH$3,0,0,'Données projet'!$E$11+1,1))-AVERAGE(OFFSET($H$3,0,0,'Données projet'!$E$11+1,1))</f>
        <v>219.20272956499281</v>
      </c>
      <c r="BJ37" s="62">
        <f t="shared" si="38"/>
        <v>244.37146912604081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57.743054091826004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4.4444444444444446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16.296296296296298</v>
      </c>
      <c r="H38" s="70">
        <f t="shared" si="1"/>
        <v>191.4814814814815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422</v>
      </c>
      <c r="L38" s="13">
        <f>VLOOKUP(A38,'Données projet'!$A$35:$I$55,9,0)</f>
        <v>21.6</v>
      </c>
      <c r="M38" s="13">
        <f t="array" ref="M38">INDEX(L:L,MIN(IF(ISNUMBER(L38:L234),ROW(L38:L234),"")))</f>
        <v>21.6</v>
      </c>
      <c r="N38" s="14">
        <f>IF('Données projet'!$A$36&gt;35,N37+M38-V37,IF(A38&lt;'Données projet'!$A$36,$K$205^A38,IF(A38='Données projet'!$A$36,'Données projet'!$B$36,N37+M38-V37)))</f>
        <v>422.00000000000006</v>
      </c>
      <c r="O38" s="14">
        <f>N38*VLOOKUP('Données projet'!$B$9,Paramètres!$A$1:$I$88,3,0)*VLOOKUP('Données projet'!$B$9,Paramètres!$A$1:$I$88,5,0)</f>
        <v>235.89800000000002</v>
      </c>
      <c r="P38" s="14">
        <f t="shared" si="33"/>
        <v>57.556081646252856</v>
      </c>
      <c r="Q38" s="22">
        <f t="shared" si="53"/>
        <v>511.09919220055707</v>
      </c>
      <c r="R38" s="62">
        <f t="shared" si="0"/>
        <v>760.2700361038826</v>
      </c>
      <c r="S38" s="62">
        <f ca="1">AVERAGE(OFFSET($R$3,0,0,'Données projet'!$E$9+1,1))-AVERAGE(OFFSET($H$3,0,0,'Données projet'!$E$9+1,1))</f>
        <v>415.21844537846482</v>
      </c>
      <c r="T38" s="62">
        <f t="shared" si="34"/>
        <v>491.25626166862321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50</v>
      </c>
      <c r="W38" s="17">
        <f>IF(ISNA(VLOOKUP(A38,'Données projet'!$A$35:$I$55,5,0)),0%,VLOOKUP(A38,'Données projet'!$A$35:$I$55,5,0)*VLOOKUP('Données projet'!$B$9,Paramètres!$A$1:$I$88,7,0))</f>
        <v>0.11000000000000001</v>
      </c>
      <c r="X38" s="17">
        <f>IF(ISNA(VLOOKUP(A38,'Données projet'!$A$35:$I$55,6,0)),0%,VLOOKUP(A38,'Données projet'!$A$35:$I$55,6,0)*VLOOKUP('Données projet'!$B$9,Paramètres!$A$1:$I$88,7,0))</f>
        <v>0.24640000000000006</v>
      </c>
      <c r="Y38" s="17">
        <f>IF(ISNA(VLOOKUP(A38,'Données projet'!$A$35:$I$55,7,0)),0%,VLOOKUP(A38,'Données projet'!$A$35:$I$55,7,0))</f>
        <v>0.35200000000000004</v>
      </c>
      <c r="Z38" s="23">
        <f>EXP(-LN(2)/35)*Z37+(1-EXP(-LN(2)/35))/(LN(2)/35)*V38*W38*VLOOKUP('Données projet'!$B$9,Paramètres!$A$1:$I$88,3,0)*0.475*44/12</f>
        <v>4.0785224182488671</v>
      </c>
      <c r="AA38" s="23">
        <f>EXP(-LN(2)/25)*AA37+(1-EXP(-LN(2)/25))/(LN(2)/25)*Calculateur!V38*Calculateur!X38*VLOOKUP('Données projet'!$B$9,Paramètres!$A$1:$I$88,3,0)*0.475*44/12</f>
        <v>28.686503708564647</v>
      </c>
      <c r="AB38" s="23">
        <f>EXP(-LN(2)/2)*AB37+(1-EXP(-LN(2)/2))/(LN(2)/2)*V38*Y38*VLOOKUP('Données projet'!$B$9,Paramètres!$A$1:$I$88,3,0)*0.475*44/12</f>
        <v>13.781771911670734</v>
      </c>
      <c r="AC38" s="24">
        <f t="shared" si="3"/>
        <v>46.546798038484255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229</v>
      </c>
      <c r="AG38" s="13">
        <f>VLOOKUP(A38,'Données projet'!$A$61:$I$81,9,0)</f>
        <v>11.2</v>
      </c>
      <c r="AH38" s="13">
        <f t="array" ref="AH38">INDEX(AG:AG,MIN(IF(ISNUMBER(AG38:AG234),ROW(AG38:AG234),"")))</f>
        <v>11.2</v>
      </c>
      <c r="AI38" s="14">
        <f>IF('Données projet'!$A$62&gt;35,AI37+AH38-AQ37,IF(A38&lt;'Données projet'!$A$62,$AF$205^A38,IF(A38='Données projet'!$A$62,'Données projet'!$B$62,AI37+AH38-AQ37)))</f>
        <v>228.99999999999994</v>
      </c>
      <c r="AJ38" s="14">
        <f>AI38*VLOOKUP('Données projet'!$B$10,Paramètres!$A$1:$I$88,3,0)*VLOOKUP('Données projet'!$B$10,Paramètres!$A$1:$I$88,5,0)</f>
        <v>125.03399999999998</v>
      </c>
      <c r="AK38" s="14">
        <f t="shared" si="35"/>
        <v>32.846274359997985</v>
      </c>
      <c r="AL38" s="22">
        <f t="shared" si="4"/>
        <v>274.97481117699641</v>
      </c>
      <c r="AM38" s="62">
        <f t="shared" si="5"/>
        <v>524.14565508032183</v>
      </c>
      <c r="AN38" s="62">
        <f ca="1">AVERAGE(OFFSET($AM$3,0,0,'Données projet'!$E$10+1,1))-AVERAGE(OFFSET($H$3,0,0,'Données projet'!$E$10+1,1))</f>
        <v>243.3456100842846</v>
      </c>
      <c r="AO38" s="62">
        <f t="shared" si="36"/>
        <v>301.6462497303628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30</v>
      </c>
      <c r="AR38" s="17">
        <f>IF(ISNA(VLOOKUP(A38,'Données projet'!$A$61:$I$81,5,0)),0%,VLOOKUP(A38,'Données projet'!$A$61:$I$81,5,0)*VLOOKUP('Données projet'!$B$10,Paramètres!$A$1:$I$88,7,0))</f>
        <v>0.12</v>
      </c>
      <c r="AS38" s="17">
        <f>IF(ISNA(VLOOKUP(A38,'Données projet'!$A$61:$I$81,6,0)),0%,VLOOKUP(A38,'Données projet'!$A$61:$I$81,6,0)*VLOOKUP('Données projet'!$B$10,Paramètres!$A$1:$I$88,7,0))</f>
        <v>0.26880000000000004</v>
      </c>
      <c r="AT38" s="17">
        <f>IF(ISNA(VLOOKUP(A38,'Données projet'!$A$61:$I$81,7,0)),0%,VLOOKUP(A38,'Données projet'!$A$61:$I$81,7,0))</f>
        <v>0.35200000000000004</v>
      </c>
      <c r="AU38" s="23">
        <f>EXP(-LN(2)/35)*AU37+(1-EXP(-LN(2)/35))/(LN(2)/35)*AQ38*AR38*VLOOKUP('Données projet'!$B$10,Paramètres!$A$1:$I$88,3,0)*0.475*44/12</f>
        <v>2.6074950936119601</v>
      </c>
      <c r="AV38" s="23">
        <f>EXP(-LN(2)/25)*AV37+(1-EXP(-LN(2)/25))/(LN(2)/25)*Calculateur!AQ38*Calculateur!AS38*VLOOKUP('Données projet'!$B$10,Paramètres!$A$1:$I$88,3,0)*0.475*44/12</f>
        <v>27.004224034574275</v>
      </c>
      <c r="AW38" s="23">
        <f>EXP(-LN(2)/2)*AW37+(1-EXP(-LN(2)/2))/(LN(2)/2)*AQ38*AT38*VLOOKUP('Données projet'!$B$10,Paramètres!$A$1:$I$88,3,0)*0.475*44/12</f>
        <v>8.4481701917885914</v>
      </c>
      <c r="AX38" s="23">
        <f t="shared" si="6"/>
        <v>38.059889319974829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131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131</v>
      </c>
      <c r="BE38" s="14">
        <f>BD38*VLOOKUP('Données projet'!$B$11,Paramètres!$A$1:$I$88,3,0)*VLOOKUP('Données projet'!$B$11,Paramètres!$A$1:$I$88,5,0)</f>
        <v>104.2236</v>
      </c>
      <c r="BF38" s="14">
        <f t="shared" si="37"/>
        <v>27.965776624274518</v>
      </c>
      <c r="BG38" s="22">
        <f t="shared" si="7"/>
        <v>230.2298309539448</v>
      </c>
      <c r="BH38" s="62">
        <f t="shared" si="8"/>
        <v>479.40067485727025</v>
      </c>
      <c r="BI38" s="62">
        <f ca="1">AVERAGE(OFFSET($BH$3,0,0,'Données projet'!$E$11+1,1))-AVERAGE(OFFSET($H$3,0,0,'Données projet'!$E$11+1,1))</f>
        <v>219.20272956499281</v>
      </c>
      <c r="BJ38" s="62">
        <f t="shared" si="38"/>
        <v>244.37146912604081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17</v>
      </c>
      <c r="BM38" s="17">
        <f>IF(ISNA(VLOOKUP(A38,'Données projet'!$A$87:$I$107,5,0)),0%,VLOOKUP(A38,'Données projet'!$A$87:$I$107,5,0)*VLOOKUP('Données projet'!$B$11,Paramètres!$A$1:$I$88,7,0))</f>
        <v>0.10600000000000001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1.5848810455894604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1.5848810455894604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57.95568470090695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4.4444444444444446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16.296296296296298</v>
      </c>
      <c r="H39" s="70">
        <f t="shared" si="1"/>
        <v>191.4814814814815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21</v>
      </c>
      <c r="N39" s="14">
        <f>IF('Données projet'!$A$36&gt;35,N38+M39-V38,IF(A39&lt;'Données projet'!$A$36,$K$205^A39,IF(A39='Données projet'!$A$36,'Données projet'!$B$36,N38+M39-V38)))</f>
        <v>393.00000000000006</v>
      </c>
      <c r="O39" s="14">
        <f>N39*VLOOKUP('Données projet'!$B$9,Paramètres!$A$1:$I$88,3,0)*VLOOKUP('Données projet'!$B$9,Paramètres!$A$1:$I$88,5,0)</f>
        <v>219.68700000000001</v>
      </c>
      <c r="P39" s="14">
        <f t="shared" si="33"/>
        <v>54.046851081096591</v>
      </c>
      <c r="Q39" s="22">
        <f t="shared" si="53"/>
        <v>476.75312396624321</v>
      </c>
      <c r="R39" s="62">
        <f t="shared" si="0"/>
        <v>726.69008832864415</v>
      </c>
      <c r="S39" s="62">
        <f ca="1">AVERAGE(OFFSET($R$3,0,0,'Données projet'!$E$9+1,1))-AVERAGE(OFFSET($H$3,0,0,'Données projet'!$E$9+1,1))</f>
        <v>415.21844537846482</v>
      </c>
      <c r="T39" s="62">
        <f t="shared" si="34"/>
        <v>491.25626166862321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3.9985450812800467</v>
      </c>
      <c r="AA39" s="23">
        <f>EXP(-LN(2)/25)*AA38+(1-EXP(-LN(2)/25))/(LN(2)/25)*Calculateur!V39*Calculateur!X39*VLOOKUP('Données projet'!$B$9,Paramètres!$A$1:$I$88,3,0)*0.475*44/12</f>
        <v>27.902069756096282</v>
      </c>
      <c r="AB39" s="23">
        <f>EXP(-LN(2)/2)*AB38+(1-EXP(-LN(2)/2))/(LN(2)/2)*V39*Y39*VLOOKUP('Données projet'!$B$9,Paramètres!$A$1:$I$88,3,0)*0.475*44/12</f>
        <v>9.745184375508666</v>
      </c>
      <c r="AC39" s="24">
        <f t="shared" si="3"/>
        <v>41.645799212884995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208.99999999999994</v>
      </c>
      <c r="AJ39" s="14">
        <f>AI39*VLOOKUP('Données projet'!$B$10,Paramètres!$A$1:$I$88,3,0)*VLOOKUP('Données projet'!$B$10,Paramètres!$A$1:$I$88,5,0)</f>
        <v>114.11399999999996</v>
      </c>
      <c r="AK39" s="14">
        <f t="shared" si="35"/>
        <v>30.298194021728271</v>
      </c>
      <c r="AL39" s="22">
        <f t="shared" si="4"/>
        <v>251.5179045878433</v>
      </c>
      <c r="AM39" s="62">
        <f t="shared" si="5"/>
        <v>501.45486895024419</v>
      </c>
      <c r="AN39" s="62">
        <f ca="1">AVERAGE(OFFSET($AM$3,0,0,'Données projet'!$E$10+1,1))-AVERAGE(OFFSET($H$3,0,0,'Données projet'!$E$10+1,1))</f>
        <v>243.3456100842846</v>
      </c>
      <c r="AO39" s="62">
        <f t="shared" si="36"/>
        <v>301.6462497303628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2.5563637052411963</v>
      </c>
      <c r="AV39" s="23">
        <f>EXP(-LN(2)/25)*AV38+(1-EXP(-LN(2)/25))/(LN(2)/25)*Calculateur!AQ39*Calculateur!AS39*VLOOKUP('Données projet'!$B$10,Paramètres!$A$1:$I$88,3,0)*0.475*44/12</f>
        <v>26.265792108258417</v>
      </c>
      <c r="AW39" s="23">
        <f>EXP(-LN(2)/2)*AW38+(1-EXP(-LN(2)/2))/(LN(2)/2)*AQ39*AT39*VLOOKUP('Données projet'!$B$10,Paramètres!$A$1:$I$88,3,0)*0.475*44/12</f>
        <v>5.9737584312317695</v>
      </c>
      <c r="AX39" s="23">
        <f t="shared" si="6"/>
        <v>34.795914244731385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7.8</v>
      </c>
      <c r="BD39" s="13">
        <f>IF('Données projet'!$A$88&gt;35,BD38+BC39-BL38,IF(A39&lt;'Données projet'!$A$88,$BA$205^A39,IF(A39='Données projet'!$A$88,'Données projet'!$B$88,BD38+BC39-BL38)))</f>
        <v>121.80000000000001</v>
      </c>
      <c r="BE39" s="14">
        <f>BD39*VLOOKUP('Données projet'!$B$11,Paramètres!$A$1:$I$88,3,0)*VLOOKUP('Données projet'!$B$11,Paramètres!$A$1:$I$88,5,0)</f>
        <v>96.904080000000022</v>
      </c>
      <c r="BF39" s="14">
        <f t="shared" si="37"/>
        <v>26.22309277865865</v>
      </c>
      <c r="BG39" s="22">
        <f t="shared" si="7"/>
        <v>214.44649258949718</v>
      </c>
      <c r="BH39" s="62">
        <f t="shared" si="8"/>
        <v>464.3834569518981</v>
      </c>
      <c r="BI39" s="62">
        <f ca="1">AVERAGE(OFFSET($BH$3,0,0,'Données projet'!$E$11+1,1))-AVERAGE(OFFSET($H$3,0,0,'Données projet'!$E$11+1,1))</f>
        <v>219.20272956499281</v>
      </c>
      <c r="BJ39" s="62">
        <f t="shared" si="38"/>
        <v>244.37146912604081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1.5538024949674369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1.5538024949674369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58.164626644291168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4.4444444444444446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16.296296296296298</v>
      </c>
      <c r="H40" s="70">
        <f t="shared" si="1"/>
        <v>191.4814814814815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21</v>
      </c>
      <c r="N40" s="14">
        <f>IF('Données projet'!$A$36&gt;35,N39+M40-V39,IF(A40&lt;'Données projet'!$A$36,$K$205^A40,IF(A40='Données projet'!$A$36,'Données projet'!$B$36,N39+M40-V39)))</f>
        <v>414.00000000000006</v>
      </c>
      <c r="O40" s="14">
        <f>N40*VLOOKUP('Données projet'!$B$9,Paramètres!$A$1:$I$88,3,0)*VLOOKUP('Données projet'!$B$9,Paramètres!$A$1:$I$88,5,0)</f>
        <v>231.42600000000002</v>
      </c>
      <c r="P40" s="14">
        <f t="shared" si="33"/>
        <v>56.590905067453221</v>
      </c>
      <c r="Q40" s="22">
        <f t="shared" si="53"/>
        <v>501.62944299248107</v>
      </c>
      <c r="R40" s="62">
        <f t="shared" si="0"/>
        <v>752.31923733678127</v>
      </c>
      <c r="S40" s="62">
        <f ca="1">AVERAGE(OFFSET($R$3,0,0,'Données projet'!$E$9+1,1))-AVERAGE(OFFSET($H$3,0,0,'Données projet'!$E$9+1,1))</f>
        <v>415.21844537846482</v>
      </c>
      <c r="T40" s="62">
        <f t="shared" si="34"/>
        <v>491.25626166862321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3.9201360511078258</v>
      </c>
      <c r="AA40" s="23">
        <f>EXP(-LN(2)/25)*AA39+(1-EXP(-LN(2)/25))/(LN(2)/25)*Calculateur!V40*Calculateur!X40*VLOOKUP('Données projet'!$B$9,Paramètres!$A$1:$I$88,3,0)*0.475*44/12</f>
        <v>27.139086191309751</v>
      </c>
      <c r="AB40" s="23">
        <f>EXP(-LN(2)/2)*AB39+(1-EXP(-LN(2)/2))/(LN(2)/2)*V40*Y40*VLOOKUP('Données projet'!$B$9,Paramètres!$A$1:$I$88,3,0)*0.475*44/12</f>
        <v>6.8908859558353681</v>
      </c>
      <c r="AC40" s="24">
        <f t="shared" si="3"/>
        <v>37.950108198252941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218.99999999999994</v>
      </c>
      <c r="AJ40" s="14">
        <f>AI40*VLOOKUP('Données projet'!$B$10,Paramètres!$A$1:$I$88,3,0)*VLOOKUP('Données projet'!$B$10,Paramètres!$A$1:$I$88,5,0)</f>
        <v>119.57399999999997</v>
      </c>
      <c r="AK40" s="14">
        <f t="shared" si="35"/>
        <v>31.575621234412871</v>
      </c>
      <c r="AL40" s="22">
        <f t="shared" si="4"/>
        <v>263.25225698326904</v>
      </c>
      <c r="AM40" s="62">
        <f t="shared" si="5"/>
        <v>513.94205132756929</v>
      </c>
      <c r="AN40" s="62">
        <f ca="1">AVERAGE(OFFSET($AM$3,0,0,'Données projet'!$E$10+1,1))-AVERAGE(OFFSET($H$3,0,0,'Données projet'!$E$10+1,1))</f>
        <v>243.3456100842846</v>
      </c>
      <c r="AO40" s="62">
        <f t="shared" si="36"/>
        <v>301.6462497303628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2.5062349722093158</v>
      </c>
      <c r="AV40" s="23">
        <f>EXP(-LN(2)/25)*AV39+(1-EXP(-LN(2)/25))/(LN(2)/25)*Calculateur!AQ40*Calculateur!AS40*VLOOKUP('Données projet'!$B$10,Paramètres!$A$1:$I$88,3,0)*0.475*44/12</f>
        <v>25.547552641800113</v>
      </c>
      <c r="AW40" s="23">
        <f>EXP(-LN(2)/2)*AW39+(1-EXP(-LN(2)/2))/(LN(2)/2)*AQ40*AT40*VLOOKUP('Données projet'!$B$10,Paramètres!$A$1:$I$88,3,0)*0.475*44/12</f>
        <v>4.2240850958942966</v>
      </c>
      <c r="AX40" s="23">
        <f t="shared" si="6"/>
        <v>32.277872709903725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7.8</v>
      </c>
      <c r="BD40" s="13">
        <f>IF('Données projet'!$A$88&gt;35,BD39+BC40-BL39,IF(A40&lt;'Données projet'!$A$88,$BA$205^A40,IF(A40='Données projet'!$A$88,'Données projet'!$B$88,BD39+BC40-BL39)))</f>
        <v>129.60000000000002</v>
      </c>
      <c r="BE40" s="14">
        <f>BD40*VLOOKUP('Données projet'!$B$11,Paramètres!$A$1:$I$88,3,0)*VLOOKUP('Données projet'!$B$11,Paramètres!$A$1:$I$88,5,0)</f>
        <v>103.10976000000004</v>
      </c>
      <c r="BF40" s="14">
        <f t="shared" si="37"/>
        <v>27.701529389122925</v>
      </c>
      <c r="BG40" s="22">
        <f t="shared" si="7"/>
        <v>227.82966235272249</v>
      </c>
      <c r="BH40" s="62">
        <f t="shared" si="8"/>
        <v>478.51945669702275</v>
      </c>
      <c r="BI40" s="62">
        <f ca="1">AVERAGE(OFFSET($BH$3,0,0,'Données projet'!$E$11+1,1))-AVERAGE(OFFSET($H$3,0,0,'Données projet'!$E$11+1,1))</f>
        <v>219.20272956499281</v>
      </c>
      <c r="BJ40" s="62">
        <f t="shared" si="38"/>
        <v>244.37146912604081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1.5233333757670673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1.5233333757670673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58.369943912081879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4.4444444444444446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16.296296296296298</v>
      </c>
      <c r="H41" s="70">
        <f t="shared" si="1"/>
        <v>191.4814814814815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21</v>
      </c>
      <c r="N41" s="14">
        <f>IF('Données projet'!$A$36&gt;35,N40+M41-V40,IF(A41&lt;'Données projet'!$A$36,$K$205^A41,IF(A41='Données projet'!$A$36,'Données projet'!$B$36,N40+M41-V40)))</f>
        <v>435.00000000000006</v>
      </c>
      <c r="O41" s="14">
        <f>N41*VLOOKUP('Données projet'!$B$9,Paramètres!$A$1:$I$88,3,0)*VLOOKUP('Données projet'!$B$9,Paramètres!$A$1:$I$88,5,0)</f>
        <v>243.16500000000002</v>
      </c>
      <c r="P41" s="14">
        <f t="shared" si="33"/>
        <v>59.119975548046618</v>
      </c>
      <c r="Q41" s="22">
        <f t="shared" si="53"/>
        <v>526.47966574618124</v>
      </c>
      <c r="R41" s="62">
        <f t="shared" si="0"/>
        <v>777.90923015527051</v>
      </c>
      <c r="S41" s="62">
        <f ca="1">AVERAGE(OFFSET($R$3,0,0,'Données projet'!$E$9+1,1))-AVERAGE(OFFSET($H$3,0,0,'Données projet'!$E$9+1,1))</f>
        <v>415.21844537846482</v>
      </c>
      <c r="T41" s="62">
        <f t="shared" si="34"/>
        <v>491.25626166862321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3.8432645741924962</v>
      </c>
      <c r="AA41" s="23">
        <f>EXP(-LN(2)/25)*AA40+(1-EXP(-LN(2)/25))/(LN(2)/25)*Calculateur!V41*Calculateur!X41*VLOOKUP('Données projet'!$B$9,Paramètres!$A$1:$I$88,3,0)*0.475*44/12</f>
        <v>26.396966452225872</v>
      </c>
      <c r="AB41" s="23">
        <f>EXP(-LN(2)/2)*AB40+(1-EXP(-LN(2)/2))/(LN(2)/2)*V41*Y41*VLOOKUP('Données projet'!$B$9,Paramètres!$A$1:$I$88,3,0)*0.475*44/12</f>
        <v>4.872592187754333</v>
      </c>
      <c r="AC41" s="24">
        <f t="shared" si="3"/>
        <v>35.1128232141727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228.99999999999994</v>
      </c>
      <c r="AJ41" s="14">
        <f>AI41*VLOOKUP('Données projet'!$B$10,Paramètres!$A$1:$I$88,3,0)*VLOOKUP('Données projet'!$B$10,Paramètres!$A$1:$I$88,5,0)</f>
        <v>125.03399999999998</v>
      </c>
      <c r="AK41" s="14">
        <f t="shared" si="35"/>
        <v>32.846274359997985</v>
      </c>
      <c r="AL41" s="22">
        <f t="shared" si="4"/>
        <v>274.97481117699641</v>
      </c>
      <c r="AM41" s="62">
        <f t="shared" si="5"/>
        <v>526.40437558608562</v>
      </c>
      <c r="AN41" s="62">
        <f ca="1">AVERAGE(OFFSET($AM$3,0,0,'Données projet'!$E$10+1,1))-AVERAGE(OFFSET($H$3,0,0,'Données projet'!$E$10+1,1))</f>
        <v>243.3456100842846</v>
      </c>
      <c r="AO41" s="62">
        <f t="shared" si="36"/>
        <v>301.6462497303628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2.4570892330566823</v>
      </c>
      <c r="AV41" s="23">
        <f>EXP(-LN(2)/25)*AV40+(1-EXP(-LN(2)/25))/(LN(2)/25)*Calculateur!AQ41*Calculateur!AS41*VLOOKUP('Données projet'!$B$10,Paramètres!$A$1:$I$88,3,0)*0.475*44/12</f>
        <v>24.848953471322684</v>
      </c>
      <c r="AW41" s="23">
        <f>EXP(-LN(2)/2)*AW40+(1-EXP(-LN(2)/2))/(LN(2)/2)*AQ41*AT41*VLOOKUP('Données projet'!$B$10,Paramètres!$A$1:$I$88,3,0)*0.475*44/12</f>
        <v>2.9868792156158852</v>
      </c>
      <c r="AX41" s="23">
        <f t="shared" si="6"/>
        <v>30.292921919995251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7.8</v>
      </c>
      <c r="BD41" s="13">
        <f>IF('Données projet'!$A$88&gt;35,BD40+BC41-BL40,IF(A41&lt;'Données projet'!$A$88,$BA$205^A41,IF(A41='Données projet'!$A$88,'Données projet'!$B$88,BD40+BC41-BL40)))</f>
        <v>137.40000000000003</v>
      </c>
      <c r="BE41" s="14">
        <f>BD41*VLOOKUP('Données projet'!$B$11,Paramètres!$A$1:$I$88,3,0)*VLOOKUP('Données projet'!$B$11,Paramètres!$A$1:$I$88,5,0)</f>
        <v>109.31544000000002</v>
      </c>
      <c r="BF41" s="14">
        <f t="shared" si="37"/>
        <v>29.169638343948144</v>
      </c>
      <c r="BG41" s="22">
        <f t="shared" si="7"/>
        <v>241.19484478237641</v>
      </c>
      <c r="BH41" s="62">
        <f t="shared" si="8"/>
        <v>492.62440919146565</v>
      </c>
      <c r="BI41" s="62">
        <f ca="1">AVERAGE(OFFSET($BH$3,0,0,'Données projet'!$E$11+1,1))-AVERAGE(OFFSET($H$3,0,0,'Données projet'!$E$11+1,1))</f>
        <v>219.20272956499281</v>
      </c>
      <c r="BJ41" s="62">
        <f t="shared" si="38"/>
        <v>244.37146912604081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1.4934617374098893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1.4934617374098893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58.571699384297069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4.4444444444444446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16.296296296296298</v>
      </c>
      <c r="H42" s="70">
        <f t="shared" si="1"/>
        <v>191.4814814814815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21</v>
      </c>
      <c r="N42" s="14">
        <f>IF('Données projet'!$A$36&gt;35,N41+M42-V41,IF(A42&lt;'Données projet'!$A$36,$K$205^A42,IF(A42='Données projet'!$A$36,'Données projet'!$B$36,N41+M42-V41)))</f>
        <v>456.00000000000006</v>
      </c>
      <c r="O42" s="14">
        <f>N42*VLOOKUP('Données projet'!$B$9,Paramètres!$A$1:$I$88,3,0)*VLOOKUP('Données projet'!$B$9,Paramètres!$A$1:$I$88,5,0)</f>
        <v>254.90400000000002</v>
      </c>
      <c r="P42" s="14">
        <f t="shared" si="33"/>
        <v>61.634868437438257</v>
      </c>
      <c r="Q42" s="22">
        <f t="shared" si="53"/>
        <v>551.30519586187165</v>
      </c>
      <c r="R42" s="62">
        <f t="shared" si="0"/>
        <v>803.46169697900393</v>
      </c>
      <c r="S42" s="62">
        <f ca="1">AVERAGE(OFFSET($R$3,0,0,'Données projet'!$E$9+1,1))-AVERAGE(OFFSET($H$3,0,0,'Données projet'!$E$9+1,1))</f>
        <v>415.21844537846482</v>
      </c>
      <c r="T42" s="62">
        <f t="shared" si="34"/>
        <v>491.25626166862321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3.7679005000525052</v>
      </c>
      <c r="AA42" s="23">
        <f>EXP(-LN(2)/25)*AA41+(1-EXP(-LN(2)/25))/(LN(2)/25)*Calculateur!V42*Calculateur!X42*VLOOKUP('Données projet'!$B$9,Paramètres!$A$1:$I$88,3,0)*0.475*44/12</f>
        <v>25.67514001643362</v>
      </c>
      <c r="AB42" s="23">
        <f>EXP(-LN(2)/2)*AB41+(1-EXP(-LN(2)/2))/(LN(2)/2)*V42*Y42*VLOOKUP('Données projet'!$B$9,Paramètres!$A$1:$I$88,3,0)*0.475*44/12</f>
        <v>3.4454429779176841</v>
      </c>
      <c r="AC42" s="24">
        <f t="shared" si="3"/>
        <v>32.888483494403808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238.99999999999994</v>
      </c>
      <c r="AJ42" s="14">
        <f>AI42*VLOOKUP('Données projet'!$B$10,Paramètres!$A$1:$I$88,3,0)*VLOOKUP('Données projet'!$B$10,Paramètres!$A$1:$I$88,5,0)</f>
        <v>130.49399999999997</v>
      </c>
      <c r="AK42" s="14">
        <f t="shared" si="35"/>
        <v>34.110483018610772</v>
      </c>
      <c r="AL42" s="22">
        <f t="shared" si="4"/>
        <v>286.68614125741368</v>
      </c>
      <c r="AM42" s="62">
        <f t="shared" si="5"/>
        <v>538.8426423745459</v>
      </c>
      <c r="AN42" s="62">
        <f ca="1">AVERAGE(OFFSET($AM$3,0,0,'Données projet'!$E$10+1,1))-AVERAGE(OFFSET($H$3,0,0,'Données projet'!$E$10+1,1))</f>
        <v>243.3456100842846</v>
      </c>
      <c r="AO42" s="62">
        <f t="shared" si="36"/>
        <v>301.6462497303628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2.4089072118728909</v>
      </c>
      <c r="AV42" s="23">
        <f>EXP(-LN(2)/25)*AV41+(1-EXP(-LN(2)/25))/(LN(2)/25)*Calculateur!AQ42*Calculateur!AS42*VLOOKUP('Données projet'!$B$10,Paramètres!$A$1:$I$88,3,0)*0.475*44/12</f>
        <v>24.169457531899695</v>
      </c>
      <c r="AW42" s="23">
        <f>EXP(-LN(2)/2)*AW41+(1-EXP(-LN(2)/2))/(LN(2)/2)*AQ42*AT42*VLOOKUP('Données projet'!$B$10,Paramètres!$A$1:$I$88,3,0)*0.475*44/12</f>
        <v>2.1120425479471487</v>
      </c>
      <c r="AX42" s="23">
        <f t="shared" si="6"/>
        <v>28.690407291719733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7.8</v>
      </c>
      <c r="BD42" s="13">
        <f>IF('Données projet'!$A$88&gt;35,BD41+BC42-BL41,IF(A42&lt;'Données projet'!$A$88,$BA$205^A42,IF(A42='Données projet'!$A$88,'Données projet'!$B$88,BD41+BC42-BL41)))</f>
        <v>145.20000000000005</v>
      </c>
      <c r="BE42" s="14">
        <f>BD42*VLOOKUP('Données projet'!$B$11,Paramètres!$A$1:$I$88,3,0)*VLOOKUP('Données projet'!$B$11,Paramètres!$A$1:$I$88,5,0)</f>
        <v>115.52112000000004</v>
      </c>
      <c r="BF42" s="14">
        <f t="shared" si="37"/>
        <v>30.628072736204775</v>
      </c>
      <c r="BG42" s="22">
        <f t="shared" si="7"/>
        <v>254.54317734889003</v>
      </c>
      <c r="BH42" s="62">
        <f t="shared" si="8"/>
        <v>506.69967846602231</v>
      </c>
      <c r="BI42" s="62">
        <f ca="1">AVERAGE(OFFSET($BH$3,0,0,'Données projet'!$E$11+1,1))-AVERAGE(OFFSET($H$3,0,0,'Données projet'!$E$11+1,1))</f>
        <v>219.20272956499281</v>
      </c>
      <c r="BJ42" s="62">
        <f t="shared" si="38"/>
        <v>244.37146912604081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1.4641758636609952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1.4641758636609952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58.769954850126979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4.4444444444444446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16.296296296296298</v>
      </c>
      <c r="H43" s="70">
        <f t="shared" si="1"/>
        <v>191.4814814814815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477</v>
      </c>
      <c r="L43" s="13">
        <f>VLOOKUP(A43,'Données projet'!$A$35:$I$55,9,0)</f>
        <v>21</v>
      </c>
      <c r="M43" s="13">
        <f t="array" ref="M43">INDEX(L:L,MIN(IF(ISNUMBER(L43:L239),ROW(L43:L239),"")))</f>
        <v>21</v>
      </c>
      <c r="N43" s="14">
        <f>IF('Données projet'!$A$36&gt;35,N42+M43-V42,IF(A43&lt;'Données projet'!$A$36,$K$205^A43,IF(A43='Données projet'!$A$36,'Données projet'!$B$36,N42+M43-V42)))</f>
        <v>477.00000000000006</v>
      </c>
      <c r="O43" s="14">
        <f>N43*VLOOKUP('Données projet'!$B$9,Paramètres!$A$1:$I$88,3,0)*VLOOKUP('Données projet'!$B$9,Paramètres!$A$1:$I$88,5,0)</f>
        <v>266.64300000000003</v>
      </c>
      <c r="P43" s="14">
        <f t="shared" si="33"/>
        <v>64.136311225795083</v>
      </c>
      <c r="Q43" s="22">
        <f t="shared" si="53"/>
        <v>576.10730038492648</v>
      </c>
      <c r="R43" s="62">
        <f t="shared" si="0"/>
        <v>828.97812748340425</v>
      </c>
      <c r="S43" s="62">
        <f ca="1">AVERAGE(OFFSET($R$3,0,0,'Données projet'!$E$9+1,1))-AVERAGE(OFFSET($H$3,0,0,'Données projet'!$E$9+1,1))</f>
        <v>415.21844537846482</v>
      </c>
      <c r="T43" s="62">
        <f t="shared" si="34"/>
        <v>491.25626166862321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projet'!$B$9,Paramètres!$A$1:$I$88,7,0))</f>
        <v>0.11000000000000001</v>
      </c>
      <c r="X43" s="17">
        <f>IF(ISNA(VLOOKUP(A43,'Données projet'!$A$35:$I$55,6,0)),0%,VLOOKUP(A43,'Données projet'!$A$35:$I$55,6,0)*VLOOKUP('Données projet'!$B$9,Paramètres!$A$1:$I$88,7,0))</f>
        <v>0.24640000000000006</v>
      </c>
      <c r="Y43" s="17">
        <f>IF(ISNA(VLOOKUP(A43,'Données projet'!$A$35:$I$55,7,0)),0%,VLOOKUP(A43,'Données projet'!$A$35:$I$55,7,0))</f>
        <v>0.35200000000000004</v>
      </c>
      <c r="Z43" s="23">
        <f>EXP(-LN(2)/35)*Z42+(1-EXP(-LN(2)/35))/(LN(2)/35)*V43*W43*VLOOKUP('Données projet'!$B$9,Paramètres!$A$1:$I$88,3,0)*0.475*44/12</f>
        <v>7.7725366876877207</v>
      </c>
      <c r="AA43" s="23">
        <f>EXP(-LN(2)/25)*AA42+(1-EXP(-LN(2)/25))/(LN(2)/25)*Calculateur!V43*Calculateur!X43*VLOOKUP('Données projet'!$B$9,Paramètres!$A$1:$I$88,3,0)*0.475*44/12</f>
        <v>34.072970698533844</v>
      </c>
      <c r="AB43" s="23">
        <f>EXP(-LN(2)/2)*AB42+(1-EXP(-LN(2)/2))/(LN(2)/2)*V43*Y43*VLOOKUP('Données projet'!$B$9,Paramètres!$A$1:$I$88,3,0)*0.475*44/12</f>
        <v>13.575650329861546</v>
      </c>
      <c r="AC43" s="24">
        <f t="shared" si="3"/>
        <v>55.421157716083108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249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248.99999999999994</v>
      </c>
      <c r="AJ43" s="14">
        <f>AI43*VLOOKUP('Données projet'!$B$10,Paramètres!$A$1:$I$88,3,0)*VLOOKUP('Données projet'!$B$10,Paramètres!$A$1:$I$88,5,0)</f>
        <v>135.95399999999998</v>
      </c>
      <c r="AK43" s="14">
        <f t="shared" si="35"/>
        <v>35.368547686628148</v>
      </c>
      <c r="AL43" s="22">
        <f t="shared" si="4"/>
        <v>298.38677055421061</v>
      </c>
      <c r="AM43" s="62">
        <f t="shared" si="5"/>
        <v>551.25759765268833</v>
      </c>
      <c r="AN43" s="62">
        <f ca="1">AVERAGE(OFFSET($AM$3,0,0,'Données projet'!$E$10+1,1))-AVERAGE(OFFSET($H$3,0,0,'Données projet'!$E$10+1,1))</f>
        <v>243.3456100842846</v>
      </c>
      <c r="AO43" s="62">
        <f t="shared" si="36"/>
        <v>301.6462497303628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projet'!$B$10,Paramètres!$A$1:$I$88,7,0))</f>
        <v>0.12</v>
      </c>
      <c r="AS43" s="17">
        <f>IF(ISNA(VLOOKUP(A43,'Données projet'!$A$61:$I$81,6,0)),0%,VLOOKUP(A43,'Données projet'!$A$61:$I$81,6,0)*VLOOKUP('Données projet'!$B$10,Paramètres!$A$1:$I$88,7,0))</f>
        <v>0.26880000000000004</v>
      </c>
      <c r="AT43" s="17">
        <f>IF(ISNA(VLOOKUP(A43,'Données projet'!$A$61:$I$81,7,0)),0%,VLOOKUP(A43,'Données projet'!$A$61:$I$81,7,0))</f>
        <v>0.35200000000000004</v>
      </c>
      <c r="AU43" s="23">
        <f>EXP(-LN(2)/35)*AU42+(1-EXP(-LN(2)/35))/(LN(2)/35)*AQ43*AR43*VLOOKUP('Données projet'!$B$10,Paramètres!$A$1:$I$88,3,0)*0.475*44/12</f>
        <v>4.7953320981075453</v>
      </c>
      <c r="AV43" s="23">
        <f>EXP(-LN(2)/25)*AV42+(1-EXP(-LN(2)/25))/(LN(2)/25)*Calculateur!AQ43*Calculateur!AS43*VLOOKUP('Données projet'!$B$10,Paramètres!$A$1:$I$88,3,0)*0.475*44/12</f>
        <v>28.938481269328278</v>
      </c>
      <c r="AW43" s="23">
        <f>EXP(-LN(2)/2)*AW42+(1-EXP(-LN(2)/2))/(LN(2)/2)*AQ43*AT43*VLOOKUP('Données projet'!$B$10,Paramètres!$A$1:$I$88,3,0)*0.475*44/12</f>
        <v>7.5864073201417268</v>
      </c>
      <c r="AX43" s="23">
        <f t="shared" si="6"/>
        <v>41.320220687577546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153</v>
      </c>
      <c r="BB43" s="13">
        <f>VLOOKUP(A43,'Données projet'!$A$87:$I$107,9,0)</f>
        <v>7.8</v>
      </c>
      <c r="BC43" s="13">
        <f t="array" ref="BC43">INDEX(BB:BB,MIN(IF(ISNUMBER(BB43:BB239),ROW(BB43:BB239),"")))</f>
        <v>7.8</v>
      </c>
      <c r="BD43" s="13">
        <f>IF('Données projet'!$A$88&gt;35,BD42+BC43-BL42,IF(A43&lt;'Données projet'!$A$88,$BA$205^A43,IF(A43='Données projet'!$A$88,'Données projet'!$B$88,BD42+BC43-BL42)))</f>
        <v>153.00000000000006</v>
      </c>
      <c r="BE43" s="14">
        <f>BD43*VLOOKUP('Données projet'!$B$11,Paramètres!$A$1:$I$88,3,0)*VLOOKUP('Données projet'!$B$11,Paramètres!$A$1:$I$88,5,0)</f>
        <v>121.72680000000005</v>
      </c>
      <c r="BF43" s="14">
        <f t="shared" si="37"/>
        <v>32.077411529031998</v>
      </c>
      <c r="BG43" s="22">
        <f t="shared" si="7"/>
        <v>267.87566841306415</v>
      </c>
      <c r="BH43" s="62">
        <f t="shared" si="8"/>
        <v>520.74649551154187</v>
      </c>
      <c r="BI43" s="62">
        <f ca="1">AVERAGE(OFFSET($BH$3,0,0,'Données projet'!$E$11+1,1))-AVERAGE(OFFSET($H$3,0,0,'Données projet'!$E$11+1,1))</f>
        <v>219.20272956499281</v>
      </c>
      <c r="BJ43" s="62">
        <f t="shared" si="38"/>
        <v>244.37146912604081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18</v>
      </c>
      <c r="BM43" s="17">
        <f>IF(ISNA(VLOOKUP(A43,'Données projet'!$A$87:$I$107,5,0)),0%,VLOOKUP(A43,'Données projet'!$A$87:$I$107,5,0)*VLOOKUP('Données projet'!$B$11,Paramètres!$A$1:$I$88,7,0))</f>
        <v>0.159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3.9526282816169576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3.9526282816169576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58.964771026857569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4.4444444444444446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16.296296296296298</v>
      </c>
      <c r="H44" s="70">
        <f t="shared" si="1"/>
        <v>191.4814814814815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20.2</v>
      </c>
      <c r="N44" s="14">
        <f>IF('Données projet'!$A$36&gt;35,N43+M44-V43,IF(A44&lt;'Données projet'!$A$36,$K$205^A44,IF(A44='Données projet'!$A$36,'Données projet'!$B$36,N43+M44-V43)))</f>
        <v>447.20000000000005</v>
      </c>
      <c r="O44" s="14">
        <f>N44*VLOOKUP('Données projet'!$B$9,Paramètres!$A$1:$I$88,3,0)*VLOOKUP('Données projet'!$B$9,Paramètres!$A$1:$I$88,5,0)</f>
        <v>249.98480000000004</v>
      </c>
      <c r="P44" s="14">
        <f t="shared" si="33"/>
        <v>60.582685989596904</v>
      </c>
      <c r="Q44" s="22">
        <f t="shared" si="53"/>
        <v>540.90503809854795</v>
      </c>
      <c r="R44" s="62">
        <f t="shared" si="0"/>
        <v>794.47779921958852</v>
      </c>
      <c r="S44" s="62">
        <f ca="1">AVERAGE(OFFSET($R$3,0,0,'Données projet'!$E$9+1,1))-AVERAGE(OFFSET($H$3,0,0,'Données projet'!$E$9+1,1))</f>
        <v>415.21844537846482</v>
      </c>
      <c r="T44" s="62">
        <f t="shared" si="34"/>
        <v>491.25626166862321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7.6201219840214307</v>
      </c>
      <c r="AA44" s="23">
        <f>EXP(-LN(2)/25)*AA43+(1-EXP(-LN(2)/25))/(LN(2)/25)*Calculateur!V44*Calculateur!X44*VLOOKUP('Données projet'!$B$9,Paramètres!$A$1:$I$88,3,0)*0.475*44/12</f>
        <v>33.141243522962782</v>
      </c>
      <c r="AB44" s="23">
        <f>EXP(-LN(2)/2)*AB43+(1-EXP(-LN(2)/2))/(LN(2)/2)*V44*Y44*VLOOKUP('Données projet'!$B$9,Paramètres!$A$1:$I$88,3,0)*0.475*44/12</f>
        <v>9.5994344072624909</v>
      </c>
      <c r="AC44" s="24">
        <f t="shared" si="3"/>
        <v>50.360799914246705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229.39999999999992</v>
      </c>
      <c r="AJ44" s="14">
        <f>AI44*VLOOKUP('Données projet'!$B$10,Paramètres!$A$1:$I$88,3,0)*VLOOKUP('Données projet'!$B$10,Paramètres!$A$1:$I$88,5,0)</f>
        <v>125.25239999999995</v>
      </c>
      <c r="AK44" s="14">
        <f t="shared" si="35"/>
        <v>32.896964350361941</v>
      </c>
      <c r="AL44" s="22">
        <f t="shared" si="4"/>
        <v>275.44347624354697</v>
      </c>
      <c r="AM44" s="62">
        <f t="shared" si="5"/>
        <v>529.01623736458748</v>
      </c>
      <c r="AN44" s="62">
        <f ca="1">AVERAGE(OFFSET($AM$3,0,0,'Données projet'!$E$10+1,1))-AVERAGE(OFFSET($H$3,0,0,'Données projet'!$E$10+1,1))</f>
        <v>243.3456100842846</v>
      </c>
      <c r="AO44" s="62">
        <f t="shared" si="36"/>
        <v>301.6462497303628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4.7012985605274302</v>
      </c>
      <c r="AV44" s="23">
        <f>EXP(-LN(2)/25)*AV43+(1-EXP(-LN(2)/25))/(LN(2)/25)*Calculateur!AQ44*Calculateur!AS44*VLOOKUP('Données projet'!$B$10,Paramètres!$A$1:$I$88,3,0)*0.475*44/12</f>
        <v>28.147156977209907</v>
      </c>
      <c r="AW44" s="23">
        <f>EXP(-LN(2)/2)*AW43+(1-EXP(-LN(2)/2))/(LN(2)/2)*AQ44*AT44*VLOOKUP('Données projet'!$B$10,Paramètres!$A$1:$I$88,3,0)*0.475*44/12</f>
        <v>5.3644000609154787</v>
      </c>
      <c r="AX44" s="23">
        <f t="shared" si="6"/>
        <v>38.212855598652816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7.6</v>
      </c>
      <c r="BD44" s="13">
        <f>IF('Données projet'!$A$88&gt;35,BD43+BC44-BL43,IF(A44&lt;'Données projet'!$A$88,$BA$205^A44,IF(A44='Données projet'!$A$88,'Données projet'!$B$88,BD43+BC44-BL43)))</f>
        <v>142.60000000000005</v>
      </c>
      <c r="BE44" s="14">
        <f>BD44*VLOOKUP('Données projet'!$B$11,Paramètres!$A$1:$I$88,3,0)*VLOOKUP('Données projet'!$B$11,Paramètres!$A$1:$I$88,5,0)</f>
        <v>113.45256000000005</v>
      </c>
      <c r="BF44" s="14">
        <f t="shared" si="37"/>
        <v>30.142965766856573</v>
      </c>
      <c r="BG44" s="22">
        <f t="shared" si="7"/>
        <v>250.09554071060856</v>
      </c>
      <c r="BH44" s="62">
        <f t="shared" si="8"/>
        <v>503.6683018316491</v>
      </c>
      <c r="BI44" s="62">
        <f ca="1">AVERAGE(OFFSET($BH$3,0,0,'Données projet'!$E$11+1,1))-AVERAGE(OFFSET($H$3,0,0,'Données projet'!$E$11+1,1))</f>
        <v>219.20272956499281</v>
      </c>
      <c r="BJ44" s="62">
        <f t="shared" si="38"/>
        <v>244.37146912604081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3.8751196518796478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3.8751196518796478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59.156207578465597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4.4444444444444446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16.296296296296298</v>
      </c>
      <c r="H45" s="70">
        <f t="shared" si="1"/>
        <v>191.4814814814815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20.2</v>
      </c>
      <c r="N45" s="14">
        <f>IF('Données projet'!$A$36&gt;35,N44+M45-V44,IF(A45&lt;'Données projet'!$A$36,$K$205^A45,IF(A45='Données projet'!$A$36,'Données projet'!$B$36,N44+M45-V44)))</f>
        <v>467.40000000000003</v>
      </c>
      <c r="O45" s="14">
        <f>N45*VLOOKUP('Données projet'!$B$9,Paramètres!$A$1:$I$88,3,0)*VLOOKUP('Données projet'!$B$9,Paramètres!$A$1:$I$88,5,0)</f>
        <v>261.27660000000003</v>
      </c>
      <c r="P45" s="14">
        <f t="shared" si="33"/>
        <v>62.994419867882641</v>
      </c>
      <c r="Q45" s="22">
        <f t="shared" si="53"/>
        <v>564.7720262698956</v>
      </c>
      <c r="R45" s="62">
        <f t="shared" si="0"/>
        <v>819.03454442749683</v>
      </c>
      <c r="S45" s="62">
        <f ca="1">AVERAGE(OFFSET($R$3,0,0,'Données projet'!$E$9+1,1))-AVERAGE(OFFSET($H$3,0,0,'Données projet'!$E$9+1,1))</f>
        <v>415.21844537846482</v>
      </c>
      <c r="T45" s="62">
        <f t="shared" si="34"/>
        <v>491.25626166862321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7.4706960397302469</v>
      </c>
      <c r="AA45" s="23">
        <f>EXP(-LN(2)/25)*AA44+(1-EXP(-LN(2)/25))/(LN(2)/25)*Calculateur!V45*Calculateur!X45*VLOOKUP('Données projet'!$B$9,Paramètres!$A$1:$I$88,3,0)*0.475*44/12</f>
        <v>32.234994476005113</v>
      </c>
      <c r="AB45" s="23">
        <f>EXP(-LN(2)/2)*AB44+(1-EXP(-LN(2)/2))/(LN(2)/2)*V45*Y45*VLOOKUP('Données projet'!$B$9,Paramètres!$A$1:$I$88,3,0)*0.475*44/12</f>
        <v>6.7878251649307737</v>
      </c>
      <c r="AC45" s="24">
        <f t="shared" si="3"/>
        <v>46.493515680666135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237.79999999999993</v>
      </c>
      <c r="AJ45" s="14">
        <f>AI45*VLOOKUP('Données projet'!$B$10,Paramètres!$A$1:$I$88,3,0)*VLOOKUP('Données projet'!$B$10,Paramètres!$A$1:$I$88,5,0)</f>
        <v>129.83879999999996</v>
      </c>
      <c r="AK45" s="14">
        <f t="shared" si="35"/>
        <v>33.959108055900977</v>
      </c>
      <c r="AL45" s="22">
        <f t="shared" si="4"/>
        <v>285.2813565306941</v>
      </c>
      <c r="AM45" s="62">
        <f t="shared" si="5"/>
        <v>539.54387468829532</v>
      </c>
      <c r="AN45" s="62">
        <f ca="1">AVERAGE(OFFSET($AM$3,0,0,'Données projet'!$E$10+1,1))-AVERAGE(OFFSET($H$3,0,0,'Données projet'!$E$10+1,1))</f>
        <v>243.3456100842846</v>
      </c>
      <c r="AO45" s="62">
        <f t="shared" si="36"/>
        <v>301.6462497303628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4.6091089632644664</v>
      </c>
      <c r="AV45" s="23">
        <f>EXP(-LN(2)/25)*AV44+(1-EXP(-LN(2)/25))/(LN(2)/25)*Calculateur!AQ45*Calculateur!AS45*VLOOKUP('Données projet'!$B$10,Paramètres!$A$1:$I$88,3,0)*0.475*44/12</f>
        <v>27.377471489473447</v>
      </c>
      <c r="AW45" s="23">
        <f>EXP(-LN(2)/2)*AW44+(1-EXP(-LN(2)/2))/(LN(2)/2)*AQ45*AT45*VLOOKUP('Données projet'!$B$10,Paramètres!$A$1:$I$88,3,0)*0.475*44/12</f>
        <v>3.7932036600708638</v>
      </c>
      <c r="AX45" s="23">
        <f t="shared" si="6"/>
        <v>35.779784112808777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7.6</v>
      </c>
      <c r="BD45" s="13">
        <f>IF('Données projet'!$A$88&gt;35,BD44+BC45-BL44,IF(A45&lt;'Données projet'!$A$88,$BA$205^A45,IF(A45='Données projet'!$A$88,'Données projet'!$B$88,BD44+BC45-BL44)))</f>
        <v>150.20000000000005</v>
      </c>
      <c r="BE45" s="14">
        <f>BD45*VLOOKUP('Données projet'!$B$11,Paramètres!$A$1:$I$88,3,0)*VLOOKUP('Données projet'!$B$11,Paramètres!$A$1:$I$88,5,0)</f>
        <v>119.49912000000003</v>
      </c>
      <c r="BF45" s="14">
        <f t="shared" si="37"/>
        <v>31.558148836124793</v>
      </c>
      <c r="BG45" s="22">
        <f t="shared" si="7"/>
        <v>263.0914098895841</v>
      </c>
      <c r="BH45" s="62">
        <f t="shared" si="8"/>
        <v>517.35392804718526</v>
      </c>
      <c r="BI45" s="62">
        <f ca="1">AVERAGE(OFFSET($BH$3,0,0,'Données projet'!$E$11+1,1))-AVERAGE(OFFSET($H$3,0,0,'Données projet'!$E$11+1,1))</f>
        <v>219.20272956499281</v>
      </c>
      <c r="BJ45" s="62">
        <f t="shared" si="38"/>
        <v>244.37146912604081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3.7991309190958904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3.7991309190958904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59.344323133891244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4.4444444444444446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16.296296296296298</v>
      </c>
      <c r="H46" s="70">
        <f t="shared" si="1"/>
        <v>191.4814814814815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20.2</v>
      </c>
      <c r="N46" s="14">
        <f>IF('Données projet'!$A$36&gt;35,N45+M46-V45,IF(A46&lt;'Données projet'!$A$36,$K$205^A46,IF(A46='Données projet'!$A$36,'Données projet'!$B$36,N45+M46-V45)))</f>
        <v>487.6</v>
      </c>
      <c r="O46" s="14">
        <f>N46*VLOOKUP('Données projet'!$B$9,Paramètres!$A$1:$I$88,3,0)*VLOOKUP('Données projet'!$B$9,Paramètres!$A$1:$I$88,5,0)</f>
        <v>272.5684</v>
      </c>
      <c r="P46" s="14">
        <f t="shared" si="33"/>
        <v>65.394047878996318</v>
      </c>
      <c r="Q46" s="22">
        <f t="shared" si="53"/>
        <v>588.61793005591858</v>
      </c>
      <c r="R46" s="62">
        <f t="shared" si="0"/>
        <v>843.55823950756189</v>
      </c>
      <c r="S46" s="62">
        <f ca="1">AVERAGE(OFFSET($R$3,0,0,'Données projet'!$E$9+1,1))-AVERAGE(OFFSET($H$3,0,0,'Données projet'!$E$9+1,1))</f>
        <v>415.21844537846482</v>
      </c>
      <c r="T46" s="62">
        <f t="shared" si="34"/>
        <v>491.25626166862321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7.3242002470657868</v>
      </c>
      <c r="AA46" s="23">
        <f>EXP(-LN(2)/25)*AA45+(1-EXP(-LN(2)/25))/(LN(2)/25)*Calculateur!V46*Calculateur!X46*VLOOKUP('Données projet'!$B$9,Paramètres!$A$1:$I$88,3,0)*0.475*44/12</f>
        <v>31.353526856894067</v>
      </c>
      <c r="AB46" s="23">
        <f>EXP(-LN(2)/2)*AB45+(1-EXP(-LN(2)/2))/(LN(2)/2)*V46*Y46*VLOOKUP('Données projet'!$B$9,Paramètres!$A$1:$I$88,3,0)*0.475*44/12</f>
        <v>4.7997172036312454</v>
      </c>
      <c r="AC46" s="24">
        <f t="shared" si="3"/>
        <v>43.477444307591099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246.19999999999993</v>
      </c>
      <c r="AJ46" s="14">
        <f>AI46*VLOOKUP('Données projet'!$B$10,Paramètres!$A$1:$I$88,3,0)*VLOOKUP('Données projet'!$B$10,Paramètres!$A$1:$I$88,5,0)</f>
        <v>134.42519999999996</v>
      </c>
      <c r="AK46" s="14">
        <f t="shared" si="35"/>
        <v>35.016892563641036</v>
      </c>
      <c r="AL46" s="22">
        <f t="shared" si="4"/>
        <v>295.11164454834136</v>
      </c>
      <c r="AM46" s="62">
        <f t="shared" si="5"/>
        <v>550.05195399998468</v>
      </c>
      <c r="AN46" s="62">
        <f ca="1">AVERAGE(OFFSET($AM$3,0,0,'Données projet'!$E$10+1,1))-AVERAGE(OFFSET($H$3,0,0,'Données projet'!$E$10+1,1))</f>
        <v>243.3456100842846</v>
      </c>
      <c r="AO46" s="62">
        <f t="shared" si="36"/>
        <v>301.6462497303628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4.5187271477737267</v>
      </c>
      <c r="AV46" s="23">
        <f>EXP(-LN(2)/25)*AV45+(1-EXP(-LN(2)/25))/(LN(2)/25)*Calculateur!AQ46*Calculateur!AS46*VLOOKUP('Données projet'!$B$10,Paramètres!$A$1:$I$88,3,0)*0.475*44/12</f>
        <v>26.628833091875141</v>
      </c>
      <c r="AW46" s="23">
        <f>EXP(-LN(2)/2)*AW45+(1-EXP(-LN(2)/2))/(LN(2)/2)*AQ46*AT46*VLOOKUP('Données projet'!$B$10,Paramètres!$A$1:$I$88,3,0)*0.475*44/12</f>
        <v>2.6822000304577398</v>
      </c>
      <c r="AX46" s="23">
        <f t="shared" si="6"/>
        <v>33.829760270106611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7.6</v>
      </c>
      <c r="BD46" s="13">
        <f>IF('Données projet'!$A$88&gt;35,BD45+BC46-BL45,IF(A46&lt;'Données projet'!$A$88,$BA$205^A46,IF(A46='Données projet'!$A$88,'Données projet'!$B$88,BD45+BC46-BL45)))</f>
        <v>157.80000000000004</v>
      </c>
      <c r="BE46" s="14">
        <f>BD46*VLOOKUP('Données projet'!$B$11,Paramètres!$A$1:$I$88,3,0)*VLOOKUP('Données projet'!$B$11,Paramètres!$A$1:$I$88,5,0)</f>
        <v>125.54568000000005</v>
      </c>
      <c r="BF46" s="14">
        <f t="shared" si="37"/>
        <v>32.965017587166145</v>
      </c>
      <c r="BG46" s="22">
        <f t="shared" si="7"/>
        <v>276.07279829764781</v>
      </c>
      <c r="BH46" s="62">
        <f t="shared" si="8"/>
        <v>531.01310774929107</v>
      </c>
      <c r="BI46" s="62">
        <f ca="1">AVERAGE(OFFSET($BH$3,0,0,'Données projet'!$E$11+1,1))-AVERAGE(OFFSET($H$3,0,0,'Données projet'!$E$11+1,1))</f>
        <v>219.20272956499281</v>
      </c>
      <c r="BJ46" s="62">
        <f t="shared" si="38"/>
        <v>244.37146912604081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3.724632279013472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3.724632279013472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59.529175304993622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4.4444444444444446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16.296296296296298</v>
      </c>
      <c r="H47" s="70">
        <f t="shared" si="1"/>
        <v>191.4814814814815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20.2</v>
      </c>
      <c r="N47" s="14">
        <f>IF('Données projet'!$A$36&gt;35,N46+M47-V46,IF(A47&lt;'Données projet'!$A$36,$K$205^A47,IF(A47='Données projet'!$A$36,'Données projet'!$B$36,N46+M47-V46)))</f>
        <v>507.8</v>
      </c>
      <c r="O47" s="14">
        <f>N47*VLOOKUP('Données projet'!$B$9,Paramètres!$A$1:$I$88,3,0)*VLOOKUP('Données projet'!$B$9,Paramètres!$A$1:$I$88,5,0)</f>
        <v>283.86020000000002</v>
      </c>
      <c r="P47" s="14">
        <f t="shared" si="33"/>
        <v>67.782128892060015</v>
      </c>
      <c r="Q47" s="22">
        <f t="shared" si="53"/>
        <v>612.44372282033794</v>
      </c>
      <c r="R47" s="62">
        <f t="shared" si="0"/>
        <v>868.05006540238605</v>
      </c>
      <c r="S47" s="62">
        <f ca="1">AVERAGE(OFFSET($R$3,0,0,'Données projet'!$E$9+1,1))-AVERAGE(OFFSET($H$3,0,0,'Données projet'!$E$9+1,1))</f>
        <v>415.21844537846482</v>
      </c>
      <c r="T47" s="62">
        <f t="shared" si="34"/>
        <v>491.25626166862321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7.1805771475418663</v>
      </c>
      <c r="AA47" s="23">
        <f>EXP(-LN(2)/25)*AA46+(1-EXP(-LN(2)/25))/(LN(2)/25)*Calculateur!V47*Calculateur!X47*VLOOKUP('Données projet'!$B$9,Paramètres!$A$1:$I$88,3,0)*0.475*44/12</f>
        <v>30.496163016181981</v>
      </c>
      <c r="AB47" s="23">
        <f>EXP(-LN(2)/2)*AB46+(1-EXP(-LN(2)/2))/(LN(2)/2)*V47*Y47*VLOOKUP('Données projet'!$B$9,Paramètres!$A$1:$I$88,3,0)*0.475*44/12</f>
        <v>3.3939125824653869</v>
      </c>
      <c r="AC47" s="24">
        <f t="shared" si="3"/>
        <v>41.070652746189239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254.59999999999994</v>
      </c>
      <c r="AJ47" s="14">
        <f>AI47*VLOOKUP('Données projet'!$B$10,Paramètres!$A$1:$I$88,3,0)*VLOOKUP('Données projet'!$B$10,Paramètres!$A$1:$I$88,5,0)</f>
        <v>139.01159999999996</v>
      </c>
      <c r="AK47" s="14">
        <f t="shared" si="35"/>
        <v>36.070483651541458</v>
      </c>
      <c r="AL47" s="22">
        <f t="shared" si="4"/>
        <v>304.93462902643461</v>
      </c>
      <c r="AM47" s="62">
        <f t="shared" si="5"/>
        <v>560.54097160848266</v>
      </c>
      <c r="AN47" s="62">
        <f ca="1">AVERAGE(OFFSET($AM$3,0,0,'Données projet'!$E$10+1,1))-AVERAGE(OFFSET($H$3,0,0,'Données projet'!$E$10+1,1))</f>
        <v>243.3456100842846</v>
      </c>
      <c r="AO47" s="62">
        <f t="shared" si="36"/>
        <v>301.6462497303628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4.4301176645572964</v>
      </c>
      <c r="AV47" s="23">
        <f>EXP(-LN(2)/25)*AV46+(1-EXP(-LN(2)/25))/(LN(2)/25)*Calculateur!AQ47*Calculateur!AS47*VLOOKUP('Données projet'!$B$10,Paramètres!$A$1:$I$88,3,0)*0.475*44/12</f>
        <v>25.900666250628344</v>
      </c>
      <c r="AW47" s="23">
        <f>EXP(-LN(2)/2)*AW46+(1-EXP(-LN(2)/2))/(LN(2)/2)*AQ47*AT47*VLOOKUP('Données projet'!$B$10,Paramètres!$A$1:$I$88,3,0)*0.475*44/12</f>
        <v>1.8966018300354321</v>
      </c>
      <c r="AX47" s="23">
        <f t="shared" si="6"/>
        <v>32.227385745221071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7.6</v>
      </c>
      <c r="BD47" s="13">
        <f>IF('Données projet'!$A$88&gt;35,BD46+BC47-BL46,IF(A47&lt;'Données projet'!$A$88,$BA$205^A47,IF(A47='Données projet'!$A$88,'Données projet'!$B$88,BD46+BC47-BL46)))</f>
        <v>165.40000000000003</v>
      </c>
      <c r="BE47" s="14">
        <f>BD47*VLOOKUP('Données projet'!$B$11,Paramètres!$A$1:$I$88,3,0)*VLOOKUP('Données projet'!$B$11,Paramètres!$A$1:$I$88,5,0)</f>
        <v>131.59224000000003</v>
      </c>
      <c r="BF47" s="14">
        <f t="shared" si="37"/>
        <v>34.364018169045494</v>
      </c>
      <c r="BG47" s="22">
        <f t="shared" si="7"/>
        <v>289.04048297775427</v>
      </c>
      <c r="BH47" s="62">
        <f t="shared" si="8"/>
        <v>544.64682555980232</v>
      </c>
      <c r="BI47" s="62">
        <f ca="1">AVERAGE(OFFSET($BH$3,0,0,'Données projet'!$E$11+1,1))-AVERAGE(OFFSET($H$3,0,0,'Données projet'!$E$11+1,1))</f>
        <v>219.20272956499281</v>
      </c>
      <c r="BJ47" s="62">
        <f t="shared" si="38"/>
        <v>244.37146912604081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3.6515945118233861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3.6515945118233861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59.71082070419493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4.4444444444444446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16.296296296296298</v>
      </c>
      <c r="H48" s="70">
        <f t="shared" si="1"/>
        <v>191.4814814814815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528</v>
      </c>
      <c r="L48" s="13">
        <f>VLOOKUP(A48,'Données projet'!$A$35:$I$55,9,0)</f>
        <v>20.2</v>
      </c>
      <c r="M48" s="13">
        <f t="array" ref="M48">INDEX(L:L,MIN(IF(ISNUMBER(L48:L244),ROW(L48:L244),"")))</f>
        <v>20.2</v>
      </c>
      <c r="N48" s="14">
        <f>IF('Données projet'!$A$36&gt;35,N47+M48-V47,IF(A48&lt;'Données projet'!$A$36,$K$205^A48,IF(A48='Données projet'!$A$36,'Données projet'!$B$36,N47+M48-V47)))</f>
        <v>528</v>
      </c>
      <c r="O48" s="14">
        <f>N48*VLOOKUP('Données projet'!$B$9,Paramètres!$A$1:$I$88,3,0)*VLOOKUP('Données projet'!$B$9,Paramètres!$A$1:$I$88,5,0)</f>
        <v>295.15199999999999</v>
      </c>
      <c r="P48" s="14">
        <f t="shared" si="33"/>
        <v>70.159174796274201</v>
      </c>
      <c r="Q48" s="22">
        <f t="shared" si="53"/>
        <v>636.25029610351078</v>
      </c>
      <c r="R48" s="62">
        <f t="shared" si="0"/>
        <v>892.51111763017821</v>
      </c>
      <c r="S48" s="62">
        <f ca="1">AVERAGE(OFFSET($R$3,0,0,'Données projet'!$E$9+1,1))-AVERAGE(OFFSET($H$3,0,0,'Données projet'!$E$9+1,1))</f>
        <v>415.21844537846482</v>
      </c>
      <c r="T48" s="62">
        <f t="shared" si="34"/>
        <v>491.25626166862321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52</v>
      </c>
      <c r="W48" s="17">
        <f>IF(ISNA(VLOOKUP(A48,'Données projet'!$A$35:$I$55,5,0)),0%,VLOOKUP(A48,'Données projet'!$A$35:$I$55,5,0)*VLOOKUP('Données projet'!$B$9,Paramètres!$A$1:$I$88,7,0))</f>
        <v>0.22000000000000003</v>
      </c>
      <c r="X48" s="17">
        <f>IF(ISNA(VLOOKUP(A48,'Données projet'!$A$35:$I$55,6,0)),0%,VLOOKUP(A48,'Données projet'!$A$35:$I$55,6,0)*VLOOKUP('Données projet'!$B$9,Paramètres!$A$1:$I$88,7,0))</f>
        <v>0.18480000000000002</v>
      </c>
      <c r="Y48" s="17">
        <f>IF(ISNA(VLOOKUP(A48,'Données projet'!$A$35:$I$55,7,0)),0%,VLOOKUP(A48,'Données projet'!$A$35:$I$55,7,0))</f>
        <v>0.26400000000000001</v>
      </c>
      <c r="Z48" s="23">
        <f>EXP(-LN(2)/35)*Z47+(1-EXP(-LN(2)/35))/(LN(2)/35)*V48*W48*VLOOKUP('Données projet'!$B$9,Paramètres!$A$1:$I$88,3,0)*0.475*44/12</f>
        <v>15.523097039355811</v>
      </c>
      <c r="AA48" s="23">
        <f>EXP(-LN(2)/25)*AA47+(1-EXP(-LN(2)/25))/(LN(2)/25)*Calculateur!V48*Calculateur!X48*VLOOKUP('Données projet'!$B$9,Paramètres!$A$1:$I$88,3,0)*0.475*44/12</f>
        <v>36.760180448897266</v>
      </c>
      <c r="AB48" s="23">
        <f>EXP(-LN(2)/2)*AB47+(1-EXP(-LN(2)/2))/(LN(2)/2)*V48*Y48*VLOOKUP('Données projet'!$B$9,Paramètres!$A$1:$I$88,3,0)*0.475*44/12</f>
        <v>11.088554905883441</v>
      </c>
      <c r="AC48" s="24">
        <f t="shared" si="3"/>
        <v>63.371832394136518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263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262.99999999999994</v>
      </c>
      <c r="AJ48" s="14">
        <f>AI48*VLOOKUP('Données projet'!$B$10,Paramètres!$A$1:$I$88,3,0)*VLOOKUP('Données projet'!$B$10,Paramètres!$A$1:$I$88,5,0)</f>
        <v>143.59799999999996</v>
      </c>
      <c r="AK48" s="14">
        <f t="shared" si="35"/>
        <v>37.120035537734495</v>
      </c>
      <c r="AL48" s="22">
        <f t="shared" si="4"/>
        <v>314.75057856155416</v>
      </c>
      <c r="AM48" s="62">
        <f t="shared" si="5"/>
        <v>571.01140008822154</v>
      </c>
      <c r="AN48" s="62">
        <f ca="1">AVERAGE(OFFSET($AM$3,0,0,'Données projet'!$E$10+1,1))-AVERAGE(OFFSET($H$3,0,0,'Données projet'!$E$10+1,1))</f>
        <v>243.3456100842846</v>
      </c>
      <c r="AO48" s="62">
        <f t="shared" si="36"/>
        <v>301.6462497303628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24</v>
      </c>
      <c r="AR48" s="17">
        <f>IF(ISNA(VLOOKUP(A48,'Données projet'!$A$61:$I$81,5,0)),0%,VLOOKUP(A48,'Données projet'!$A$61:$I$81,5,0)*VLOOKUP('Données projet'!$B$10,Paramètres!$A$1:$I$88,7,0))</f>
        <v>0.24</v>
      </c>
      <c r="AS48" s="17">
        <f>IF(ISNA(VLOOKUP(A48,'Données projet'!$A$61:$I$81,6,0)),0%,VLOOKUP(A48,'Données projet'!$A$61:$I$81,6,0)*VLOOKUP('Données projet'!$B$10,Paramètres!$A$1:$I$88,7,0))</f>
        <v>0.2016</v>
      </c>
      <c r="AT48" s="17">
        <f>IF(ISNA(VLOOKUP(A48,'Données projet'!$A$61:$I$81,7,0)),0%,VLOOKUP(A48,'Données projet'!$A$61:$I$81,7,0))</f>
        <v>0.26400000000000001</v>
      </c>
      <c r="AU48" s="23">
        <f>EXP(-LN(2)/35)*AU47+(1-EXP(-LN(2)/35))/(LN(2)/35)*AQ48*AR48*VLOOKUP('Données projet'!$B$10,Paramètres!$A$1:$I$88,3,0)*0.475*44/12</f>
        <v>8.5152379090394277</v>
      </c>
      <c r="AV48" s="23">
        <f>EXP(-LN(2)/25)*AV47+(1-EXP(-LN(2)/25))/(LN(2)/25)*Calculateur!AQ48*Calculateur!AS48*VLOOKUP('Données projet'!$B$10,Paramètres!$A$1:$I$88,3,0)*0.475*44/12</f>
        <v>28.6830861286548</v>
      </c>
      <c r="AW48" s="23">
        <f>EXP(-LN(2)/2)*AW47+(1-EXP(-LN(2)/2))/(LN(2)/2)*AQ48*AT48*VLOOKUP('Données projet'!$B$10,Paramètres!$A$1:$I$88,3,0)*0.475*44/12</f>
        <v>5.2580078303005866</v>
      </c>
      <c r="AX48" s="23">
        <f t="shared" si="6"/>
        <v>42.456331867994813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173</v>
      </c>
      <c r="BB48" s="13">
        <f>VLOOKUP(A48,'Données projet'!$A$87:$I$107,9,0)</f>
        <v>7.6</v>
      </c>
      <c r="BC48" s="13">
        <f t="array" ref="BC48">INDEX(BB:BB,MIN(IF(ISNUMBER(BB48:BB244),ROW(BB48:BB244),"")))</f>
        <v>7.6</v>
      </c>
      <c r="BD48" s="13">
        <f>IF('Données projet'!$A$88&gt;35,BD47+BC48-BL47,IF(A48&lt;'Données projet'!$A$88,$BA$205^A48,IF(A48='Données projet'!$A$88,'Données projet'!$B$88,BD47+BC48-BL47)))</f>
        <v>173.00000000000003</v>
      </c>
      <c r="BE48" s="14">
        <f>BD48*VLOOKUP('Données projet'!$B$11,Paramètres!$A$1:$I$88,3,0)*VLOOKUP('Données projet'!$B$11,Paramètres!$A$1:$I$88,5,0)</f>
        <v>137.63880000000003</v>
      </c>
      <c r="BF48" s="14">
        <f t="shared" si="37"/>
        <v>35.755553413044268</v>
      </c>
      <c r="BG48" s="22">
        <f t="shared" si="7"/>
        <v>301.99516552771883</v>
      </c>
      <c r="BH48" s="62">
        <f t="shared" si="8"/>
        <v>558.2559870543862</v>
      </c>
      <c r="BI48" s="62">
        <f ca="1">AVERAGE(OFFSET($BH$3,0,0,'Données projet'!$E$11+1,1))-AVERAGE(OFFSET($H$3,0,0,'Données projet'!$E$11+1,1))</f>
        <v>219.20272956499281</v>
      </c>
      <c r="BJ48" s="62">
        <f t="shared" si="38"/>
        <v>244.37146912604081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18</v>
      </c>
      <c r="BM48" s="17">
        <f>IF(ISNA(VLOOKUP(A48,'Données projet'!$A$87:$I$107,5,0)),0%,VLOOKUP(A48,'Données projet'!$A$87:$I$107,5,0)*VLOOKUP('Données projet'!$B$11,Paramètres!$A$1:$I$88,7,0))</f>
        <v>0.21200000000000002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6.9362076554769398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6.9362076554769398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59.889314961818364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4.4444444444444446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16.296296296296298</v>
      </c>
      <c r="H49" s="70">
        <f t="shared" si="1"/>
        <v>191.4814814814815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19</v>
      </c>
      <c r="N49" s="14">
        <f>IF('Données projet'!$A$36&gt;35,N48+M49-V48,IF(A49&lt;'Données projet'!$A$36,$K$205^A49,IF(A49='Données projet'!$A$36,'Données projet'!$B$36,N48+M49-V48)))</f>
        <v>495</v>
      </c>
      <c r="O49" s="14">
        <f>N49*VLOOKUP('Données projet'!$B$9,Paramètres!$A$1:$I$88,3,0)*VLOOKUP('Données projet'!$B$9,Paramètres!$A$1:$I$88,5,0)</f>
        <v>276.70499999999998</v>
      </c>
      <c r="P49" s="14">
        <f t="shared" si="33"/>
        <v>66.27020165175162</v>
      </c>
      <c r="Q49" s="22">
        <f t="shared" si="53"/>
        <v>597.34847621013398</v>
      </c>
      <c r="R49" s="62">
        <f t="shared" si="0"/>
        <v>854.25242293492715</v>
      </c>
      <c r="S49" s="62">
        <f ca="1">AVERAGE(OFFSET($R$3,0,0,'Données projet'!$E$9+1,1))-AVERAGE(OFFSET($H$3,0,0,'Données projet'!$E$9+1,1))</f>
        <v>415.21844537846482</v>
      </c>
      <c r="T49" s="62">
        <f t="shared" si="34"/>
        <v>491.25626166862321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15.218698574568334</v>
      </c>
      <c r="AA49" s="23">
        <f>EXP(-LN(2)/25)*AA48+(1-EXP(-LN(2)/25))/(LN(2)/25)*Calculateur!V49*Calculateur!X49*VLOOKUP('Données projet'!$B$9,Paramètres!$A$1:$I$88,3,0)*0.475*44/12</f>
        <v>35.754971381388295</v>
      </c>
      <c r="AB49" s="23">
        <f>EXP(-LN(2)/2)*AB48+(1-EXP(-LN(2)/2))/(LN(2)/2)*V49*Y49*VLOOKUP('Données projet'!$B$9,Paramètres!$A$1:$I$88,3,0)*0.475*44/12</f>
        <v>7.8407923675095414</v>
      </c>
      <c r="AC49" s="24">
        <f t="shared" si="3"/>
        <v>58.814462323466174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7.4</v>
      </c>
      <c r="AI49" s="14">
        <f>IF('Données projet'!$A$62&gt;35,AI48+AH49-AQ48,IF(A49&lt;'Données projet'!$A$62,$AF$205^A49,IF(A49='Données projet'!$A$62,'Données projet'!$B$62,AI48+AH49-AQ48)))</f>
        <v>246.39999999999992</v>
      </c>
      <c r="AJ49" s="14">
        <f>AI49*VLOOKUP('Données projet'!$B$10,Paramètres!$A$1:$I$88,3,0)*VLOOKUP('Données projet'!$B$10,Paramètres!$A$1:$I$88,5,0)</f>
        <v>134.53439999999995</v>
      </c>
      <c r="AK49" s="14">
        <f t="shared" si="35"/>
        <v>35.042026165482234</v>
      </c>
      <c r="AL49" s="22">
        <f t="shared" si="4"/>
        <v>295.34560890488143</v>
      </c>
      <c r="AM49" s="62">
        <f t="shared" si="5"/>
        <v>552.24955562967466</v>
      </c>
      <c r="AN49" s="62">
        <f ca="1">AVERAGE(OFFSET($AM$3,0,0,'Données projet'!$E$10+1,1))-AVERAGE(OFFSET($H$3,0,0,'Données projet'!$E$10+1,1))</f>
        <v>243.3456100842846</v>
      </c>
      <c r="AO49" s="62">
        <f t="shared" si="36"/>
        <v>301.6462497303628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8.3482592874254458</v>
      </c>
      <c r="AV49" s="23">
        <f>EXP(-LN(2)/25)*AV48+(1-EXP(-LN(2)/25))/(LN(2)/25)*Calculateur!AQ49*Calculateur!AS49*VLOOKUP('Données projet'!$B$10,Paramètres!$A$1:$I$88,3,0)*0.475*44/12</f>
        <v>27.89874563008879</v>
      </c>
      <c r="AW49" s="23">
        <f>EXP(-LN(2)/2)*AW48+(1-EXP(-LN(2)/2))/(LN(2)/2)*AQ49*AT49*VLOOKUP('Données projet'!$B$10,Paramètres!$A$1:$I$88,3,0)*0.475*44/12</f>
        <v>3.7179729923375104</v>
      </c>
      <c r="AX49" s="23">
        <f t="shared" si="6"/>
        <v>39.96497790985174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7.2</v>
      </c>
      <c r="BD49" s="13">
        <f>IF('Données projet'!$A$88&gt;35,BD48+BC49-BL48,IF(A49&lt;'Données projet'!$A$88,$BA$205^A49,IF(A49='Données projet'!$A$88,'Données projet'!$B$88,BD48+BC49-BL48)))</f>
        <v>162.20000000000002</v>
      </c>
      <c r="BE49" s="14">
        <f>BD49*VLOOKUP('Données projet'!$B$11,Paramètres!$A$1:$I$88,3,0)*VLOOKUP('Données projet'!$B$11,Paramètres!$A$1:$I$88,5,0)</f>
        <v>129.04632000000001</v>
      </c>
      <c r="BF49" s="14">
        <f t="shared" si="37"/>
        <v>33.775897540199807</v>
      </c>
      <c r="BG49" s="22">
        <f t="shared" si="7"/>
        <v>283.58202888251463</v>
      </c>
      <c r="BH49" s="62">
        <f t="shared" si="8"/>
        <v>540.48597560730786</v>
      </c>
      <c r="BI49" s="62">
        <f ca="1">AVERAGE(OFFSET($BH$3,0,0,'Données projet'!$E$11+1,1))-AVERAGE(OFFSET($H$3,0,0,'Données projet'!$E$11+1,1))</f>
        <v>219.20272956499281</v>
      </c>
      <c r="BJ49" s="62">
        <f t="shared" si="38"/>
        <v>244.37146912604081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6.8001928540219634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6.8001928540219634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60.064712743125412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4.4444444444444446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16.296296296296298</v>
      </c>
      <c r="H50" s="70">
        <f t="shared" si="1"/>
        <v>191.4814814814815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19</v>
      </c>
      <c r="N50" s="14">
        <f>IF('Données projet'!$A$36&gt;35,N49+M50-V49,IF(A50&lt;'Données projet'!$A$36,$K$205^A50,IF(A50='Données projet'!$A$36,'Données projet'!$B$36,N49+M50-V49)))</f>
        <v>514</v>
      </c>
      <c r="O50" s="14">
        <f>N50*VLOOKUP('Données projet'!$B$9,Paramètres!$A$1:$I$88,3,0)*VLOOKUP('Données projet'!$B$9,Paramètres!$A$1:$I$88,5,0)</f>
        <v>287.32600000000002</v>
      </c>
      <c r="P50" s="14">
        <f t="shared" si="33"/>
        <v>68.512868389632061</v>
      </c>
      <c r="Q50" s="22">
        <f t="shared" si="53"/>
        <v>619.75269577860911</v>
      </c>
      <c r="R50" s="62">
        <f t="shared" si="0"/>
        <v>877.28861091715316</v>
      </c>
      <c r="S50" s="62">
        <f ca="1">AVERAGE(OFFSET($R$3,0,0,'Données projet'!$E$9+1,1))-AVERAGE(OFFSET($H$3,0,0,'Données projet'!$E$9+1,1))</f>
        <v>415.21844537846482</v>
      </c>
      <c r="T50" s="62">
        <f t="shared" si="34"/>
        <v>491.25626166862321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14.92026917801061</v>
      </c>
      <c r="AA50" s="23">
        <f>EXP(-LN(2)/25)*AA49+(1-EXP(-LN(2)/25))/(LN(2)/25)*Calculateur!V50*Calculateur!X50*VLOOKUP('Données projet'!$B$9,Paramètres!$A$1:$I$88,3,0)*0.475*44/12</f>
        <v>34.777249808692005</v>
      </c>
      <c r="AB50" s="23">
        <f>EXP(-LN(2)/2)*AB49+(1-EXP(-LN(2)/2))/(LN(2)/2)*V50*Y50*VLOOKUP('Données projet'!$B$9,Paramètres!$A$1:$I$88,3,0)*0.475*44/12</f>
        <v>5.5442774529417216</v>
      </c>
      <c r="AC50" s="24">
        <f t="shared" si="3"/>
        <v>55.24179643964434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7.4</v>
      </c>
      <c r="AI50" s="14">
        <f>IF('Données projet'!$A$62&gt;35,AI49+AH50-AQ49,IF(A50&lt;'Données projet'!$A$62,$AF$205^A50,IF(A50='Données projet'!$A$62,'Données projet'!$B$62,AI49+AH50-AQ49)))</f>
        <v>253.79999999999993</v>
      </c>
      <c r="AJ50" s="14">
        <f>AI50*VLOOKUP('Données projet'!$B$10,Paramètres!$A$1:$I$88,3,0)*VLOOKUP('Données projet'!$B$10,Paramètres!$A$1:$I$88,5,0)</f>
        <v>138.57479999999995</v>
      </c>
      <c r="AK50" s="14">
        <f t="shared" si="35"/>
        <v>35.970318012093422</v>
      </c>
      <c r="AL50" s="22">
        <f t="shared" si="4"/>
        <v>303.99941387106259</v>
      </c>
      <c r="AM50" s="62">
        <f t="shared" si="5"/>
        <v>561.5353290096067</v>
      </c>
      <c r="AN50" s="62">
        <f ca="1">AVERAGE(OFFSET($AM$3,0,0,'Données projet'!$E$10+1,1))-AVERAGE(OFFSET($H$3,0,0,'Données projet'!$E$10+1,1))</f>
        <v>243.3456100842846</v>
      </c>
      <c r="AO50" s="62">
        <f t="shared" si="36"/>
        <v>301.6462497303628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8.1845550147344106</v>
      </c>
      <c r="AV50" s="23">
        <f>EXP(-LN(2)/25)*AV49+(1-EXP(-LN(2)/25))/(LN(2)/25)*Calculateur!AQ50*Calculateur!AS50*VLOOKUP('Données projet'!$B$10,Paramètres!$A$1:$I$88,3,0)*0.475*44/12</f>
        <v>27.135852963702742</v>
      </c>
      <c r="AW50" s="23">
        <f>EXP(-LN(2)/2)*AW49+(1-EXP(-LN(2)/2))/(LN(2)/2)*AQ50*AT50*VLOOKUP('Données projet'!$B$10,Paramètres!$A$1:$I$88,3,0)*0.475*44/12</f>
        <v>2.6290039151502933</v>
      </c>
      <c r="AX50" s="23">
        <f t="shared" si="6"/>
        <v>37.949411893587445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7.2</v>
      </c>
      <c r="BD50" s="13">
        <f>IF('Données projet'!$A$88&gt;35,BD49+BC50-BL49,IF(A50&lt;'Données projet'!$A$88,$BA$205^A50,IF(A50='Données projet'!$A$88,'Données projet'!$B$88,BD49+BC50-BL49)))</f>
        <v>169.4</v>
      </c>
      <c r="BE50" s="14">
        <f>BD50*VLOOKUP('Données projet'!$B$11,Paramètres!$A$1:$I$88,3,0)*VLOOKUP('Données projet'!$B$11,Paramètres!$A$1:$I$88,5,0)</f>
        <v>134.77464000000001</v>
      </c>
      <c r="BF50" s="14">
        <f t="shared" si="37"/>
        <v>35.097311734235603</v>
      </c>
      <c r="BG50" s="22">
        <f t="shared" si="7"/>
        <v>295.86031593712704</v>
      </c>
      <c r="BH50" s="62">
        <f t="shared" si="8"/>
        <v>553.39623107567115</v>
      </c>
      <c r="BI50" s="62">
        <f ca="1">AVERAGE(OFFSET($BH$3,0,0,'Données projet'!$E$11+1,1))-AVERAGE(OFFSET($H$3,0,0,'Données projet'!$E$11+1,1))</f>
        <v>219.20272956499281</v>
      </c>
      <c r="BJ50" s="62">
        <f t="shared" si="38"/>
        <v>244.37146912604081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6.6668452198626813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6.6668452198626813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60.237067765057475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4.4444444444444446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16.296296296296298</v>
      </c>
      <c r="H51" s="70">
        <f t="shared" si="1"/>
        <v>191.4814814814815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19</v>
      </c>
      <c r="N51" s="14">
        <f>IF('Données projet'!$A$36&gt;35,N50+M51-V50,IF(A51&lt;'Données projet'!$A$36,$K$205^A51,IF(A51='Données projet'!$A$36,'Données projet'!$B$36,N50+M51-V50)))</f>
        <v>533</v>
      </c>
      <c r="O51" s="14">
        <f>N51*VLOOKUP('Données projet'!$B$9,Paramètres!$A$1:$I$88,3,0)*VLOOKUP('Données projet'!$B$9,Paramètres!$A$1:$I$88,5,0)</f>
        <v>297.947</v>
      </c>
      <c r="P51" s="14">
        <f t="shared" si="33"/>
        <v>70.745903965311697</v>
      </c>
      <c r="Q51" s="22">
        <f t="shared" si="53"/>
        <v>642.1401410729178</v>
      </c>
      <c r="R51" s="62">
        <f t="shared" si="0"/>
        <v>900.29706138610391</v>
      </c>
      <c r="S51" s="62">
        <f ca="1">AVERAGE(OFFSET($R$3,0,0,'Données projet'!$E$9+1,1))-AVERAGE(OFFSET($H$3,0,0,'Données projet'!$E$9+1,1))</f>
        <v>415.21844537846482</v>
      </c>
      <c r="T51" s="62">
        <f t="shared" si="34"/>
        <v>491.25626166862321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14.627691799895425</v>
      </c>
      <c r="AA51" s="23">
        <f>EXP(-LN(2)/25)*AA50+(1-EXP(-LN(2)/25))/(LN(2)/25)*Calculateur!V51*Calculateur!X51*VLOOKUP('Données projet'!$B$9,Paramètres!$A$1:$I$88,3,0)*0.475*44/12</f>
        <v>33.826264083817236</v>
      </c>
      <c r="AB51" s="23">
        <f>EXP(-LN(2)/2)*AB50+(1-EXP(-LN(2)/2))/(LN(2)/2)*V51*Y51*VLOOKUP('Données projet'!$B$9,Paramètres!$A$1:$I$88,3,0)*0.475*44/12</f>
        <v>3.9203961837547712</v>
      </c>
      <c r="AC51" s="24">
        <f t="shared" si="3"/>
        <v>52.374352067467427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7.4</v>
      </c>
      <c r="AI51" s="14">
        <f>IF('Données projet'!$A$62&gt;35,AI50+AH51-AQ50,IF(A51&lt;'Données projet'!$A$62,$AF$205^A51,IF(A51='Données projet'!$A$62,'Données projet'!$B$62,AI50+AH51-AQ50)))</f>
        <v>261.19999999999993</v>
      </c>
      <c r="AJ51" s="14">
        <f>AI51*VLOOKUP('Données projet'!$B$10,Paramètres!$A$1:$I$88,3,0)*VLOOKUP('Données projet'!$B$10,Paramètres!$A$1:$I$88,5,0)</f>
        <v>142.61519999999996</v>
      </c>
      <c r="AK51" s="14">
        <f t="shared" si="35"/>
        <v>36.895464241412235</v>
      </c>
      <c r="AL51" s="22">
        <f t="shared" si="4"/>
        <v>312.64774022045958</v>
      </c>
      <c r="AM51" s="62">
        <f t="shared" si="5"/>
        <v>570.80466053364557</v>
      </c>
      <c r="AN51" s="62">
        <f ca="1">AVERAGE(OFFSET($AM$3,0,0,'Données projet'!$E$10+1,1))-AVERAGE(OFFSET($H$3,0,0,'Données projet'!$E$10+1,1))</f>
        <v>243.3456100842846</v>
      </c>
      <c r="AO51" s="62">
        <f t="shared" si="36"/>
        <v>301.6462497303628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8.0240608829811002</v>
      </c>
      <c r="AV51" s="23">
        <f>EXP(-LN(2)/25)*AV50+(1-EXP(-LN(2)/25))/(LN(2)/25)*Calculateur!AQ51*Calculateur!AS51*VLOOKUP('Données projet'!$B$10,Paramètres!$A$1:$I$88,3,0)*0.475*44/12</f>
        <v>26.393821637397803</v>
      </c>
      <c r="AW51" s="23">
        <f>EXP(-LN(2)/2)*AW50+(1-EXP(-LN(2)/2))/(LN(2)/2)*AQ51*AT51*VLOOKUP('Données projet'!$B$10,Paramètres!$A$1:$I$88,3,0)*0.475*44/12</f>
        <v>1.8589864961687552</v>
      </c>
      <c r="AX51" s="23">
        <f t="shared" si="6"/>
        <v>36.276869016547657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7.2</v>
      </c>
      <c r="BD51" s="13">
        <f>IF('Données projet'!$A$88&gt;35,BD50+BC51-BL50,IF(A51&lt;'Données projet'!$A$88,$BA$205^A51,IF(A51='Données projet'!$A$88,'Données projet'!$B$88,BD50+BC51-BL50)))</f>
        <v>176.6</v>
      </c>
      <c r="BE51" s="14">
        <f>BD51*VLOOKUP('Données projet'!$B$11,Paramètres!$A$1:$I$88,3,0)*VLOOKUP('Données projet'!$B$11,Paramètres!$A$1:$I$88,5,0)</f>
        <v>140.50296</v>
      </c>
      <c r="BF51" s="14">
        <f t="shared" si="37"/>
        <v>36.412202509054282</v>
      </c>
      <c r="BG51" s="22">
        <f t="shared" si="7"/>
        <v>308.12724136993614</v>
      </c>
      <c r="BH51" s="62">
        <f t="shared" si="8"/>
        <v>566.28416168312219</v>
      </c>
      <c r="BI51" s="62">
        <f ca="1">AVERAGE(OFFSET($BH$3,0,0,'Données projet'!$E$11+1,1))-AVERAGE(OFFSET($H$3,0,0,'Données projet'!$E$11+1,1))</f>
        <v>219.20272956499281</v>
      </c>
      <c r="BJ51" s="62">
        <f t="shared" si="38"/>
        <v>244.37146912604081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6.5361124514752369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6.5361124514752369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60.406432812687122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4.4444444444444446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16.296296296296298</v>
      </c>
      <c r="H52" s="70">
        <f t="shared" si="1"/>
        <v>191.4814814814815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19</v>
      </c>
      <c r="N52" s="14">
        <f>IF('Données projet'!$A$36&gt;35,N51+M52-V51,IF(A52&lt;'Données projet'!$A$36,$K$205^A52,IF(A52='Données projet'!$A$36,'Données projet'!$B$36,N51+M52-V51)))</f>
        <v>552</v>
      </c>
      <c r="O52" s="14">
        <f>N52*VLOOKUP('Données projet'!$B$9,Paramètres!$A$1:$I$88,3,0)*VLOOKUP('Données projet'!$B$9,Paramètres!$A$1:$I$88,5,0)</f>
        <v>308.56799999999998</v>
      </c>
      <c r="P52" s="14">
        <f t="shared" si="33"/>
        <v>72.969691037219945</v>
      </c>
      <c r="Q52" s="22">
        <f t="shared" si="53"/>
        <v>664.5114785564914</v>
      </c>
      <c r="R52" s="62">
        <f t="shared" si="0"/>
        <v>923.27863099289902</v>
      </c>
      <c r="S52" s="62">
        <f ca="1">AVERAGE(OFFSET($R$3,0,0,'Données projet'!$E$9+1,1))-AVERAGE(OFFSET($H$3,0,0,'Données projet'!$E$9+1,1))</f>
        <v>415.21844537846482</v>
      </c>
      <c r="T52" s="62">
        <f t="shared" si="34"/>
        <v>491.25626166862321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14.340851685710499</v>
      </c>
      <c r="AA52" s="23">
        <f>EXP(-LN(2)/25)*AA51+(1-EXP(-LN(2)/25))/(LN(2)/25)*Calculateur!V52*Calculateur!X52*VLOOKUP('Données projet'!$B$9,Paramètres!$A$1:$I$88,3,0)*0.475*44/12</f>
        <v>32.901283113599334</v>
      </c>
      <c r="AB52" s="23">
        <f>EXP(-LN(2)/2)*AB51+(1-EXP(-LN(2)/2))/(LN(2)/2)*V52*Y52*VLOOKUP('Données projet'!$B$9,Paramètres!$A$1:$I$88,3,0)*0.475*44/12</f>
        <v>2.7721387264708612</v>
      </c>
      <c r="AC52" s="24">
        <f t="shared" si="3"/>
        <v>50.014273525780695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7.4</v>
      </c>
      <c r="AI52" s="14">
        <f>IF('Données projet'!$A$62&gt;35,AI51+AH52-AQ51,IF(A52&lt;'Données projet'!$A$62,$AF$205^A52,IF(A52='Données projet'!$A$62,'Données projet'!$B$62,AI51+AH52-AQ51)))</f>
        <v>268.59999999999991</v>
      </c>
      <c r="AJ52" s="14">
        <f>AI52*VLOOKUP('Données projet'!$B$10,Paramètres!$A$1:$I$88,3,0)*VLOOKUP('Données projet'!$B$10,Paramètres!$A$1:$I$88,5,0)</f>
        <v>146.65559999999994</v>
      </c>
      <c r="AK52" s="14">
        <f t="shared" si="35"/>
        <v>37.817564207609138</v>
      </c>
      <c r="AL52" s="22">
        <f t="shared" si="4"/>
        <v>321.29076099491914</v>
      </c>
      <c r="AM52" s="62">
        <f t="shared" si="5"/>
        <v>580.05791343132682</v>
      </c>
      <c r="AN52" s="62">
        <f ca="1">AVERAGE(OFFSET($AM$3,0,0,'Données projet'!$E$10+1,1))-AVERAGE(OFFSET($H$3,0,0,'Données projet'!$E$10+1,1))</f>
        <v>243.3456100842846</v>
      </c>
      <c r="AO52" s="62">
        <f t="shared" si="36"/>
        <v>301.6462497303628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7.8667139432597182</v>
      </c>
      <c r="AV52" s="23">
        <f>EXP(-LN(2)/25)*AV51+(1-EXP(-LN(2)/25))/(LN(2)/25)*Calculateur!AQ52*Calculateur!AS52*VLOOKUP('Données projet'!$B$10,Paramètres!$A$1:$I$88,3,0)*0.475*44/12</f>
        <v>25.672081196732403</v>
      </c>
      <c r="AW52" s="23">
        <f>EXP(-LN(2)/2)*AW51+(1-EXP(-LN(2)/2))/(LN(2)/2)*AQ52*AT52*VLOOKUP('Données projet'!$B$10,Paramètres!$A$1:$I$88,3,0)*0.475*44/12</f>
        <v>1.3145019575751467</v>
      </c>
      <c r="AX52" s="23">
        <f t="shared" si="6"/>
        <v>34.853297097567264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7.2</v>
      </c>
      <c r="BD52" s="13">
        <f>IF('Données projet'!$A$88&gt;35,BD51+BC52-BL51,IF(A52&lt;'Données projet'!$A$88,$BA$205^A52,IF(A52='Données projet'!$A$88,'Données projet'!$B$88,BD51+BC52-BL51)))</f>
        <v>183.79999999999998</v>
      </c>
      <c r="BE52" s="14">
        <f>BD52*VLOOKUP('Données projet'!$B$11,Paramètres!$A$1:$I$88,3,0)*VLOOKUP('Données projet'!$B$11,Paramètres!$A$1:$I$88,5,0)</f>
        <v>146.23128</v>
      </c>
      <c r="BF52" s="14">
        <f t="shared" si="37"/>
        <v>37.720866246887716</v>
      </c>
      <c r="BG52" s="22">
        <f t="shared" si="7"/>
        <v>320.38332137999606</v>
      </c>
      <c r="BH52" s="62">
        <f t="shared" si="8"/>
        <v>579.15047381640375</v>
      </c>
      <c r="BI52" s="62">
        <f ca="1">AVERAGE(OFFSET($BH$3,0,0,'Données projet'!$E$11+1,1))-AVERAGE(OFFSET($H$3,0,0,'Données projet'!$E$11+1,1))</f>
        <v>219.20272956499281</v>
      </c>
      <c r="BJ52" s="62">
        <f t="shared" si="38"/>
        <v>244.37146912604081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6.4079432729367554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6.4079432729367554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60.572859755383902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4.4444444444444446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16.296296296296298</v>
      </c>
      <c r="H53" s="70">
        <f t="shared" si="1"/>
        <v>191.4814814814815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571</v>
      </c>
      <c r="L53" s="13">
        <f>VLOOKUP(A53,'Données projet'!$A$35:$I$55,9,0)</f>
        <v>19</v>
      </c>
      <c r="M53" s="13">
        <f t="array" ref="M53">INDEX(L:L,MIN(IF(ISNUMBER(L53:L249),ROW(L53:L249),"")))</f>
        <v>19</v>
      </c>
      <c r="N53" s="14">
        <f>IF('Données projet'!$A$36&gt;35,N52+M53-V52,IF(A53&lt;'Données projet'!$A$36,$K$205^A53,IF(A53='Données projet'!$A$36,'Données projet'!$B$36,N52+M53-V52)))</f>
        <v>571</v>
      </c>
      <c r="O53" s="14">
        <f>N53*VLOOKUP('Données projet'!$B$9,Paramètres!$A$1:$I$88,3,0)*VLOOKUP('Données projet'!$B$9,Paramètres!$A$1:$I$88,5,0)</f>
        <v>319.18900000000002</v>
      </c>
      <c r="P53" s="14">
        <f t="shared" si="33"/>
        <v>75.184584427263374</v>
      </c>
      <c r="Q53" s="22">
        <f t="shared" si="53"/>
        <v>686.86732621081694</v>
      </c>
      <c r="R53" s="62">
        <f t="shared" si="0"/>
        <v>946.23412460738291</v>
      </c>
      <c r="S53" s="62">
        <f ca="1">AVERAGE(OFFSET($R$3,0,0,'Données projet'!$E$9+1,1))-AVERAGE(OFFSET($H$3,0,0,'Données projet'!$E$9+1,1))</f>
        <v>415.21844537846482</v>
      </c>
      <c r="T53" s="62">
        <f t="shared" si="34"/>
        <v>491.25626166862321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49</v>
      </c>
      <c r="W53" s="17">
        <f>IF(ISNA(VLOOKUP(A53,'Données projet'!$A$35:$I$55,5,0)),0%,VLOOKUP(A53,'Données projet'!$A$35:$I$55,5,0)*VLOOKUP('Données projet'!$B$9,Paramètres!$A$1:$I$88,7,0))</f>
        <v>0.22000000000000003</v>
      </c>
      <c r="X53" s="17">
        <f>IF(ISNA(VLOOKUP(A53,'Données projet'!$A$35:$I$55,6,0)),0%,VLOOKUP(A53,'Données projet'!$A$35:$I$55,6,0)*VLOOKUP('Données projet'!$B$9,Paramètres!$A$1:$I$88,7,0))</f>
        <v>0.18480000000000002</v>
      </c>
      <c r="Y53" s="17">
        <f>IF(ISNA(VLOOKUP(A53,'Données projet'!$A$35:$I$55,7,0)),0%,VLOOKUP(A53,'Données projet'!$A$35:$I$55,7,0))</f>
        <v>0.26400000000000001</v>
      </c>
      <c r="Z53" s="23">
        <f>EXP(-LN(2)/35)*Z52+(1-EXP(-LN(2)/35))/(LN(2)/35)*V53*W53*VLOOKUP('Données projet'!$B$9,Paramètres!$A$1:$I$88,3,0)*0.475*44/12</f>
        <v>22.053540270977322</v>
      </c>
      <c r="AA53" s="23">
        <f>EXP(-LN(2)/25)*AA52+(1-EXP(-LN(2)/25))/(LN(2)/25)*Calculateur!V53*Calculateur!X53*VLOOKUP('Données projet'!$B$9,Paramètres!$A$1:$I$88,3,0)*0.475*44/12</f>
        <v>38.690036067648876</v>
      </c>
      <c r="AB53" s="23">
        <f>EXP(-LN(2)/2)*AB52+(1-EXP(-LN(2)/2))/(LN(2)/2)*V53*Y53*VLOOKUP('Données projet'!$B$9,Paramètres!$A$1:$I$88,3,0)*0.475*44/12</f>
        <v>10.147623455325906</v>
      </c>
      <c r="AC53" s="24">
        <f t="shared" si="3"/>
        <v>70.891199793952097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276</v>
      </c>
      <c r="AG53" s="13">
        <f>VLOOKUP(A53,'Données projet'!$A$61:$I$81,9,0)</f>
        <v>7.4</v>
      </c>
      <c r="AH53" s="13">
        <f t="array" ref="AH53">INDEX(AG:AG,MIN(IF(ISNUMBER(AG53:AG249),ROW(AG53:AG249),"")))</f>
        <v>7.4</v>
      </c>
      <c r="AI53" s="14">
        <f>IF('Données projet'!$A$62&gt;35,AI52+AH53-AQ52,IF(A53&lt;'Données projet'!$A$62,$AF$205^A53,IF(A53='Données projet'!$A$62,'Données projet'!$B$62,AI52+AH53-AQ52)))</f>
        <v>275.99999999999989</v>
      </c>
      <c r="AJ53" s="14">
        <f>AI53*VLOOKUP('Données projet'!$B$10,Paramètres!$A$1:$I$88,3,0)*VLOOKUP('Données projet'!$B$10,Paramètres!$A$1:$I$88,5,0)</f>
        <v>150.69599999999994</v>
      </c>
      <c r="AK53" s="14">
        <f t="shared" si="35"/>
        <v>38.736711478840633</v>
      </c>
      <c r="AL53" s="22">
        <f t="shared" si="4"/>
        <v>329.92863915898073</v>
      </c>
      <c r="AM53" s="62">
        <f t="shared" si="5"/>
        <v>589.29543755554675</v>
      </c>
      <c r="AN53" s="62">
        <f ca="1">AVERAGE(OFFSET($AM$3,0,0,'Données projet'!$E$10+1,1))-AVERAGE(OFFSET($H$3,0,0,'Données projet'!$E$10+1,1))</f>
        <v>243.3456100842846</v>
      </c>
      <c r="AO53" s="62">
        <f t="shared" si="36"/>
        <v>301.6462497303628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projet'!$B$10,Paramètres!$A$1:$I$88,7,0))</f>
        <v>0.24</v>
      </c>
      <c r="AS53" s="17">
        <f>IF(ISNA(VLOOKUP(A53,'Données projet'!$A$61:$I$81,6,0)),0%,VLOOKUP(A53,'Données projet'!$A$61:$I$81,6,0)*VLOOKUP('Données projet'!$B$10,Paramètres!$A$1:$I$88,7,0))</f>
        <v>0.2016</v>
      </c>
      <c r="AT53" s="17">
        <f>IF(ISNA(VLOOKUP(A53,'Données projet'!$A$61:$I$81,7,0)),0%,VLOOKUP(A53,'Données projet'!$A$61:$I$81,7,0))</f>
        <v>0.26400000000000001</v>
      </c>
      <c r="AU53" s="23">
        <f>EXP(-LN(2)/35)*AU52+(1-EXP(-LN(2)/35))/(LN(2)/35)*AQ53*AR53*VLOOKUP('Données projet'!$B$10,Paramètres!$A$1:$I$88,3,0)*0.475*44/12</f>
        <v>11.36294561211086</v>
      </c>
      <c r="AV53" s="23">
        <f>EXP(-LN(2)/25)*AV52+(1-EXP(-LN(2)/25))/(LN(2)/25)*Calculateur!AQ53*Calculateur!AS53*VLOOKUP('Données projet'!$B$10,Paramètres!$A$1:$I$88,3,0)*0.475*44/12</f>
        <v>28.02441737524007</v>
      </c>
      <c r="AW53" s="23">
        <f>EXP(-LN(2)/2)*AW52+(1-EXP(-LN(2)/2))/(LN(2)/2)*AQ53*AT53*VLOOKUP('Données projet'!$B$10,Paramètres!$A$1:$I$88,3,0)*0.475*44/12</f>
        <v>4.3567875862721301</v>
      </c>
      <c r="AX53" s="23">
        <f t="shared" si="6"/>
        <v>43.74415057362306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191</v>
      </c>
      <c r="BB53" s="13">
        <f>VLOOKUP(A53,'Données projet'!$A$87:$I$107,9,0)</f>
        <v>7.2</v>
      </c>
      <c r="BC53" s="13">
        <f t="array" ref="BC53">INDEX(BB:BB,MIN(IF(ISNUMBER(BB53:BB249),ROW(BB53:BB249),"")))</f>
        <v>7.2</v>
      </c>
      <c r="BD53" s="13">
        <f>IF('Données projet'!$A$88&gt;35,BD52+BC53-BL52,IF(A53&lt;'Données projet'!$A$88,$BA$205^A53,IF(A53='Données projet'!$A$88,'Données projet'!$B$88,BD52+BC53-BL52)))</f>
        <v>190.99999999999997</v>
      </c>
      <c r="BE53" s="14">
        <f>BD53*VLOOKUP('Données projet'!$B$11,Paramètres!$A$1:$I$88,3,0)*VLOOKUP('Données projet'!$B$11,Paramètres!$A$1:$I$88,5,0)</f>
        <v>151.95959999999997</v>
      </c>
      <c r="BF53" s="14">
        <f t="shared" si="37"/>
        <v>39.023574794907688</v>
      </c>
      <c r="BG53" s="22">
        <f t="shared" si="7"/>
        <v>332.62902943446414</v>
      </c>
      <c r="BH53" s="62">
        <f t="shared" si="8"/>
        <v>591.99582783103017</v>
      </c>
      <c r="BI53" s="62">
        <f ca="1">AVERAGE(OFFSET($BH$3,0,0,'Données projet'!$E$11+1,1))-AVERAGE(OFFSET($H$3,0,0,'Données projet'!$E$11+1,1))</f>
        <v>219.20272956499281</v>
      </c>
      <c r="BJ53" s="62">
        <f t="shared" si="38"/>
        <v>244.37146912604081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18</v>
      </c>
      <c r="BM53" s="17">
        <f>IF(ISNA(VLOOKUP(A53,'Données projet'!$A$87:$I$107,5,0)),0%,VLOOKUP(A53,'Données projet'!$A$87:$I$107,5,0)*VLOOKUP('Données projet'!$B$11,Paramètres!$A$1:$I$88,7,0))</f>
        <v>0.26500000000000001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10.477560769786034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10.477560769786034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60.736399562699816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4.4444444444444446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16.296296296296298</v>
      </c>
      <c r="H54" s="70">
        <f t="shared" si="1"/>
        <v>191.4814814814815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18.399999999999999</v>
      </c>
      <c r="N54" s="14">
        <f>IF('Données projet'!$A$36&gt;35,N53+M54-V53,IF(A54&lt;'Données projet'!$A$36,$K$205^A54,IF(A54='Données projet'!$A$36,'Données projet'!$B$36,N53+M54-V53)))</f>
        <v>540.4</v>
      </c>
      <c r="O54" s="14">
        <f>N54*VLOOKUP('Données projet'!$B$9,Paramètres!$A$1:$I$88,3,0)*VLOOKUP('Données projet'!$B$9,Paramètres!$A$1:$I$88,5,0)</f>
        <v>302.08359999999999</v>
      </c>
      <c r="P54" s="14">
        <f t="shared" si="33"/>
        <v>71.61308995867725</v>
      </c>
      <c r="Q54" s="22">
        <f t="shared" si="53"/>
        <v>650.85506834469618</v>
      </c>
      <c r="R54" s="62">
        <f t="shared" si="0"/>
        <v>910.81111018461922</v>
      </c>
      <c r="S54" s="62">
        <f ca="1">AVERAGE(OFFSET($R$3,0,0,'Données projet'!$E$9+1,1))-AVERAGE(OFFSET($H$3,0,0,'Données projet'!$E$9+1,1))</f>
        <v>415.21844537846482</v>
      </c>
      <c r="T54" s="62">
        <f t="shared" si="34"/>
        <v>491.25626166862321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21.621083797594814</v>
      </c>
      <c r="AA54" s="23">
        <f>EXP(-LN(2)/25)*AA53+(1-EXP(-LN(2)/25))/(LN(2)/25)*Calculateur!V54*Calculateur!X54*VLOOKUP('Données projet'!$B$9,Paramètres!$A$1:$I$88,3,0)*0.475*44/12</f>
        <v>37.632054996758448</v>
      </c>
      <c r="AB54" s="23">
        <f>EXP(-LN(2)/2)*AB53+(1-EXP(-LN(2)/2))/(LN(2)/2)*V54*Y54*VLOOKUP('Données projet'!$B$9,Paramètres!$A$1:$I$88,3,0)*0.475*44/12</f>
        <v>7.1754533581886131</v>
      </c>
      <c r="AC54" s="24">
        <f t="shared" si="3"/>
        <v>66.428592152541881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6.2</v>
      </c>
      <c r="AI54" s="14">
        <f>IF('Données projet'!$A$62&gt;35,AI53+AH54-AQ53,IF(A54&lt;'Données projet'!$A$62,$AF$205^A54,IF(A54='Données projet'!$A$62,'Données projet'!$B$62,AI53+AH54-AQ53)))</f>
        <v>261.19999999999987</v>
      </c>
      <c r="AJ54" s="14">
        <f>AI54*VLOOKUP('Données projet'!$B$10,Paramètres!$A$1:$I$88,3,0)*VLOOKUP('Données projet'!$B$10,Paramètres!$A$1:$I$88,5,0)</f>
        <v>142.61519999999993</v>
      </c>
      <c r="AK54" s="14">
        <f t="shared" si="35"/>
        <v>36.895464241412235</v>
      </c>
      <c r="AL54" s="22">
        <f t="shared" si="4"/>
        <v>312.64774022045953</v>
      </c>
      <c r="AM54" s="62">
        <f t="shared" si="5"/>
        <v>572.60378206038263</v>
      </c>
      <c r="AN54" s="62">
        <f ca="1">AVERAGE(OFFSET($AM$3,0,0,'Données projet'!$E$10+1,1))-AVERAGE(OFFSET($H$3,0,0,'Données projet'!$E$10+1,1))</f>
        <v>243.3456100842846</v>
      </c>
      <c r="AO54" s="62">
        <f t="shared" si="36"/>
        <v>301.6462497303628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11.140125179369837</v>
      </c>
      <c r="AV54" s="23">
        <f>EXP(-LN(2)/25)*AV53+(1-EXP(-LN(2)/25))/(LN(2)/25)*Calculateur!AQ54*Calculateur!AS54*VLOOKUP('Données projet'!$B$10,Paramètres!$A$1:$I$88,3,0)*0.475*44/12</f>
        <v>27.258088208374073</v>
      </c>
      <c r="AW54" s="23">
        <f>EXP(-LN(2)/2)*AW53+(1-EXP(-LN(2)/2))/(LN(2)/2)*AQ54*AT54*VLOOKUP('Données projet'!$B$10,Paramètres!$A$1:$I$88,3,0)*0.475*44/12</f>
        <v>3.0807140464423939</v>
      </c>
      <c r="AX54" s="23">
        <f t="shared" si="6"/>
        <v>41.478927434186303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6.6</v>
      </c>
      <c r="BD54" s="13">
        <f>IF('Données projet'!$A$88&gt;35,BD53+BC54-BL53,IF(A54&lt;'Données projet'!$A$88,$BA$205^A54,IF(A54='Données projet'!$A$88,'Données projet'!$B$88,BD53+BC54-BL53)))</f>
        <v>179.59999999999997</v>
      </c>
      <c r="BE54" s="14">
        <f>BD54*VLOOKUP('Données projet'!$B$11,Paramètres!$A$1:$I$88,3,0)*VLOOKUP('Données projet'!$B$11,Paramètres!$A$1:$I$88,5,0)</f>
        <v>142.88976</v>
      </c>
      <c r="BF54" s="14">
        <f t="shared" si="37"/>
        <v>36.958219700166019</v>
      </c>
      <c r="BG54" s="22">
        <f t="shared" si="7"/>
        <v>313.23523131112239</v>
      </c>
      <c r="BH54" s="62">
        <f t="shared" si="8"/>
        <v>573.19127315104538</v>
      </c>
      <c r="BI54" s="62">
        <f ca="1">AVERAGE(OFFSET($BH$3,0,0,'Données projet'!$E$11+1,1))-AVERAGE(OFFSET($H$3,0,0,'Données projet'!$E$11+1,1))</f>
        <v>219.20272956499281</v>
      </c>
      <c r="BJ54" s="62">
        <f t="shared" si="38"/>
        <v>244.37146912604081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10.272102193771573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10.272102193771573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60.89710231997902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4.4444444444444446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16.296296296296298</v>
      </c>
      <c r="H55" s="70">
        <f t="shared" si="1"/>
        <v>191.4814814814815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18.399999999999999</v>
      </c>
      <c r="N55" s="14">
        <f>IF('Données projet'!$A$36&gt;35,N54+M55-V54,IF(A55&lt;'Données projet'!$A$36,$K$205^A55,IF(A55='Données projet'!$A$36,'Données projet'!$B$36,N54+M55-V54)))</f>
        <v>558.79999999999995</v>
      </c>
      <c r="O55" s="14">
        <f>N55*VLOOKUP('Données projet'!$B$9,Paramètres!$A$1:$I$88,3,0)*VLOOKUP('Données projet'!$B$9,Paramètres!$A$1:$I$88,5,0)</f>
        <v>312.36919999999998</v>
      </c>
      <c r="P55" s="14">
        <f t="shared" si="33"/>
        <v>73.763393973236617</v>
      </c>
      <c r="Q55" s="22">
        <f t="shared" si="53"/>
        <v>672.51426783672036</v>
      </c>
      <c r="R55" s="62">
        <f t="shared" si="0"/>
        <v>933.04933106360932</v>
      </c>
      <c r="S55" s="62">
        <f ca="1">AVERAGE(OFFSET($R$3,0,0,'Données projet'!$E$9+1,1))-AVERAGE(OFFSET($H$3,0,0,'Données projet'!$E$9+1,1))</f>
        <v>415.21844537846482</v>
      </c>
      <c r="T55" s="62">
        <f t="shared" si="34"/>
        <v>491.25626166862321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21.197107531882931</v>
      </c>
      <c r="AA55" s="23">
        <f>EXP(-LN(2)/25)*AA54+(1-EXP(-LN(2)/25))/(LN(2)/25)*Calculateur!V55*Calculateur!X55*VLOOKUP('Données projet'!$B$9,Paramètres!$A$1:$I$88,3,0)*0.475*44/12</f>
        <v>36.603004473888326</v>
      </c>
      <c r="AB55" s="23">
        <f>EXP(-LN(2)/2)*AB54+(1-EXP(-LN(2)/2))/(LN(2)/2)*V55*Y55*VLOOKUP('Données projet'!$B$9,Paramètres!$A$1:$I$88,3,0)*0.475*44/12</f>
        <v>5.073811727662954</v>
      </c>
      <c r="AC55" s="24">
        <f t="shared" si="3"/>
        <v>62.873923733434211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6.2</v>
      </c>
      <c r="AI55" s="14">
        <f>IF('Données projet'!$A$62&gt;35,AI54+AH55-AQ54,IF(A55&lt;'Données projet'!$A$62,$AF$205^A55,IF(A55='Données projet'!$A$62,'Données projet'!$B$62,AI54+AH55-AQ54)))</f>
        <v>267.39999999999986</v>
      </c>
      <c r="AJ55" s="14">
        <f>AI55*VLOOKUP('Données projet'!$B$10,Paramètres!$A$1:$I$88,3,0)*VLOOKUP('Données projet'!$B$10,Paramètres!$A$1:$I$88,5,0)</f>
        <v>146.00039999999993</v>
      </c>
      <c r="AK55" s="14">
        <f t="shared" si="35"/>
        <v>37.668237464049504</v>
      </c>
      <c r="AL55" s="22">
        <f t="shared" si="4"/>
        <v>319.88954358321945</v>
      </c>
      <c r="AM55" s="62">
        <f t="shared" si="5"/>
        <v>580.42460681010834</v>
      </c>
      <c r="AN55" s="62">
        <f ca="1">AVERAGE(OFFSET($AM$3,0,0,'Données projet'!$E$10+1,1))-AVERAGE(OFFSET($H$3,0,0,'Données projet'!$E$10+1,1))</f>
        <v>243.3456100842846</v>
      </c>
      <c r="AO55" s="62">
        <f t="shared" si="36"/>
        <v>301.6462497303628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10.921674119407824</v>
      </c>
      <c r="AV55" s="23">
        <f>EXP(-LN(2)/25)*AV54+(1-EXP(-LN(2)/25))/(LN(2)/25)*Calculateur!AQ55*Calculateur!AS55*VLOOKUP('Données projet'!$B$10,Paramètres!$A$1:$I$88,3,0)*0.475*44/12</f>
        <v>26.512714352875523</v>
      </c>
      <c r="AW55" s="23">
        <f>EXP(-LN(2)/2)*AW54+(1-EXP(-LN(2)/2))/(LN(2)/2)*AQ55*AT55*VLOOKUP('Données projet'!$B$10,Paramètres!$A$1:$I$88,3,0)*0.475*44/12</f>
        <v>2.1783937931360655</v>
      </c>
      <c r="AX55" s="23">
        <f t="shared" si="6"/>
        <v>39.612782265419412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6.6</v>
      </c>
      <c r="BD55" s="13">
        <f>IF('Données projet'!$A$88&gt;35,BD54+BC55-BL54,IF(A55&lt;'Données projet'!$A$88,$BA$205^A55,IF(A55='Données projet'!$A$88,'Données projet'!$B$88,BD54+BC55-BL54)))</f>
        <v>186.19999999999996</v>
      </c>
      <c r="BE55" s="14">
        <f>BD55*VLOOKUP('Données projet'!$B$11,Paramètres!$A$1:$I$88,3,0)*VLOOKUP('Données projet'!$B$11,Paramètres!$A$1:$I$88,5,0)</f>
        <v>148.14071999999996</v>
      </c>
      <c r="BF55" s="14">
        <f t="shared" si="37"/>
        <v>38.155751341784359</v>
      </c>
      <c r="BG55" s="22">
        <f t="shared" si="7"/>
        <v>324.46635425360768</v>
      </c>
      <c r="BH55" s="62">
        <f t="shared" si="8"/>
        <v>585.00141748049657</v>
      </c>
      <c r="BI55" s="62">
        <f ca="1">AVERAGE(OFFSET($BH$3,0,0,'Données projet'!$E$11+1,1))-AVERAGE(OFFSET($H$3,0,0,'Données projet'!$E$11+1,1))</f>
        <v>219.20272956499281</v>
      </c>
      <c r="BJ55" s="62">
        <f t="shared" si="38"/>
        <v>244.37146912604081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10.070672535115397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10.070672535115397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61.055017243696973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4.4444444444444446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16.296296296296298</v>
      </c>
      <c r="H56" s="70">
        <f t="shared" si="1"/>
        <v>191.4814814814815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18.399999999999999</v>
      </c>
      <c r="N56" s="14">
        <f>IF('Données projet'!$A$36&gt;35,N55+M56-V55,IF(A56&lt;'Données projet'!$A$36,$K$205^A56,IF(A56='Données projet'!$A$36,'Données projet'!$B$36,N55+M56-V55)))</f>
        <v>577.19999999999993</v>
      </c>
      <c r="O56" s="14">
        <f>N56*VLOOKUP('Données projet'!$B$9,Paramètres!$A$1:$I$88,3,0)*VLOOKUP('Données projet'!$B$9,Paramètres!$A$1:$I$88,5,0)</f>
        <v>322.65479999999997</v>
      </c>
      <c r="P56" s="14">
        <f t="shared" si="33"/>
        <v>75.905470539220715</v>
      </c>
      <c r="Q56" s="22">
        <f t="shared" si="53"/>
        <v>694.15913785580926</v>
      </c>
      <c r="R56" s="62">
        <f t="shared" si="0"/>
        <v>955.26317774309814</v>
      </c>
      <c r="S56" s="62">
        <f ca="1">AVERAGE(OFFSET($R$3,0,0,'Données projet'!$E$9+1,1))-AVERAGE(OFFSET($H$3,0,0,'Données projet'!$E$9+1,1))</f>
        <v>415.21844537846482</v>
      </c>
      <c r="T56" s="62">
        <f t="shared" si="34"/>
        <v>491.25626166862321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20.781445182141674</v>
      </c>
      <c r="AA56" s="23">
        <f>EXP(-LN(2)/25)*AA55+(1-EXP(-LN(2)/25))/(LN(2)/25)*Calculateur!V56*Calculateur!X56*VLOOKUP('Données projet'!$B$9,Paramètres!$A$1:$I$88,3,0)*0.475*44/12</f>
        <v>35.6020933916815</v>
      </c>
      <c r="AB56" s="23">
        <f>EXP(-LN(2)/2)*AB55+(1-EXP(-LN(2)/2))/(LN(2)/2)*V56*Y56*VLOOKUP('Données projet'!$B$9,Paramètres!$A$1:$I$88,3,0)*0.475*44/12</f>
        <v>3.5877266790943074</v>
      </c>
      <c r="AC56" s="24">
        <f t="shared" si="3"/>
        <v>59.971265252917483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6.2</v>
      </c>
      <c r="AI56" s="14">
        <f>IF('Données projet'!$A$62&gt;35,AI55+AH56-AQ55,IF(A56&lt;'Données projet'!$A$62,$AF$205^A56,IF(A56='Données projet'!$A$62,'Données projet'!$B$62,AI55+AH56-AQ55)))</f>
        <v>273.59999999999985</v>
      </c>
      <c r="AJ56" s="14">
        <f>AI56*VLOOKUP('Données projet'!$B$10,Paramètres!$A$1:$I$88,3,0)*VLOOKUP('Données projet'!$B$10,Paramètres!$A$1:$I$88,5,0)</f>
        <v>149.38559999999993</v>
      </c>
      <c r="AK56" s="14">
        <f t="shared" si="35"/>
        <v>38.438927680599562</v>
      </c>
      <c r="AL56" s="22">
        <f t="shared" si="4"/>
        <v>327.12771904371078</v>
      </c>
      <c r="AM56" s="62">
        <f t="shared" si="5"/>
        <v>588.2317589309996</v>
      </c>
      <c r="AN56" s="62">
        <f ca="1">AVERAGE(OFFSET($AM$3,0,0,'Données projet'!$E$10+1,1))-AVERAGE(OFFSET($H$3,0,0,'Données projet'!$E$10+1,1))</f>
        <v>243.3456100842846</v>
      </c>
      <c r="AO56" s="62">
        <f t="shared" si="36"/>
        <v>301.6462497303628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10.707506751489674</v>
      </c>
      <c r="AV56" s="23">
        <f>EXP(-LN(2)/25)*AV55+(1-EXP(-LN(2)/25))/(LN(2)/25)*Calculateur!AQ56*Calculateur!AS56*VLOOKUP('Données projet'!$B$10,Paramètres!$A$1:$I$88,3,0)*0.475*44/12</f>
        <v>25.787722784653091</v>
      </c>
      <c r="AW56" s="23">
        <f>EXP(-LN(2)/2)*AW55+(1-EXP(-LN(2)/2))/(LN(2)/2)*AQ56*AT56*VLOOKUP('Données projet'!$B$10,Paramètres!$A$1:$I$88,3,0)*0.475*44/12</f>
        <v>1.5403570232211972</v>
      </c>
      <c r="AX56" s="23">
        <f t="shared" si="6"/>
        <v>38.035586559363963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6.6</v>
      </c>
      <c r="BD56" s="13">
        <f>IF('Données projet'!$A$88&gt;35,BD55+BC56-BL55,IF(A56&lt;'Données projet'!$A$88,$BA$205^A56,IF(A56='Données projet'!$A$88,'Données projet'!$B$88,BD55+BC56-BL55)))</f>
        <v>192.79999999999995</v>
      </c>
      <c r="BE56" s="14">
        <f>BD56*VLOOKUP('Données projet'!$B$11,Paramètres!$A$1:$I$88,3,0)*VLOOKUP('Données projet'!$B$11,Paramètres!$A$1:$I$88,5,0)</f>
        <v>153.39167999999998</v>
      </c>
      <c r="BF56" s="14">
        <f t="shared" si="37"/>
        <v>39.348351192042401</v>
      </c>
      <c r="BG56" s="22">
        <f t="shared" si="7"/>
        <v>335.68888765947378</v>
      </c>
      <c r="BH56" s="62">
        <f t="shared" si="8"/>
        <v>596.7929275467626</v>
      </c>
      <c r="BI56" s="62">
        <f ca="1">AVERAGE(OFFSET($BH$3,0,0,'Données projet'!$E$11+1,1))-AVERAGE(OFFSET($H$3,0,0,'Données projet'!$E$11+1,1))</f>
        <v>219.20272956499281</v>
      </c>
      <c r="BJ56" s="62">
        <f t="shared" si="38"/>
        <v>244.37146912604081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9.8731927892055094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9.8731927892055094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61.210192696533305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4.4444444444444446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16.296296296296298</v>
      </c>
      <c r="H57" s="70">
        <f t="shared" si="1"/>
        <v>191.4814814814815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18.399999999999999</v>
      </c>
      <c r="N57" s="14">
        <f>IF('Données projet'!$A$36&gt;35,N56+M57-V56,IF(A57&lt;'Données projet'!$A$36,$K$205^A57,IF(A57='Données projet'!$A$36,'Données projet'!$B$36,N56+M57-V56)))</f>
        <v>595.59999999999991</v>
      </c>
      <c r="O57" s="14">
        <f>N57*VLOOKUP('Données projet'!$B$9,Paramètres!$A$1:$I$88,3,0)*VLOOKUP('Données projet'!$B$9,Paramètres!$A$1:$I$88,5,0)</f>
        <v>332.94039999999995</v>
      </c>
      <c r="P57" s="14">
        <f t="shared" si="33"/>
        <v>78.039612018229533</v>
      </c>
      <c r="Q57" s="22">
        <f t="shared" si="53"/>
        <v>715.79018759841631</v>
      </c>
      <c r="R57" s="62">
        <f t="shared" si="0"/>
        <v>977.45333367308831</v>
      </c>
      <c r="S57" s="62">
        <f ca="1">AVERAGE(OFFSET($R$3,0,0,'Données projet'!$E$9+1,1))-AVERAGE(OFFSET($H$3,0,0,'Données projet'!$E$9+1,1))</f>
        <v>415.21844537846482</v>
      </c>
      <c r="T57" s="62">
        <f t="shared" si="34"/>
        <v>491.25626166862321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20.373933717549843</v>
      </c>
      <c r="AA57" s="23">
        <f>EXP(-LN(2)/25)*AA56+(1-EXP(-LN(2)/25))/(LN(2)/25)*Calculateur!V57*Calculateur!X57*VLOOKUP('Données projet'!$B$9,Paramètres!$A$1:$I$88,3,0)*0.475*44/12</f>
        <v>34.628552275653249</v>
      </c>
      <c r="AB57" s="23">
        <f>EXP(-LN(2)/2)*AB56+(1-EXP(-LN(2)/2))/(LN(2)/2)*V57*Y57*VLOOKUP('Données projet'!$B$9,Paramètres!$A$1:$I$88,3,0)*0.475*44/12</f>
        <v>2.5369058638314774</v>
      </c>
      <c r="AC57" s="24">
        <f t="shared" si="3"/>
        <v>57.539391857034573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6.2</v>
      </c>
      <c r="AI57" s="14">
        <f>IF('Données projet'!$A$62&gt;35,AI56+AH57-AQ56,IF(A57&lt;'Données projet'!$A$62,$AF$205^A57,IF(A57='Données projet'!$A$62,'Données projet'!$B$62,AI56+AH57-AQ56)))</f>
        <v>279.79999999999984</v>
      </c>
      <c r="AJ57" s="14">
        <f>AI57*VLOOKUP('Données projet'!$B$10,Paramètres!$A$1:$I$88,3,0)*VLOOKUP('Données projet'!$B$10,Paramètres!$A$1:$I$88,5,0)</f>
        <v>152.77079999999992</v>
      </c>
      <c r="AK57" s="14">
        <f t="shared" si="35"/>
        <v>39.207587527735704</v>
      </c>
      <c r="AL57" s="22">
        <f t="shared" si="4"/>
        <v>334.36235827747288</v>
      </c>
      <c r="AM57" s="62">
        <f t="shared" si="5"/>
        <v>596.02550435214482</v>
      </c>
      <c r="AN57" s="62">
        <f ca="1">AVERAGE(OFFSET($AM$3,0,0,'Données projet'!$E$10+1,1))-AVERAGE(OFFSET($H$3,0,0,'Données projet'!$E$10+1,1))</f>
        <v>243.3456100842846</v>
      </c>
      <c r="AO57" s="62">
        <f t="shared" si="36"/>
        <v>301.6462497303628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10.497539075027204</v>
      </c>
      <c r="AV57" s="23">
        <f>EXP(-LN(2)/25)*AV56+(1-EXP(-LN(2)/25))/(LN(2)/25)*Calculateur!AQ57*Calculateur!AS57*VLOOKUP('Données projet'!$B$10,Paramètres!$A$1:$I$88,3,0)*0.475*44/12</f>
        <v>25.082556148989351</v>
      </c>
      <c r="AW57" s="23">
        <f>EXP(-LN(2)/2)*AW56+(1-EXP(-LN(2)/2))/(LN(2)/2)*AQ57*AT57*VLOOKUP('Données projet'!$B$10,Paramètres!$A$1:$I$88,3,0)*0.475*44/12</f>
        <v>1.0891968965680328</v>
      </c>
      <c r="AX57" s="23">
        <f t="shared" si="6"/>
        <v>36.669292120584586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6.6</v>
      </c>
      <c r="BD57" s="13">
        <f>IF('Données projet'!$A$88&gt;35,BD56+BC57-BL56,IF(A57&lt;'Données projet'!$A$88,$BA$205^A57,IF(A57='Données projet'!$A$88,'Données projet'!$B$88,BD56+BC57-BL56)))</f>
        <v>199.39999999999995</v>
      </c>
      <c r="BE57" s="14">
        <f>BD57*VLOOKUP('Données projet'!$B$11,Paramètres!$A$1:$I$88,3,0)*VLOOKUP('Données projet'!$B$11,Paramètres!$A$1:$I$88,5,0)</f>
        <v>158.64263999999997</v>
      </c>
      <c r="BF57" s="14">
        <f t="shared" si="37"/>
        <v>40.536207428944159</v>
      </c>
      <c r="BG57" s="22">
        <f t="shared" si="7"/>
        <v>346.90315927207763</v>
      </c>
      <c r="BH57" s="62">
        <f t="shared" si="8"/>
        <v>608.56630534674957</v>
      </c>
      <c r="BI57" s="62">
        <f ca="1">AVERAGE(OFFSET($BH$3,0,0,'Données projet'!$E$11+1,1))-AVERAGE(OFFSET($H$3,0,0,'Données projet'!$E$11+1,1))</f>
        <v>219.20272956499281</v>
      </c>
      <c r="BJ57" s="62">
        <f t="shared" si="38"/>
        <v>244.37146912604081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9.6795855006621618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9.6795855006621618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61.362676202183259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4.4444444444444446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16.296296296296298</v>
      </c>
      <c r="H58" s="70">
        <f t="shared" si="1"/>
        <v>191.4814814814815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614</v>
      </c>
      <c r="L58" s="13">
        <f>VLOOKUP(A58,'Données projet'!$A$35:$I$55,9,0)</f>
        <v>18.399999999999999</v>
      </c>
      <c r="M58" s="13">
        <f t="array" ref="M58">INDEX(L:L,MIN(IF(ISNUMBER(L58:L254),ROW(L58:L254),"")))</f>
        <v>18.399999999999999</v>
      </c>
      <c r="N58" s="14">
        <f>IF('Données projet'!$A$36&gt;35,N57+M58-V57,IF(A58&lt;'Données projet'!$A$36,$K$205^A58,IF(A58='Données projet'!$A$36,'Données projet'!$B$36,N57+M58-V57)))</f>
        <v>613.99999999999989</v>
      </c>
      <c r="O58" s="14">
        <f>N58*VLOOKUP('Données projet'!$B$9,Paramètres!$A$1:$I$88,3,0)*VLOOKUP('Données projet'!$B$9,Paramètres!$A$1:$I$88,5,0)</f>
        <v>343.22599999999994</v>
      </c>
      <c r="P58" s="14">
        <f t="shared" si="33"/>
        <v>80.166091681676448</v>
      </c>
      <c r="Q58" s="22">
        <f t="shared" si="53"/>
        <v>737.40789301225288</v>
      </c>
      <c r="R58" s="62">
        <f t="shared" si="0"/>
        <v>999.62044603193112</v>
      </c>
      <c r="S58" s="62">
        <f ca="1">AVERAGE(OFFSET($R$3,0,0,'Données projet'!$E$9+1,1))-AVERAGE(OFFSET($H$3,0,0,'Données projet'!$E$9+1,1))</f>
        <v>415.21844537846482</v>
      </c>
      <c r="T58" s="62">
        <f t="shared" si="34"/>
        <v>491.25626166862321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51</v>
      </c>
      <c r="W58" s="17">
        <f>IF(ISNA(VLOOKUP(A58,'Données projet'!$A$35:$I$55,5,0)),0%,VLOOKUP(A58,'Données projet'!$A$35:$I$55,5,0)*VLOOKUP('Données projet'!$B$9,Paramètres!$A$1:$I$88,7,0))</f>
        <v>0.33</v>
      </c>
      <c r="X58" s="17">
        <f>IF(ISNA(VLOOKUP(A58,'Données projet'!$A$35:$I$55,6,0)),0%,VLOOKUP(A58,'Données projet'!$A$35:$I$55,6,0)*VLOOKUP('Données projet'!$B$9,Paramètres!$A$1:$I$88,7,0))</f>
        <v>0.12320000000000003</v>
      </c>
      <c r="Y58" s="17">
        <f>IF(ISNA(VLOOKUP(A58,'Données projet'!$A$35:$I$55,7,0)),0%,VLOOKUP(A58,'Données projet'!$A$35:$I$55,7,0))</f>
        <v>0.17600000000000002</v>
      </c>
      <c r="Z58" s="23">
        <f>EXP(-LN(2)/35)*Z57+(1-EXP(-LN(2)/35))/(LN(2)/35)*V58*W58*VLOOKUP('Données projet'!$B$9,Paramètres!$A$1:$I$88,3,0)*0.475*44/12</f>
        <v>32.454691904062734</v>
      </c>
      <c r="AA58" s="23">
        <f>EXP(-LN(2)/25)*AA57+(1-EXP(-LN(2)/25))/(LN(2)/25)*Calculateur!V58*Calculateur!X58*VLOOKUP('Données projet'!$B$9,Paramètres!$A$1:$I$88,3,0)*0.475*44/12</f>
        <v>38.322591248022825</v>
      </c>
      <c r="AB58" s="23">
        <f>EXP(-LN(2)/2)*AB57+(1-EXP(-LN(2)/2))/(LN(2)/2)*V58*Y58*VLOOKUP('Données projet'!$B$9,Paramètres!$A$1:$I$88,3,0)*0.475*44/12</f>
        <v>7.4749339998991893</v>
      </c>
      <c r="AC58" s="24">
        <f t="shared" si="3"/>
        <v>78.252217151984752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286</v>
      </c>
      <c r="AG58" s="13">
        <f>VLOOKUP(A58,'Données projet'!$A$61:$I$81,9,0)</f>
        <v>6.2</v>
      </c>
      <c r="AH58" s="13">
        <f t="array" ref="AH58">INDEX(AG:AG,MIN(IF(ISNUMBER(AG58:AG254),ROW(AG58:AG254),"")))</f>
        <v>6.2</v>
      </c>
      <c r="AI58" s="14">
        <f>IF('Données projet'!$A$62&gt;35,AI57+AH58-AQ57,IF(A58&lt;'Données projet'!$A$62,$AF$205^A58,IF(A58='Données projet'!$A$62,'Données projet'!$B$62,AI57+AH58-AQ57)))</f>
        <v>285.99999999999983</v>
      </c>
      <c r="AJ58" s="14">
        <f>AI58*VLOOKUP('Données projet'!$B$10,Paramètres!$A$1:$I$88,3,0)*VLOOKUP('Données projet'!$B$10,Paramètres!$A$1:$I$88,5,0)</f>
        <v>156.15599999999989</v>
      </c>
      <c r="AK58" s="14">
        <f t="shared" si="35"/>
        <v>39.97426717622205</v>
      </c>
      <c r="AL58" s="22">
        <f t="shared" si="4"/>
        <v>341.59354866525314</v>
      </c>
      <c r="AM58" s="62">
        <f t="shared" si="5"/>
        <v>603.80610168493126</v>
      </c>
      <c r="AN58" s="62">
        <f ca="1">AVERAGE(OFFSET($AM$3,0,0,'Données projet'!$E$10+1,1))-AVERAGE(OFFSET($H$3,0,0,'Données projet'!$E$10+1,1))</f>
        <v>243.3456100842846</v>
      </c>
      <c r="AO58" s="62">
        <f t="shared" si="36"/>
        <v>301.6462497303628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18</v>
      </c>
      <c r="AR58" s="17">
        <f>IF(ISNA(VLOOKUP(A58,'Données projet'!$A$61:$I$81,5,0)),0%,VLOOKUP(A58,'Données projet'!$A$61:$I$81,5,0)*VLOOKUP('Données projet'!$B$10,Paramètres!$A$1:$I$88,7,0))</f>
        <v>0.36</v>
      </c>
      <c r="AS58" s="17">
        <f>IF(ISNA(VLOOKUP(A58,'Données projet'!$A$61:$I$81,6,0)),0%,VLOOKUP(A58,'Données projet'!$A$61:$I$81,6,0)*VLOOKUP('Données projet'!$B$10,Paramètres!$A$1:$I$88,7,0))</f>
        <v>0.13440000000000002</v>
      </c>
      <c r="AT58" s="17">
        <f>IF(ISNA(VLOOKUP(A58,'Données projet'!$A$61:$I$81,7,0)),0%,VLOOKUP(A58,'Données projet'!$A$61:$I$81,7,0))</f>
        <v>0.17600000000000002</v>
      </c>
      <c r="AU58" s="23">
        <f>EXP(-LN(2)/35)*AU57+(1-EXP(-LN(2)/35))/(LN(2)/35)*AQ58*AR58*VLOOKUP('Données projet'!$B$10,Paramètres!$A$1:$I$88,3,0)*0.475*44/12</f>
        <v>14.985179905134054</v>
      </c>
      <c r="AV58" s="23">
        <f>EXP(-LN(2)/25)*AV57+(1-EXP(-LN(2)/25))/(LN(2)/25)*Calculateur!AQ58*Calculateur!AS58*VLOOKUP('Données projet'!$B$10,Paramètres!$A$1:$I$88,3,0)*0.475*44/12</f>
        <v>26.142009811414301</v>
      </c>
      <c r="AW58" s="23">
        <f>EXP(-LN(2)/2)*AW57+(1-EXP(-LN(2)/2))/(LN(2)/2)*AQ58*AT58*VLOOKUP('Données projet'!$B$10,Paramètres!$A$1:$I$88,3,0)*0.475*44/12</f>
        <v>2.7286324191464573</v>
      </c>
      <c r="AX58" s="23">
        <f t="shared" si="6"/>
        <v>43.855822135694815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206</v>
      </c>
      <c r="BB58" s="13">
        <f>VLOOKUP(A58,'Données projet'!$A$87:$I$107,9,0)</f>
        <v>6.6</v>
      </c>
      <c r="BC58" s="13">
        <f t="array" ref="BC58">INDEX(BB:BB,MIN(IF(ISNUMBER(BB58:BB254),ROW(BB58:BB254),"")))</f>
        <v>6.6</v>
      </c>
      <c r="BD58" s="13">
        <f>IF('Données projet'!$A$88&gt;35,BD57+BC58-BL57,IF(A58&lt;'Données projet'!$A$88,$BA$205^A58,IF(A58='Données projet'!$A$88,'Données projet'!$B$88,BD57+BC58-BL57)))</f>
        <v>205.99999999999994</v>
      </c>
      <c r="BE58" s="14">
        <f>BD58*VLOOKUP('Données projet'!$B$11,Paramètres!$A$1:$I$88,3,0)*VLOOKUP('Données projet'!$B$11,Paramètres!$A$1:$I$88,5,0)</f>
        <v>163.89359999999996</v>
      </c>
      <c r="BF58" s="14">
        <f t="shared" si="37"/>
        <v>41.71949506642347</v>
      </c>
      <c r="BG58" s="22">
        <f t="shared" si="7"/>
        <v>358.10947390735413</v>
      </c>
      <c r="BH58" s="62">
        <f t="shared" si="8"/>
        <v>620.32202692703231</v>
      </c>
      <c r="BI58" s="62">
        <f ca="1">AVERAGE(OFFSET($BH$3,0,0,'Données projet'!$E$11+1,1))-AVERAGE(OFFSET($H$3,0,0,'Données projet'!$E$11+1,1))</f>
        <v>219.20272956499281</v>
      </c>
      <c r="BJ58" s="62">
        <f t="shared" si="38"/>
        <v>244.37146912604081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17</v>
      </c>
      <c r="BM58" s="17">
        <f>IF(ISNA(VLOOKUP(A58,'Données projet'!$A$87:$I$107,5,0)),0%,VLOOKUP(A58,'Données projet'!$A$87:$I$107,5,0)*VLOOKUP('Données projet'!$B$11,Paramètres!$A$1:$I$88,7,0))</f>
        <v>0.318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14.244417869726744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14.244417869726744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61.512514459912246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4.4444444444444446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16.296296296296298</v>
      </c>
      <c r="H59" s="70">
        <f t="shared" si="1"/>
        <v>191.4814814814815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17.600000000000001</v>
      </c>
      <c r="N59" s="14">
        <f>IF('Données projet'!$A$36&gt;35,N58+M59-V58,IF(A59&lt;'Données projet'!$A$36,$K$205^A59,IF(A59='Données projet'!$A$36,'Données projet'!$B$36,N58+M59-V58)))</f>
        <v>580.59999999999991</v>
      </c>
      <c r="O59" s="14">
        <f>N59*VLOOKUP('Données projet'!$B$9,Paramètres!$A$1:$I$88,3,0)*VLOOKUP('Données projet'!$B$9,Paramètres!$A$1:$I$88,5,0)</f>
        <v>324.55539999999996</v>
      </c>
      <c r="P59" s="14">
        <f t="shared" si="33"/>
        <v>76.300412056684465</v>
      </c>
      <c r="Q59" s="22">
        <f t="shared" si="53"/>
        <v>698.15720599872532</v>
      </c>
      <c r="R59" s="62">
        <f t="shared" si="0"/>
        <v>960.90963498120391</v>
      </c>
      <c r="S59" s="62">
        <f ca="1">AVERAGE(OFFSET($R$3,0,0,'Données projet'!$E$9+1,1))-AVERAGE(OFFSET($H$3,0,0,'Données projet'!$E$9+1,1))</f>
        <v>415.21844537846482</v>
      </c>
      <c r="T59" s="62">
        <f t="shared" si="34"/>
        <v>491.25626166862321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31.818275191231493</v>
      </c>
      <c r="AA59" s="23">
        <f>EXP(-LN(2)/25)*AA58+(1-EXP(-LN(2)/25))/(LN(2)/25)*Calculateur!V59*Calculateur!X59*VLOOKUP('Données projet'!$B$9,Paramètres!$A$1:$I$88,3,0)*0.475*44/12</f>
        <v>37.274657975048157</v>
      </c>
      <c r="AB59" s="23">
        <f>EXP(-LN(2)/2)*AB58+(1-EXP(-LN(2)/2))/(LN(2)/2)*V59*Y59*VLOOKUP('Données projet'!$B$9,Paramètres!$A$1:$I$88,3,0)*0.475*44/12</f>
        <v>5.2855765202506007</v>
      </c>
      <c r="AC59" s="24">
        <f t="shared" si="3"/>
        <v>74.378509686530251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273.19999999999982</v>
      </c>
      <c r="AJ59" s="14">
        <f>AI59*VLOOKUP('Données projet'!$B$10,Paramètres!$A$1:$I$88,3,0)*VLOOKUP('Données projet'!$B$10,Paramètres!$A$1:$I$88,5,0)</f>
        <v>149.16719999999989</v>
      </c>
      <c r="AK59" s="14">
        <f t="shared" si="35"/>
        <v>38.389267551878007</v>
      </c>
      <c r="AL59" s="22">
        <f t="shared" si="4"/>
        <v>326.66084765285405</v>
      </c>
      <c r="AM59" s="62">
        <f t="shared" si="5"/>
        <v>589.41327663533252</v>
      </c>
      <c r="AN59" s="62">
        <f ca="1">AVERAGE(OFFSET($AM$3,0,0,'Données projet'!$E$10+1,1))-AVERAGE(OFFSET($H$3,0,0,'Données projet'!$E$10+1,1))</f>
        <v>243.3456100842846</v>
      </c>
      <c r="AO59" s="62">
        <f t="shared" si="36"/>
        <v>301.6462497303628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14.691329667251612</v>
      </c>
      <c r="AV59" s="23">
        <f>EXP(-LN(2)/25)*AV58+(1-EXP(-LN(2)/25))/(LN(2)/25)*Calculateur!AQ59*Calculateur!AS59*VLOOKUP('Données projet'!$B$10,Paramètres!$A$1:$I$88,3,0)*0.475*44/12</f>
        <v>25.42715517837263</v>
      </c>
      <c r="AW59" s="23">
        <f>EXP(-LN(2)/2)*AW58+(1-EXP(-LN(2)/2))/(LN(2)/2)*AQ59*AT59*VLOOKUP('Données projet'!$B$10,Paramètres!$A$1:$I$88,3,0)*0.475*44/12</f>
        <v>1.929434486943914</v>
      </c>
      <c r="AX59" s="23">
        <f t="shared" si="6"/>
        <v>42.047919332568149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6.4</v>
      </c>
      <c r="BD59" s="13">
        <f>IF('Données projet'!$A$88&gt;35,BD58+BC59-BL58,IF(A59&lt;'Données projet'!$A$88,$BA$205^A59,IF(A59='Données projet'!$A$88,'Données projet'!$B$88,BD58+BC59-BL58)))</f>
        <v>195.39999999999995</v>
      </c>
      <c r="BE59" s="14">
        <f>BD59*VLOOKUP('Données projet'!$B$11,Paramètres!$A$1:$I$88,3,0)*VLOOKUP('Données projet'!$B$11,Paramètres!$A$1:$I$88,5,0)</f>
        <v>155.46023999999997</v>
      </c>
      <c r="BF59" s="14">
        <f t="shared" si="37"/>
        <v>39.81685084375372</v>
      </c>
      <c r="BG59" s="22">
        <f t="shared" si="7"/>
        <v>340.10759988620435</v>
      </c>
      <c r="BH59" s="62">
        <f t="shared" si="8"/>
        <v>602.86002886868289</v>
      </c>
      <c r="BI59" s="62">
        <f ca="1">AVERAGE(OFFSET($BH$3,0,0,'Données projet'!$E$11+1,1))-AVERAGE(OFFSET($H$3,0,0,'Données projet'!$E$11+1,1))</f>
        <v>219.20272956499281</v>
      </c>
      <c r="BJ59" s="62">
        <f t="shared" si="38"/>
        <v>244.37146912604081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13.96509352353841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13.96509352353841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61.659753358857785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4.4444444444444446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16.296296296296298</v>
      </c>
      <c r="H60" s="70">
        <f t="shared" si="1"/>
        <v>191.4814814814815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17.600000000000001</v>
      </c>
      <c r="N60" s="14">
        <f>IF('Données projet'!$A$36&gt;35,N59+M60-V59,IF(A60&lt;'Données projet'!$A$36,$K$205^A60,IF(A60='Données projet'!$A$36,'Données projet'!$B$36,N59+M60-V59)))</f>
        <v>598.19999999999993</v>
      </c>
      <c r="O60" s="14">
        <f>N60*VLOOKUP('Données projet'!$B$9,Paramètres!$A$1:$I$88,3,0)*VLOOKUP('Données projet'!$B$9,Paramètres!$A$1:$I$88,5,0)</f>
        <v>334.39379999999994</v>
      </c>
      <c r="P60" s="14">
        <f t="shared" si="33"/>
        <v>78.340551587003134</v>
      </c>
      <c r="Q60" s="22">
        <f t="shared" si="53"/>
        <v>718.8456623473636</v>
      </c>
      <c r="R60" s="62">
        <f t="shared" si="0"/>
        <v>982.12860165166967</v>
      </c>
      <c r="S60" s="62">
        <f ca="1">AVERAGE(OFFSET($R$3,0,0,'Données projet'!$E$9+1,1))-AVERAGE(OFFSET($H$3,0,0,'Données projet'!$E$9+1,1))</f>
        <v>415.21844537846482</v>
      </c>
      <c r="T60" s="62">
        <f t="shared" si="34"/>
        <v>491.25626166862321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31.194338221963005</v>
      </c>
      <c r="AA60" s="23">
        <f>EXP(-LN(2)/25)*AA59+(1-EXP(-LN(2)/25))/(LN(2)/25)*Calculateur!V60*Calculateur!X60*VLOOKUP('Données projet'!$B$9,Paramètres!$A$1:$I$88,3,0)*0.475*44/12</f>
        <v>36.255380492531394</v>
      </c>
      <c r="AB60" s="23">
        <f>EXP(-LN(2)/2)*AB59+(1-EXP(-LN(2)/2))/(LN(2)/2)*V60*Y60*VLOOKUP('Données projet'!$B$9,Paramètres!$A$1:$I$88,3,0)*0.475*44/12</f>
        <v>3.7374669999495951</v>
      </c>
      <c r="AC60" s="24">
        <f t="shared" si="3"/>
        <v>71.187185714443984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278.39999999999981</v>
      </c>
      <c r="AJ60" s="14">
        <f>AI60*VLOOKUP('Données projet'!$B$10,Paramètres!$A$1:$I$88,3,0)*VLOOKUP('Données projet'!$B$10,Paramètres!$A$1:$I$88,5,0)</f>
        <v>152.0063999999999</v>
      </c>
      <c r="AK60" s="14">
        <f t="shared" si="35"/>
        <v>39.03419401656145</v>
      </c>
      <c r="AL60" s="22">
        <f t="shared" si="4"/>
        <v>332.72903457884433</v>
      </c>
      <c r="AM60" s="62">
        <f t="shared" si="5"/>
        <v>596.0119738831504</v>
      </c>
      <c r="AN60" s="62">
        <f ca="1">AVERAGE(OFFSET($AM$3,0,0,'Données projet'!$E$10+1,1))-AVERAGE(OFFSET($H$3,0,0,'Données projet'!$E$10+1,1))</f>
        <v>243.3456100842846</v>
      </c>
      <c r="AO60" s="62">
        <f t="shared" si="36"/>
        <v>301.6462497303628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14.403241653303096</v>
      </c>
      <c r="AV60" s="23">
        <f>EXP(-LN(2)/25)*AV59+(1-EXP(-LN(2)/25))/(LN(2)/25)*Calculateur!AQ60*Calculateur!AS60*VLOOKUP('Données projet'!$B$10,Paramètres!$A$1:$I$88,3,0)*0.475*44/12</f>
        <v>24.731848282864053</v>
      </c>
      <c r="AW60" s="23">
        <f>EXP(-LN(2)/2)*AW59+(1-EXP(-LN(2)/2))/(LN(2)/2)*AQ60*AT60*VLOOKUP('Données projet'!$B$10,Paramètres!$A$1:$I$88,3,0)*0.475*44/12</f>
        <v>1.3643162095732289</v>
      </c>
      <c r="AX60" s="23">
        <f t="shared" si="6"/>
        <v>40.49940614574038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6.4</v>
      </c>
      <c r="BD60" s="13">
        <f>IF('Données projet'!$A$88&gt;35,BD59+BC60-BL59,IF(A60&lt;'Données projet'!$A$88,$BA$205^A60,IF(A60='Données projet'!$A$88,'Données projet'!$B$88,BD59+BC60-BL59)))</f>
        <v>201.79999999999995</v>
      </c>
      <c r="BE60" s="14">
        <f>BD60*VLOOKUP('Données projet'!$B$11,Paramètres!$A$1:$I$88,3,0)*VLOOKUP('Données projet'!$B$11,Paramètres!$A$1:$I$88,5,0)</f>
        <v>160.55207999999996</v>
      </c>
      <c r="BF60" s="14">
        <f t="shared" si="37"/>
        <v>40.967013617152439</v>
      </c>
      <c r="BG60" s="22">
        <f t="shared" si="7"/>
        <v>350.97908804987378</v>
      </c>
      <c r="BH60" s="62">
        <f t="shared" si="8"/>
        <v>614.26202735417996</v>
      </c>
      <c r="BI60" s="62">
        <f ca="1">AVERAGE(OFFSET($BH$3,0,0,'Données projet'!$E$11+1,1))-AVERAGE(OFFSET($H$3,0,0,'Données projet'!$E$11+1,1))</f>
        <v>219.20272956499281</v>
      </c>
      <c r="BJ60" s="62">
        <f t="shared" si="38"/>
        <v>244.37146912604081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13.691246557407801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13.691246557407801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61.804437992083486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4.4444444444444446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16.296296296296298</v>
      </c>
      <c r="H61" s="70">
        <f t="shared" si="1"/>
        <v>191.4814814814815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17.600000000000001</v>
      </c>
      <c r="N61" s="14">
        <f>IF('Données projet'!$A$36&gt;35,N60+M61-V60,IF(A61&lt;'Données projet'!$A$36,$K$205^A61,IF(A61='Données projet'!$A$36,'Données projet'!$B$36,N60+M61-V60)))</f>
        <v>615.79999999999995</v>
      </c>
      <c r="O61" s="14">
        <f>N61*VLOOKUP('Données projet'!$B$9,Paramètres!$A$1:$I$88,3,0)*VLOOKUP('Données projet'!$B$9,Paramètres!$A$1:$I$88,5,0)</f>
        <v>344.23219999999998</v>
      </c>
      <c r="P61" s="14">
        <f t="shared" si="33"/>
        <v>80.373715191199906</v>
      </c>
      <c r="Q61" s="22">
        <f t="shared" si="53"/>
        <v>739.52196895800637</v>
      </c>
      <c r="R61" s="62">
        <f t="shared" si="0"/>
        <v>1003.3262154160998</v>
      </c>
      <c r="S61" s="62">
        <f ca="1">AVERAGE(OFFSET($R$3,0,0,'Données projet'!$E$9+1,1))-AVERAGE(OFFSET($H$3,0,0,'Données projet'!$E$9+1,1))</f>
        <v>415.21844537846482</v>
      </c>
      <c r="T61" s="62">
        <f t="shared" si="34"/>
        <v>491.25626166862321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30.582636276097897</v>
      </c>
      <c r="AA61" s="23">
        <f>EXP(-LN(2)/25)*AA60+(1-EXP(-LN(2)/25))/(LN(2)/25)*Calculateur!V61*Calculateur!X61*VLOOKUP('Données projet'!$B$9,Paramètres!$A$1:$I$88,3,0)*0.475*44/12</f>
        <v>35.263975206375527</v>
      </c>
      <c r="AB61" s="23">
        <f>EXP(-LN(2)/2)*AB60+(1-EXP(-LN(2)/2))/(LN(2)/2)*V61*Y61*VLOOKUP('Données projet'!$B$9,Paramètres!$A$1:$I$88,3,0)*0.475*44/12</f>
        <v>2.6427882601253008</v>
      </c>
      <c r="AC61" s="24">
        <f t="shared" si="3"/>
        <v>68.489399742598721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283.5999999999998</v>
      </c>
      <c r="AJ61" s="14">
        <f>AI61*VLOOKUP('Données projet'!$B$10,Paramètres!$A$1:$I$88,3,0)*VLOOKUP('Données projet'!$B$10,Paramètres!$A$1:$I$88,5,0)</f>
        <v>154.84559999999988</v>
      </c>
      <c r="AK61" s="14">
        <f t="shared" si="35"/>
        <v>39.677719759195263</v>
      </c>
      <c r="AL61" s="22">
        <f t="shared" si="4"/>
        <v>338.7947819139315</v>
      </c>
      <c r="AM61" s="62">
        <f t="shared" si="5"/>
        <v>602.5990283720248</v>
      </c>
      <c r="AN61" s="62">
        <f ca="1">AVERAGE(OFFSET($AM$3,0,0,'Données projet'!$E$10+1,1))-AVERAGE(OFFSET($H$3,0,0,'Données projet'!$E$10+1,1))</f>
        <v>243.3456100842846</v>
      </c>
      <c r="AO61" s="62">
        <f t="shared" si="36"/>
        <v>301.6462497303628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14.120802869591774</v>
      </c>
      <c r="AV61" s="23">
        <f>EXP(-LN(2)/25)*AV60+(1-EXP(-LN(2)/25))/(LN(2)/25)*Calculateur!AQ61*Calculateur!AS61*VLOOKUP('Données projet'!$B$10,Paramètres!$A$1:$I$88,3,0)*0.475*44/12</f>
        <v>24.05555459097776</v>
      </c>
      <c r="AW61" s="23">
        <f>EXP(-LN(2)/2)*AW60+(1-EXP(-LN(2)/2))/(LN(2)/2)*AQ61*AT61*VLOOKUP('Données projet'!$B$10,Paramètres!$A$1:$I$88,3,0)*0.475*44/12</f>
        <v>0.96471724347195709</v>
      </c>
      <c r="AX61" s="23">
        <f t="shared" si="6"/>
        <v>39.141074704041493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6.4</v>
      </c>
      <c r="BD61" s="13">
        <f>IF('Données projet'!$A$88&gt;35,BD60+BC61-BL60,IF(A61&lt;'Données projet'!$A$88,$BA$205^A61,IF(A61='Données projet'!$A$88,'Données projet'!$B$88,BD60+BC61-BL60)))</f>
        <v>208.19999999999996</v>
      </c>
      <c r="BE61" s="14">
        <f>BD61*VLOOKUP('Données projet'!$B$11,Paramètres!$A$1:$I$88,3,0)*VLOOKUP('Données projet'!$B$11,Paramètres!$A$1:$I$88,5,0)</f>
        <v>165.64391999999998</v>
      </c>
      <c r="BF61" s="14">
        <f t="shared" si="37"/>
        <v>42.112937554158911</v>
      </c>
      <c r="BG61" s="22">
        <f t="shared" si="7"/>
        <v>361.84319357349341</v>
      </c>
      <c r="BH61" s="62">
        <f t="shared" si="8"/>
        <v>625.64744003158671</v>
      </c>
      <c r="BI61" s="62">
        <f ca="1">AVERAGE(OFFSET($BH$3,0,0,'Données projet'!$E$11+1,1))-AVERAGE(OFFSET($H$3,0,0,'Données projet'!$E$11+1,1))</f>
        <v>219.20272956499281</v>
      </c>
      <c r="BJ61" s="62">
        <f t="shared" si="38"/>
        <v>244.37146912604081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13.422769563252858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13.422769563252858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61.946612670389101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4.4444444444444446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16.296296296296298</v>
      </c>
      <c r="H62" s="70">
        <f t="shared" si="1"/>
        <v>191.4814814814815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17.600000000000001</v>
      </c>
      <c r="N62" s="14">
        <f>IF('Données projet'!$A$36&gt;35,N61+M62-V61,IF(A62&lt;'Données projet'!$A$36,$K$205^A62,IF(A62='Données projet'!$A$36,'Données projet'!$B$36,N61+M62-V61)))</f>
        <v>633.4</v>
      </c>
      <c r="O62" s="14">
        <f>N62*VLOOKUP('Données projet'!$B$9,Paramètres!$A$1:$I$88,3,0)*VLOOKUP('Données projet'!$B$9,Paramètres!$A$1:$I$88,5,0)</f>
        <v>354.07059999999996</v>
      </c>
      <c r="P62" s="14">
        <f t="shared" si="33"/>
        <v>82.400125145142354</v>
      </c>
      <c r="Q62" s="22">
        <f t="shared" si="53"/>
        <v>760.18651296112273</v>
      </c>
      <c r="R62" s="62">
        <f t="shared" si="0"/>
        <v>1024.5030230593534</v>
      </c>
      <c r="S62" s="62">
        <f ca="1">AVERAGE(OFFSET($R$3,0,0,'Données projet'!$E$9+1,1))-AVERAGE(OFFSET($H$3,0,0,'Données projet'!$E$9+1,1))</f>
        <v>415.21844537846482</v>
      </c>
      <c r="T62" s="62">
        <f t="shared" si="34"/>
        <v>491.25626166862321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29.982929432289858</v>
      </c>
      <c r="AA62" s="23">
        <f>EXP(-LN(2)/25)*AA61+(1-EXP(-LN(2)/25))/(LN(2)/25)*Calculateur!V62*Calculateur!X62*VLOOKUP('Données projet'!$B$9,Paramètres!$A$1:$I$88,3,0)*0.475*44/12</f>
        <v>34.299679949905325</v>
      </c>
      <c r="AB62" s="23">
        <f>EXP(-LN(2)/2)*AB61+(1-EXP(-LN(2)/2))/(LN(2)/2)*V62*Y62*VLOOKUP('Données projet'!$B$9,Paramètres!$A$1:$I$88,3,0)*0.475*44/12</f>
        <v>1.8687334999747978</v>
      </c>
      <c r="AC62" s="24">
        <f t="shared" si="3"/>
        <v>66.15134288216997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288.79999999999978</v>
      </c>
      <c r="AJ62" s="14">
        <f>AI62*VLOOKUP('Données projet'!$B$10,Paramètres!$A$1:$I$88,3,0)*VLOOKUP('Données projet'!$B$10,Paramètres!$A$1:$I$88,5,0)</f>
        <v>157.68479999999988</v>
      </c>
      <c r="AK62" s="14">
        <f t="shared" si="35"/>
        <v>40.319873425161511</v>
      </c>
      <c r="AL62" s="22">
        <f t="shared" si="4"/>
        <v>344.85813954882269</v>
      </c>
      <c r="AM62" s="62">
        <f t="shared" si="5"/>
        <v>609.17464964705323</v>
      </c>
      <c r="AN62" s="62">
        <f ca="1">AVERAGE(OFFSET($AM$3,0,0,'Données projet'!$E$10+1,1))-AVERAGE(OFFSET($H$3,0,0,'Données projet'!$E$10+1,1))</f>
        <v>243.3456100842846</v>
      </c>
      <c r="AO62" s="62">
        <f t="shared" si="36"/>
        <v>301.6462497303628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13.843902538158382</v>
      </c>
      <c r="AV62" s="23">
        <f>EXP(-LN(2)/25)*AV61+(1-EXP(-LN(2)/25))/(LN(2)/25)*Calculateur!AQ62*Calculateur!AS62*VLOOKUP('Données projet'!$B$10,Paramètres!$A$1:$I$88,3,0)*0.475*44/12</f>
        <v>23.397754185660837</v>
      </c>
      <c r="AW62" s="23">
        <f>EXP(-LN(2)/2)*AW61+(1-EXP(-LN(2)/2))/(LN(2)/2)*AQ62*AT62*VLOOKUP('Données projet'!$B$10,Paramètres!$A$1:$I$88,3,0)*0.475*44/12</f>
        <v>0.68215810478661454</v>
      </c>
      <c r="AX62" s="23">
        <f t="shared" si="6"/>
        <v>37.923814828605835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6.4</v>
      </c>
      <c r="BD62" s="13">
        <f>IF('Données projet'!$A$88&gt;35,BD61+BC62-BL61,IF(A62&lt;'Données projet'!$A$88,$BA$205^A62,IF(A62='Données projet'!$A$88,'Données projet'!$B$88,BD61+BC62-BL61)))</f>
        <v>214.59999999999997</v>
      </c>
      <c r="BE62" s="14">
        <f>BD62*VLOOKUP('Données projet'!$B$11,Paramètres!$A$1:$I$88,3,0)*VLOOKUP('Données projet'!$B$11,Paramètres!$A$1:$I$88,5,0)</f>
        <v>170.73575999999997</v>
      </c>
      <c r="BF62" s="14">
        <f t="shared" si="37"/>
        <v>43.254767908658785</v>
      </c>
      <c r="BG62" s="22">
        <f t="shared" si="7"/>
        <v>372.70016944091395</v>
      </c>
      <c r="BH62" s="62">
        <f t="shared" si="8"/>
        <v>637.01667953914455</v>
      </c>
      <c r="BI62" s="62">
        <f ca="1">AVERAGE(OFFSET($BH$3,0,0,'Données projet'!$E$11+1,1))-AVERAGE(OFFSET($H$3,0,0,'Données projet'!$E$11+1,1))</f>
        <v>219.20272956499281</v>
      </c>
      <c r="BJ62" s="62">
        <f t="shared" si="38"/>
        <v>244.37146912604081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13.159557239198497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13.159557239198497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62.086320935881076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4.4444444444444446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16.296296296296298</v>
      </c>
      <c r="H63" s="70">
        <f t="shared" si="1"/>
        <v>191.4814814814815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651</v>
      </c>
      <c r="L63" s="13">
        <f>VLOOKUP(A63,'Données projet'!$A$35:$I$55,9,0)</f>
        <v>17.600000000000001</v>
      </c>
      <c r="M63" s="13">
        <f t="array" ref="M63">INDEX(L:L,MIN(IF(ISNUMBER(L63:L259),ROW(L63:L259),"")))</f>
        <v>17.600000000000001</v>
      </c>
      <c r="N63" s="14">
        <f>IF('Données projet'!$A$36&gt;35,N62+M63-V62,IF(A63&lt;'Données projet'!$A$36,$K$205^A63,IF(A63='Données projet'!$A$36,'Données projet'!$B$36,N62+M63-V62)))</f>
        <v>651</v>
      </c>
      <c r="O63" s="14">
        <f>N63*VLOOKUP('Données projet'!$B$9,Paramètres!$A$1:$I$88,3,0)*VLOOKUP('Données projet'!$B$9,Paramètres!$A$1:$I$88,5,0)</f>
        <v>363.90900000000005</v>
      </c>
      <c r="P63" s="14">
        <f t="shared" si="33"/>
        <v>84.419990669257871</v>
      </c>
      <c r="Q63" s="22">
        <f t="shared" si="53"/>
        <v>780.8396587489575</v>
      </c>
      <c r="R63" s="62">
        <f t="shared" si="0"/>
        <v>1045.6595458584188</v>
      </c>
      <c r="S63" s="62">
        <f ca="1">AVERAGE(OFFSET($R$3,0,0,'Données projet'!$E$9+1,1))-AVERAGE(OFFSET($H$3,0,0,'Données projet'!$E$9+1,1))</f>
        <v>415.21844537846482</v>
      </c>
      <c r="T63" s="62">
        <f t="shared" si="34"/>
        <v>491.25626166862321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651</v>
      </c>
      <c r="W63" s="17">
        <f>IF(ISNA(VLOOKUP(A63,'Données projet'!$A$35:$I$55,5,0)),0%,VLOOKUP(A63,'Données projet'!$A$35:$I$55,5,0)*VLOOKUP('Données projet'!$B$9,Paramètres!$A$1:$I$88,7,0))</f>
        <v>0.44000000000000006</v>
      </c>
      <c r="X63" s="17">
        <f>IF(ISNA(VLOOKUP(A63,'Données projet'!$A$35:$I$55,6,0)),0%,VLOOKUP(A63,'Données projet'!$A$35:$I$55,6,0)*VLOOKUP('Données projet'!$B$9,Paramètres!$A$1:$I$88,7,0))</f>
        <v>6.0500000000000005E-2</v>
      </c>
      <c r="Y63" s="17">
        <f>IF(ISNA(VLOOKUP(A63,'Données projet'!$A$35:$I$55,7,0)),0%,VLOOKUP(A63,'Données projet'!$A$35:$I$55,7,0))</f>
        <v>0.09</v>
      </c>
      <c r="Z63" s="23">
        <f>EXP(-LN(2)/35)*Z62+(1-EXP(-LN(2)/35))/(LN(2)/35)*V63*W63*VLOOKUP('Données projet'!$B$9,Paramètres!$A$1:$I$88,3,0)*0.475*44/12</f>
        <v>241.80443001630479</v>
      </c>
      <c r="AA63" s="23">
        <f>EXP(-LN(2)/25)*AA62+(1-EXP(-LN(2)/25))/(LN(2)/25)*Calculateur!V63*Calculateur!X63*VLOOKUP('Données projet'!$B$9,Paramètres!$A$1:$I$88,3,0)*0.475*44/12</f>
        <v>62.45305610723215</v>
      </c>
      <c r="AB63" s="23">
        <f>EXP(-LN(2)/2)*AB62+(1-EXP(-LN(2)/2))/(LN(2)/2)*V63*Y63*VLOOKUP('Données projet'!$B$9,Paramètres!$A$1:$I$88,3,0)*0.475*44/12</f>
        <v>38.404051214512918</v>
      </c>
      <c r="AC63" s="24">
        <f t="shared" si="3"/>
        <v>342.66153733804981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294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293.99999999999977</v>
      </c>
      <c r="AJ63" s="14">
        <f>AI63*VLOOKUP('Données projet'!$B$10,Paramètres!$A$1:$I$88,3,0)*VLOOKUP('Données projet'!$B$10,Paramètres!$A$1:$I$88,5,0)</f>
        <v>160.52399999999989</v>
      </c>
      <c r="AK63" s="14">
        <f t="shared" si="35"/>
        <v>40.960682569221547</v>
      </c>
      <c r="AL63" s="22">
        <f t="shared" si="4"/>
        <v>350.91915547472735</v>
      </c>
      <c r="AM63" s="62">
        <f t="shared" si="5"/>
        <v>615.73904258418884</v>
      </c>
      <c r="AN63" s="62">
        <f ca="1">AVERAGE(OFFSET($AM$3,0,0,'Données projet'!$E$10+1,1))-AVERAGE(OFFSET($H$3,0,0,'Données projet'!$E$10+1,1))</f>
        <v>243.3456100842846</v>
      </c>
      <c r="AO63" s="62">
        <f t="shared" si="36"/>
        <v>301.6462497303628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294</v>
      </c>
      <c r="AR63" s="17">
        <f>IF(ISNA(VLOOKUP(A63,'Données projet'!$A$61:$I$81,5,0)),0%,VLOOKUP(A63,'Données projet'!$A$61:$I$81,5,0)*VLOOKUP('Données projet'!$B$10,Paramètres!$A$1:$I$88,7,0))</f>
        <v>0.48</v>
      </c>
      <c r="AS63" s="17">
        <f>IF(ISNA(VLOOKUP(A63,'Données projet'!$A$61:$I$81,6,0)),0%,VLOOKUP(A63,'Données projet'!$A$61:$I$81,6,0)*VLOOKUP('Données projet'!$B$10,Paramètres!$A$1:$I$88,7,0))</f>
        <v>6.6000000000000003E-2</v>
      </c>
      <c r="AT63" s="17">
        <f>IF(ISNA(VLOOKUP(A63,'Données projet'!$A$61:$I$81,7,0)),0%,VLOOKUP(A63,'Données projet'!$A$61:$I$81,7,0))</f>
        <v>0.09</v>
      </c>
      <c r="AU63" s="23">
        <f>EXP(-LN(2)/35)*AU62+(1-EXP(-LN(2)/35))/(LN(2)/35)*AQ63*AR63*VLOOKUP('Données projet'!$B$10,Paramètres!$A$1:$I$88,3,0)*0.475*44/12</f>
        <v>115.78623972292073</v>
      </c>
      <c r="AV63" s="23">
        <f>EXP(-LN(2)/25)*AV62+(1-EXP(-LN(2)/25))/(LN(2)/25)*Calculateur!AQ63*Calculateur!AS63*VLOOKUP('Données projet'!$B$10,Paramètres!$A$1:$I$88,3,0)*0.475*44/12</f>
        <v>36.757002399332968</v>
      </c>
      <c r="AW63" s="23">
        <f>EXP(-LN(2)/2)*AW62+(1-EXP(-LN(2)/2))/(LN(2)/2)*AQ63*AT63*VLOOKUP('Données projet'!$B$10,Paramètres!$A$1:$I$88,3,0)*0.475*44/12</f>
        <v>16.839899781268436</v>
      </c>
      <c r="AX63" s="23">
        <f t="shared" si="6"/>
        <v>169.38314190352213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221</v>
      </c>
      <c r="BB63" s="13">
        <f>VLOOKUP(A63,'Données projet'!$A$87:$I$107,9,0)</f>
        <v>6.4</v>
      </c>
      <c r="BC63" s="13">
        <f t="array" ref="BC63">INDEX(BB:BB,MIN(IF(ISNUMBER(BB63:BB259),ROW(BB63:BB259),"")))</f>
        <v>6.4</v>
      </c>
      <c r="BD63" s="13">
        <f>IF('Données projet'!$A$88&gt;35,BD62+BC63-BL62,IF(A63&lt;'Données projet'!$A$88,$BA$205^A63,IF(A63='Données projet'!$A$88,'Données projet'!$B$88,BD62+BC63-BL62)))</f>
        <v>220.99999999999997</v>
      </c>
      <c r="BE63" s="14">
        <f>BD63*VLOOKUP('Données projet'!$B$11,Paramètres!$A$1:$I$88,3,0)*VLOOKUP('Données projet'!$B$11,Paramètres!$A$1:$I$88,5,0)</f>
        <v>175.82759999999999</v>
      </c>
      <c r="BF63" s="14">
        <f t="shared" si="37"/>
        <v>44.392640778295601</v>
      </c>
      <c r="BG63" s="22">
        <f t="shared" si="7"/>
        <v>383.55025268886476</v>
      </c>
      <c r="BH63" s="62">
        <f t="shared" si="8"/>
        <v>648.37013979832614</v>
      </c>
      <c r="BI63" s="62">
        <f ca="1">AVERAGE(OFFSET($BH$3,0,0,'Données projet'!$E$11+1,1))-AVERAGE(OFFSET($H$3,0,0,'Données projet'!$E$11+1,1))</f>
        <v>219.20272956499281</v>
      </c>
      <c r="BJ63" s="62">
        <f t="shared" si="38"/>
        <v>244.37146912604081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221</v>
      </c>
      <c r="BM63" s="17">
        <f>IF(ISNA(VLOOKUP(A63,'Données projet'!$A$87:$I$107,5,0)),0%,VLOOKUP(A63,'Données projet'!$A$87:$I$107,5,0)*VLOOKUP('Données projet'!$B$11,Paramètres!$A$1:$I$88,7,0))</f>
        <v>0.371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85.013593922595604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85.013593922595604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62.223605575307666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4.4444444444444446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16.296296296296298</v>
      </c>
      <c r="H64" s="70">
        <f t="shared" si="1"/>
        <v>191.4814814814815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415.21844537846482</v>
      </c>
      <c r="T64" s="62">
        <f t="shared" si="34"/>
        <v>491.25626166862321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237.06279262982432</v>
      </c>
      <c r="AA64" s="23">
        <f>EXP(-LN(2)/25)*AA63+(1-EXP(-LN(2)/25))/(LN(2)/25)*Calculateur!V64*Calculateur!X64*VLOOKUP('Données projet'!$B$9,Paramètres!$A$1:$I$88,3,0)*0.475*44/12</f>
        <v>60.745274003716403</v>
      </c>
      <c r="AB64" s="23">
        <f>EXP(-LN(2)/2)*AB63+(1-EXP(-LN(2)/2))/(LN(2)/2)*V64*Y64*VLOOKUP('Données projet'!$B$9,Paramètres!$A$1:$I$88,3,0)*0.475*44/12</f>
        <v>27.155765038817552</v>
      </c>
      <c r="AC64" s="24">
        <f t="shared" si="3"/>
        <v>324.96383167235825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projet'!$B$10,Paramètres!$A$1:$I$88,3,0)*VLOOKUP('Données projet'!$B$10,Paramètres!$A$1:$I$88,5,0)</f>
        <v>-1.2414602679200471E-13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243.3456100842846</v>
      </c>
      <c r="AO64" s="62">
        <f t="shared" si="36"/>
        <v>301.6462497303628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113.51574218458708</v>
      </c>
      <c r="AV64" s="23">
        <f>EXP(-LN(2)/25)*AV63+(1-EXP(-LN(2)/25))/(LN(2)/25)*Calculateur!AQ64*Calculateur!AS64*VLOOKUP('Données projet'!$B$10,Paramètres!$A$1:$I$88,3,0)*0.475*44/12</f>
        <v>35.75188023575646</v>
      </c>
      <c r="AW64" s="23">
        <f>EXP(-LN(2)/2)*AW63+(1-EXP(-LN(2)/2))/(LN(2)/2)*AQ64*AT64*VLOOKUP('Données projet'!$B$10,Paramètres!$A$1:$I$88,3,0)*0.475*44/12</f>
        <v>11.90760732983677</v>
      </c>
      <c r="AX64" s="23">
        <f t="shared" si="6"/>
        <v>161.17522975018031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-2.8421709430404007E-14</v>
      </c>
      <c r="BE64" s="14">
        <f>BD64*VLOOKUP('Données projet'!$B$11,Paramètres!$A$1:$I$88,3,0)*VLOOKUP('Données projet'!$B$11,Paramètres!$A$1:$I$88,5,0)</f>
        <v>-2.2612312022829431E-14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219.20272956499281</v>
      </c>
      <c r="BJ64" s="62">
        <f t="shared" si="38"/>
        <v>244.37146912604081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83.346529198945717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83.346529198945717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62.358508633162664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4.4444444444444446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16.296296296296298</v>
      </c>
      <c r="H65" s="70">
        <f t="shared" si="1"/>
        <v>191.4814814814815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415.21844537846482</v>
      </c>
      <c r="T65" s="62">
        <f t="shared" si="34"/>
        <v>491.25626166862321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232.4141358603795</v>
      </c>
      <c r="AA65" s="23">
        <f>EXP(-LN(2)/25)*AA64+(1-EXP(-LN(2)/25))/(LN(2)/25)*Calculateur!V65*Calculateur!X65*VLOOKUP('Données projet'!$B$9,Paramètres!$A$1:$I$88,3,0)*0.475*44/12</f>
        <v>59.084191291629651</v>
      </c>
      <c r="AB65" s="23">
        <f>EXP(-LN(2)/2)*AB64+(1-EXP(-LN(2)/2))/(LN(2)/2)*V65*Y65*VLOOKUP('Données projet'!$B$9,Paramètres!$A$1:$I$88,3,0)*0.475*44/12</f>
        <v>19.202025607256463</v>
      </c>
      <c r="AC65" s="24">
        <f t="shared" si="3"/>
        <v>310.70035275926563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projet'!$B$10,Paramètres!$A$1:$I$88,3,0)*VLOOKUP('Données projet'!$B$10,Paramètres!$A$1:$I$88,5,0)</f>
        <v>-1.2414602679200471E-13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243.3456100842846</v>
      </c>
      <c r="AO65" s="62">
        <f t="shared" si="36"/>
        <v>301.6462497303628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111.2897677181134</v>
      </c>
      <c r="AV65" s="23">
        <f>EXP(-LN(2)/25)*AV64+(1-EXP(-LN(2)/25))/(LN(2)/25)*Calculateur!AQ65*Calculateur!AS65*VLOOKUP('Données projet'!$B$10,Paramètres!$A$1:$I$88,3,0)*0.475*44/12</f>
        <v>34.774243190600032</v>
      </c>
      <c r="AW65" s="23">
        <f>EXP(-LN(2)/2)*AW64+(1-EXP(-LN(2)/2))/(LN(2)/2)*AQ65*AT65*VLOOKUP('Données projet'!$B$10,Paramètres!$A$1:$I$88,3,0)*0.475*44/12</f>
        <v>8.4199498906342196</v>
      </c>
      <c r="AX65" s="23">
        <f t="shared" si="6"/>
        <v>154.48396079934767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-2.8421709430404007E-14</v>
      </c>
      <c r="BE65" s="14">
        <f>BD65*VLOOKUP('Données projet'!$B$11,Paramètres!$A$1:$I$88,3,0)*VLOOKUP('Données projet'!$B$11,Paramètres!$A$1:$I$88,5,0)</f>
        <v>-2.2612312022829431E-14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219.20272956499281</v>
      </c>
      <c r="BJ65" s="62">
        <f t="shared" si="38"/>
        <v>244.37146912604081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81.712154597717529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81.712154597717529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62.491071424561937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4.4444444444444446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16.296296296296298</v>
      </c>
      <c r="H66" s="70">
        <f t="shared" si="1"/>
        <v>191.4814814814815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415.21844537846482</v>
      </c>
      <c r="T66" s="62">
        <f t="shared" si="34"/>
        <v>491.25626166862321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227.85663641478283</v>
      </c>
      <c r="AA66" s="23">
        <f>EXP(-LN(2)/25)*AA65+(1-EXP(-LN(2)/25))/(LN(2)/25)*Calculateur!V66*Calculateur!X66*VLOOKUP('Données projet'!$B$9,Paramètres!$A$1:$I$88,3,0)*0.475*44/12</f>
        <v>57.468530973657458</v>
      </c>
      <c r="AB66" s="23">
        <f>EXP(-LN(2)/2)*AB65+(1-EXP(-LN(2)/2))/(LN(2)/2)*V66*Y66*VLOOKUP('Données projet'!$B$9,Paramètres!$A$1:$I$88,3,0)*0.475*44/12</f>
        <v>13.57788251940878</v>
      </c>
      <c r="AC66" s="24">
        <f t="shared" si="3"/>
        <v>298.90304990784904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projet'!$B$10,Paramètres!$A$1:$I$88,3,0)*VLOOKUP('Données projet'!$B$10,Paramètres!$A$1:$I$88,5,0)</f>
        <v>-1.2414602679200471E-13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243.3456100842846</v>
      </c>
      <c r="AO66" s="62">
        <f t="shared" si="36"/>
        <v>301.6462497303628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109.1074432532169</v>
      </c>
      <c r="AV66" s="23">
        <f>EXP(-LN(2)/25)*AV65+(1-EXP(-LN(2)/25))/(LN(2)/25)*Calculateur!AQ66*Calculateur!AS66*VLOOKUP('Données projet'!$B$10,Paramètres!$A$1:$I$88,3,0)*0.475*44/12</f>
        <v>33.823339681855103</v>
      </c>
      <c r="AW66" s="23">
        <f>EXP(-LN(2)/2)*AW65+(1-EXP(-LN(2)/2))/(LN(2)/2)*AQ66*AT66*VLOOKUP('Données projet'!$B$10,Paramètres!$A$1:$I$88,3,0)*0.475*44/12</f>
        <v>5.9538036649183859</v>
      </c>
      <c r="AX66" s="23">
        <f t="shared" si="6"/>
        <v>148.88458659999037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-2.8421709430404007E-14</v>
      </c>
      <c r="BE66" s="14">
        <f>BD66*VLOOKUP('Données projet'!$B$11,Paramètres!$A$1:$I$88,3,0)*VLOOKUP('Données projet'!$B$11,Paramètres!$A$1:$I$88,5,0)</f>
        <v>-2.2612312022829431E-14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219.20272956499281</v>
      </c>
      <c r="BJ66" s="62">
        <f t="shared" si="38"/>
        <v>244.37146912604081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80.10982908554935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80.10982908554935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62.621334547896431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4.4444444444444446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16.296296296296298</v>
      </c>
      <c r="H67" s="70">
        <f t="shared" si="1"/>
        <v>191.4814814814815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415.21844537846482</v>
      </c>
      <c r="T67" s="62">
        <f t="shared" si="34"/>
        <v>491.25626166862321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223.38850675351412</v>
      </c>
      <c r="AA67" s="23">
        <f>EXP(-LN(2)/25)*AA66+(1-EXP(-LN(2)/25))/(LN(2)/25)*Calculateur!V67*Calculateur!X67*VLOOKUP('Données projet'!$B$9,Paramètres!$A$1:$I$88,3,0)*0.475*44/12</f>
        <v>55.897050972044099</v>
      </c>
      <c r="AB67" s="23">
        <f>EXP(-LN(2)/2)*AB66+(1-EXP(-LN(2)/2))/(LN(2)/2)*V67*Y67*VLOOKUP('Données projet'!$B$9,Paramètres!$A$1:$I$88,3,0)*0.475*44/12</f>
        <v>9.6010128036282332</v>
      </c>
      <c r="AC67" s="24">
        <f t="shared" si="3"/>
        <v>288.88657052918643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projet'!$B$10,Paramètres!$A$1:$I$88,3,0)*VLOOKUP('Données projet'!$B$10,Paramètres!$A$1:$I$88,5,0)</f>
        <v>-1.2414602679200471E-13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243.3456100842846</v>
      </c>
      <c r="AO67" s="62">
        <f t="shared" si="36"/>
        <v>301.6462497303628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106.96791283999053</v>
      </c>
      <c r="AV67" s="23">
        <f>EXP(-LN(2)/25)*AV66+(1-EXP(-LN(2)/25))/(LN(2)/25)*Calculateur!AQ67*Calculateur!AS67*VLOOKUP('Données projet'!$B$10,Paramètres!$A$1:$I$88,3,0)*0.475*44/12</f>
        <v>32.898438679562645</v>
      </c>
      <c r="AW67" s="23">
        <f>EXP(-LN(2)/2)*AW66+(1-EXP(-LN(2)/2))/(LN(2)/2)*AQ67*AT67*VLOOKUP('Données projet'!$B$10,Paramètres!$A$1:$I$88,3,0)*0.475*44/12</f>
        <v>4.2099749453171098</v>
      </c>
      <c r="AX67" s="23">
        <f t="shared" si="6"/>
        <v>144.07632646487028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-2.8421709430404007E-14</v>
      </c>
      <c r="BE67" s="14">
        <f>BD67*VLOOKUP('Données projet'!$B$11,Paramètres!$A$1:$I$88,3,0)*VLOOKUP('Données projet'!$B$11,Paramètres!$A$1:$I$88,5,0)</f>
        <v>-2.2612312022829431E-14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219.20272956499281</v>
      </c>
      <c r="BJ67" s="62">
        <f t="shared" si="38"/>
        <v>244.37146912604081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78.538924199352735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78.538924199352735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62.749337897265789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4.4444444444444446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16.296296296296298</v>
      </c>
      <c r="H68" s="70">
        <f t="shared" ref="H68:H131" si="56">(B68+E68+F68)*44/12+(C68+D68)*0.475*44/12</f>
        <v>191.4814814814815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415.21844537846482</v>
      </c>
      <c r="T68" s="62">
        <f t="shared" si="34"/>
        <v>491.25626166862321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219.00799438961292</v>
      </c>
      <c r="AA68" s="23">
        <f>EXP(-LN(2)/25)*AA67+(1-EXP(-LN(2)/25))/(LN(2)/25)*Calculateur!V68*Calculateur!X68*VLOOKUP('Données projet'!$B$9,Paramètres!$A$1:$I$88,3,0)*0.475*44/12</f>
        <v>54.368543173715395</v>
      </c>
      <c r="AB68" s="23">
        <f>EXP(-LN(2)/2)*AB67+(1-EXP(-LN(2)/2))/(LN(2)/2)*V68*Y68*VLOOKUP('Données projet'!$B$9,Paramètres!$A$1:$I$88,3,0)*0.475*44/12</f>
        <v>6.7889412597043908</v>
      </c>
      <c r="AC68" s="24">
        <f t="shared" ref="AC68:AC131" si="57">SUM(Z68:AB68)</f>
        <v>280.16547882303274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projet'!$B$10,Paramètres!$A$1:$I$88,3,0)*VLOOKUP('Données projet'!$B$10,Paramètres!$A$1:$I$88,5,0)</f>
        <v>-1.2414602679200471E-13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243.3456100842846</v>
      </c>
      <c r="AO68" s="62">
        <f t="shared" si="36"/>
        <v>301.6462497303628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104.87033731318284</v>
      </c>
      <c r="AV68" s="23">
        <f>EXP(-LN(2)/25)*AV67+(1-EXP(-LN(2)/25))/(LN(2)/25)*Calculateur!AQ68*Calculateur!AS68*VLOOKUP('Données projet'!$B$10,Paramètres!$A$1:$I$88,3,0)*0.475*44/12</f>
        <v>31.998829143816305</v>
      </c>
      <c r="AW68" s="23">
        <f>EXP(-LN(2)/2)*AW67+(1-EXP(-LN(2)/2))/(LN(2)/2)*AQ68*AT68*VLOOKUP('Données projet'!$B$10,Paramètres!$A$1:$I$88,3,0)*0.475*44/12</f>
        <v>2.9769018324591929</v>
      </c>
      <c r="AX68" s="23">
        <f t="shared" ref="AX68:AX131" si="60">SUM(AU68:AW68)</f>
        <v>139.84606828945834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-2.8421709430404007E-14</v>
      </c>
      <c r="BE68" s="14">
        <f>BD68*VLOOKUP('Données projet'!$B$11,Paramètres!$A$1:$I$88,3,0)*VLOOKUP('Données projet'!$B$11,Paramètres!$A$1:$I$88,5,0)</f>
        <v>-2.2612312022829431E-14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219.20272956499281</v>
      </c>
      <c r="BJ68" s="62">
        <f t="shared" si="38"/>
        <v>244.37146912604081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76.99882379981706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76.99882379981706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62.875120674696205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4.4444444444444446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16.296296296296298</v>
      </c>
      <c r="H69" s="70">
        <f t="shared" si="56"/>
        <v>191.4814814814815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415.21844537846482</v>
      </c>
      <c r="T69" s="62">
        <f t="shared" ref="T69:T132" si="88">$T$3</f>
        <v>491.25626166862321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214.71338120131909</v>
      </c>
      <c r="AA69" s="23">
        <f>EXP(-LN(2)/25)*AA68+(1-EXP(-LN(2)/25))/(LN(2)/25)*Calculateur!V69*Calculateur!X69*VLOOKUP('Données projet'!$B$9,Paramètres!$A$1:$I$88,3,0)*0.475*44/12</f>
        <v>52.881832501512726</v>
      </c>
      <c r="AB69" s="23">
        <f>EXP(-LN(2)/2)*AB68+(1-EXP(-LN(2)/2))/(LN(2)/2)*V69*Y69*VLOOKUP('Données projet'!$B$9,Paramètres!$A$1:$I$88,3,0)*0.475*44/12</f>
        <v>4.8005064018141175</v>
      </c>
      <c r="AC69" s="24">
        <f t="shared" si="57"/>
        <v>272.39572010464593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projet'!$B$10,Paramètres!$A$1:$I$88,3,0)*VLOOKUP('Données projet'!$B$10,Paramètres!$A$1:$I$88,5,0)</f>
        <v>-1.2414602679200471E-13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243.3456100842846</v>
      </c>
      <c r="AO69" s="62">
        <f t="shared" ref="AO69:AO132" si="90">$AO$3</f>
        <v>301.6462497303628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102.8138939630611</v>
      </c>
      <c r="AV69" s="23">
        <f>EXP(-LN(2)/25)*AV68+(1-EXP(-LN(2)/25))/(LN(2)/25)*Calculateur!AQ69*Calculateur!AS69*VLOOKUP('Données projet'!$B$10,Paramètres!$A$1:$I$88,3,0)*0.475*44/12</f>
        <v>31.12381947813336</v>
      </c>
      <c r="AW69" s="23">
        <f>EXP(-LN(2)/2)*AW68+(1-EXP(-LN(2)/2))/(LN(2)/2)*AQ69*AT69*VLOOKUP('Données projet'!$B$10,Paramètres!$A$1:$I$88,3,0)*0.475*44/12</f>
        <v>2.1049874726585549</v>
      </c>
      <c r="AX69" s="23">
        <f t="shared" si="60"/>
        <v>136.04270091385303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-2.8421709430404007E-14</v>
      </c>
      <c r="BE69" s="14">
        <f>BD69*VLOOKUP('Données projet'!$B$11,Paramètres!$A$1:$I$88,3,0)*VLOOKUP('Données projet'!$B$11,Paramètres!$A$1:$I$88,5,0)</f>
        <v>-2.2612312022829431E-14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219.20272956499281</v>
      </c>
      <c r="BJ69" s="62">
        <f t="shared" ref="BJ69:BJ132" si="92">$BJ$3</f>
        <v>244.37146912604081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75.48892382974779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75.48892382974779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62.998721402146366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4.4444444444444446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16.296296296296298</v>
      </c>
      <c r="H70" s="70">
        <f t="shared" si="56"/>
        <v>191.4814814814815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415.21844537846482</v>
      </c>
      <c r="T70" s="62">
        <f t="shared" si="88"/>
        <v>491.25626166862321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210.5029827581923</v>
      </c>
      <c r="AA70" s="23">
        <f>EXP(-LN(2)/25)*AA69+(1-EXP(-LN(2)/25))/(LN(2)/25)*Calculateur!V70*Calculateur!X70*VLOOKUP('Données projet'!$B$9,Paramètres!$A$1:$I$88,3,0)*0.475*44/12</f>
        <v>51.435776010824149</v>
      </c>
      <c r="AB70" s="23">
        <f>EXP(-LN(2)/2)*AB69+(1-EXP(-LN(2)/2))/(LN(2)/2)*V70*Y70*VLOOKUP('Données projet'!$B$9,Paramètres!$A$1:$I$88,3,0)*0.475*44/12</f>
        <v>3.3944706298521958</v>
      </c>
      <c r="AC70" s="24">
        <f t="shared" si="57"/>
        <v>265.33322939886864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projet'!$B$10,Paramètres!$A$1:$I$88,3,0)*VLOOKUP('Données projet'!$B$10,Paramètres!$A$1:$I$88,5,0)</f>
        <v>-1.2414602679200471E-13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243.3456100842846</v>
      </c>
      <c r="AO70" s="62">
        <f t="shared" si="90"/>
        <v>301.6462497303628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100.79777621272866</v>
      </c>
      <c r="AV70" s="23">
        <f>EXP(-LN(2)/25)*AV69+(1-EXP(-LN(2)/25))/(LN(2)/25)*Calculateur!AQ70*Calculateur!AS70*VLOOKUP('Données projet'!$B$10,Paramètres!$A$1:$I$88,3,0)*0.475*44/12</f>
        <v>30.272736997773272</v>
      </c>
      <c r="AW70" s="23">
        <f>EXP(-LN(2)/2)*AW69+(1-EXP(-LN(2)/2))/(LN(2)/2)*AQ70*AT70*VLOOKUP('Données projet'!$B$10,Paramètres!$A$1:$I$88,3,0)*0.475*44/12</f>
        <v>1.4884509162295965</v>
      </c>
      <c r="AX70" s="23">
        <f t="shared" si="60"/>
        <v>132.55896412673152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-2.8421709430404007E-14</v>
      </c>
      <c r="BE70" s="14">
        <f>BD70*VLOOKUP('Données projet'!$B$11,Paramètres!$A$1:$I$88,3,0)*VLOOKUP('Données projet'!$B$11,Paramètres!$A$1:$I$88,5,0)</f>
        <v>-2.2612312022829431E-14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219.20272956499281</v>
      </c>
      <c r="BJ70" s="62">
        <f t="shared" si="92"/>
        <v>244.37146912604081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74.008632077143531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74.008632077143531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63.120177933305101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4.4444444444444446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16.296296296296298</v>
      </c>
      <c r="H71" s="70">
        <f t="shared" si="56"/>
        <v>191.4814814814815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415.21844537846482</v>
      </c>
      <c r="T71" s="62">
        <f t="shared" si="88"/>
        <v>491.25626166862321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206.37514766044578</v>
      </c>
      <c r="AA71" s="23">
        <f>EXP(-LN(2)/25)*AA70+(1-EXP(-LN(2)/25))/(LN(2)/25)*Calculateur!V71*Calculateur!X71*VLOOKUP('Données projet'!$B$9,Paramètres!$A$1:$I$88,3,0)*0.475*44/12</f>
        <v>50.029262010918259</v>
      </c>
      <c r="AB71" s="23">
        <f>EXP(-LN(2)/2)*AB70+(1-EXP(-LN(2)/2))/(LN(2)/2)*V71*Y71*VLOOKUP('Données projet'!$B$9,Paramètres!$A$1:$I$88,3,0)*0.475*44/12</f>
        <v>2.4002532009070587</v>
      </c>
      <c r="AC71" s="24">
        <f t="shared" si="57"/>
        <v>258.80466287227108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projet'!$B$10,Paramètres!$A$1:$I$88,3,0)*VLOOKUP('Données projet'!$B$10,Paramètres!$A$1:$I$88,5,0)</f>
        <v>-1.2414602679200471E-13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243.3456100842846</v>
      </c>
      <c r="AO71" s="62">
        <f t="shared" si="90"/>
        <v>301.6462497303628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98.821193301769839</v>
      </c>
      <c r="AV71" s="23">
        <f>EXP(-LN(2)/25)*AV70+(1-EXP(-LN(2)/25))/(LN(2)/25)*Calculateur!AQ71*Calculateur!AS71*VLOOKUP('Données projet'!$B$10,Paramètres!$A$1:$I$88,3,0)*0.475*44/12</f>
        <v>29.444927412595113</v>
      </c>
      <c r="AW71" s="23">
        <f>EXP(-LN(2)/2)*AW70+(1-EXP(-LN(2)/2))/(LN(2)/2)*AQ71*AT71*VLOOKUP('Données projet'!$B$10,Paramètres!$A$1:$I$88,3,0)*0.475*44/12</f>
        <v>1.0524937363292775</v>
      </c>
      <c r="AX71" s="23">
        <f t="shared" si="60"/>
        <v>129.31861445069421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-2.8421709430404007E-14</v>
      </c>
      <c r="BE71" s="14">
        <f>BD71*VLOOKUP('Données projet'!$B$11,Paramètres!$A$1:$I$88,3,0)*VLOOKUP('Données projet'!$B$11,Paramètres!$A$1:$I$88,5,0)</f>
        <v>-2.2612312022829431E-14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219.20272956499281</v>
      </c>
      <c r="BJ71" s="62">
        <f t="shared" si="92"/>
        <v>244.37146912604081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72.557367942919029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72.557367942919029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63.239527465184352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4.4444444444444446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16.296296296296298</v>
      </c>
      <c r="H72" s="70">
        <f t="shared" si="56"/>
        <v>191.4814814814815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415.21844537846482</v>
      </c>
      <c r="T72" s="62">
        <f t="shared" si="88"/>
        <v>491.25626166862321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202.32825689123524</v>
      </c>
      <c r="AA72" s="23">
        <f>EXP(-LN(2)/25)*AA71+(1-EXP(-LN(2)/25))/(LN(2)/25)*Calculateur!V72*Calculateur!X72*VLOOKUP('Données projet'!$B$9,Paramètres!$A$1:$I$88,3,0)*0.475*44/12</f>
        <v>48.661209210305152</v>
      </c>
      <c r="AB72" s="23">
        <f>EXP(-LN(2)/2)*AB71+(1-EXP(-LN(2)/2))/(LN(2)/2)*V72*Y72*VLOOKUP('Données projet'!$B$9,Paramètres!$A$1:$I$88,3,0)*0.475*44/12</f>
        <v>1.6972353149260979</v>
      </c>
      <c r="AC72" s="24">
        <f t="shared" si="57"/>
        <v>252.68670141646649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projet'!$B$10,Paramètres!$A$1:$I$88,3,0)*VLOOKUP('Données projet'!$B$10,Paramètres!$A$1:$I$88,5,0)</f>
        <v>-1.2414602679200471E-13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243.3456100842846</v>
      </c>
      <c r="AO72" s="62">
        <f t="shared" si="90"/>
        <v>301.6462497303628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96.883369976098393</v>
      </c>
      <c r="AV72" s="23">
        <f>EXP(-LN(2)/25)*AV71+(1-EXP(-LN(2)/25))/(LN(2)/25)*Calculateur!AQ72*Calculateur!AS72*VLOOKUP('Données projet'!$B$10,Paramètres!$A$1:$I$88,3,0)*0.475*44/12</f>
        <v>28.639754324056266</v>
      </c>
      <c r="AW72" s="23">
        <f>EXP(-LN(2)/2)*AW71+(1-EXP(-LN(2)/2))/(LN(2)/2)*AQ72*AT72*VLOOKUP('Données projet'!$B$10,Paramètres!$A$1:$I$88,3,0)*0.475*44/12</f>
        <v>0.74422545811479823</v>
      </c>
      <c r="AX72" s="23">
        <f t="shared" si="60"/>
        <v>126.26734975826946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-2.8421709430404007E-14</v>
      </c>
      <c r="BE72" s="14">
        <f>BD72*VLOOKUP('Données projet'!$B$11,Paramètres!$A$1:$I$88,3,0)*VLOOKUP('Données projet'!$B$11,Paramètres!$A$1:$I$88,5,0)</f>
        <v>-2.2612312022829431E-14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219.20272956499281</v>
      </c>
      <c r="BJ72" s="62">
        <f t="shared" si="92"/>
        <v>244.37146912604081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71.134562213182946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71.134562213182946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63.356806549511084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4.4444444444444446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16.296296296296298</v>
      </c>
      <c r="H73" s="70">
        <f t="shared" si="56"/>
        <v>191.4814814814815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415.21844537846482</v>
      </c>
      <c r="T73" s="62">
        <f t="shared" si="88"/>
        <v>491.25626166862321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198.36072318164929</v>
      </c>
      <c r="AA73" s="23">
        <f>EXP(-LN(2)/25)*AA72+(1-EXP(-LN(2)/25))/(LN(2)/25)*Calculateur!V73*Calculateur!X73*VLOOKUP('Données projet'!$B$9,Paramètres!$A$1:$I$88,3,0)*0.475*44/12</f>
        <v>47.330565885467585</v>
      </c>
      <c r="AB73" s="23">
        <f>EXP(-LN(2)/2)*AB72+(1-EXP(-LN(2)/2))/(LN(2)/2)*V73*Y73*VLOOKUP('Données projet'!$B$9,Paramètres!$A$1:$I$88,3,0)*0.475*44/12</f>
        <v>1.2001266004535294</v>
      </c>
      <c r="AC73" s="24">
        <f t="shared" si="57"/>
        <v>246.89141566757041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projet'!$B$10,Paramètres!$A$1:$I$88,3,0)*VLOOKUP('Données projet'!$B$10,Paramètres!$A$1:$I$88,5,0)</f>
        <v>-1.2414602679200471E-13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243.3456100842846</v>
      </c>
      <c r="AO73" s="62">
        <f t="shared" si="90"/>
        <v>301.6462497303628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94.983546183887839</v>
      </c>
      <c r="AV73" s="23">
        <f>EXP(-LN(2)/25)*AV72+(1-EXP(-LN(2)/25))/(LN(2)/25)*Calculateur!AQ73*Calculateur!AS73*VLOOKUP('Données projet'!$B$10,Paramètres!$A$1:$I$88,3,0)*0.475*44/12</f>
        <v>27.856598735965726</v>
      </c>
      <c r="AW73" s="23">
        <f>EXP(-LN(2)/2)*AW72+(1-EXP(-LN(2)/2))/(LN(2)/2)*AQ73*AT73*VLOOKUP('Données projet'!$B$10,Paramètres!$A$1:$I$88,3,0)*0.475*44/12</f>
        <v>0.52624686816463873</v>
      </c>
      <c r="AX73" s="23">
        <f t="shared" si="60"/>
        <v>123.36639178801821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-2.8421709430404007E-14</v>
      </c>
      <c r="BE73" s="14">
        <f>BD73*VLOOKUP('Données projet'!$B$11,Paramètres!$A$1:$I$88,3,0)*VLOOKUP('Données projet'!$B$11,Paramètres!$A$1:$I$88,5,0)</f>
        <v>-2.2612312022829431E-14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219.20272956499281</v>
      </c>
      <c r="BJ73" s="62">
        <f t="shared" si="92"/>
        <v>244.37146912604081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69.739656835981194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69.739656835981194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63.472051103921494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4.4444444444444446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16.296296296296298</v>
      </c>
      <c r="H74" s="70">
        <f t="shared" si="56"/>
        <v>191.4814814814815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415.21844537846482</v>
      </c>
      <c r="T74" s="62">
        <f t="shared" si="88"/>
        <v>491.25626166862321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194.47099038815171</v>
      </c>
      <c r="AA74" s="23">
        <f>EXP(-LN(2)/25)*AA73+(1-EXP(-LN(2)/25))/(LN(2)/25)*Calculateur!V74*Calculateur!X74*VLOOKUP('Données projet'!$B$9,Paramètres!$A$1:$I$88,3,0)*0.475*44/12</f>
        <v>46.036309072323192</v>
      </c>
      <c r="AB74" s="23">
        <f>EXP(-LN(2)/2)*AB73+(1-EXP(-LN(2)/2))/(LN(2)/2)*V74*Y74*VLOOKUP('Données projet'!$B$9,Paramètres!$A$1:$I$88,3,0)*0.475*44/12</f>
        <v>0.84861765746304896</v>
      </c>
      <c r="AC74" s="24">
        <f t="shared" si="57"/>
        <v>241.35591711793793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projet'!$B$10,Paramètres!$A$1:$I$88,3,0)*VLOOKUP('Données projet'!$B$10,Paramètres!$A$1:$I$88,5,0)</f>
        <v>-1.2414602679200471E-13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243.3456100842846</v>
      </c>
      <c r="AO74" s="62">
        <f t="shared" si="90"/>
        <v>301.6462497303628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93.120976777464435</v>
      </c>
      <c r="AV74" s="23">
        <f>EXP(-LN(2)/25)*AV73+(1-EXP(-LN(2)/25))/(LN(2)/25)*Calculateur!AQ74*Calculateur!AS74*VLOOKUP('Données projet'!$B$10,Paramètres!$A$1:$I$88,3,0)*0.475*44/12</f>
        <v>27.094858578615881</v>
      </c>
      <c r="AW74" s="23">
        <f>EXP(-LN(2)/2)*AW73+(1-EXP(-LN(2)/2))/(LN(2)/2)*AQ74*AT74*VLOOKUP('Données projet'!$B$10,Paramètres!$A$1:$I$88,3,0)*0.475*44/12</f>
        <v>0.37211272905739912</v>
      </c>
      <c r="AX74" s="23">
        <f t="shared" si="60"/>
        <v>120.58794808513773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-2.8421709430404007E-14</v>
      </c>
      <c r="BE74" s="14">
        <f>BD74*VLOOKUP('Données projet'!$B$11,Paramètres!$A$1:$I$88,3,0)*VLOOKUP('Données projet'!$B$11,Paramètres!$A$1:$I$88,5,0)</f>
        <v>-2.2612312022829431E-14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219.20272956499281</v>
      </c>
      <c r="BJ74" s="62">
        <f t="shared" si="92"/>
        <v>244.37146912604081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68.372104702418099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68.372104702418099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63.585296422961115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4.4444444444444446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16.296296296296298</v>
      </c>
      <c r="H75" s="70">
        <f t="shared" si="56"/>
        <v>191.4814814814815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415.21844537846482</v>
      </c>
      <c r="T75" s="62">
        <f t="shared" si="88"/>
        <v>491.25626166862321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190.65753288223186</v>
      </c>
      <c r="AA75" s="23">
        <f>EXP(-LN(2)/25)*AA74+(1-EXP(-LN(2)/25))/(LN(2)/25)*Calculateur!V75*Calculateur!X75*VLOOKUP('Données projet'!$B$9,Paramètres!$A$1:$I$88,3,0)*0.475*44/12</f>
        <v>44.777443779796236</v>
      </c>
      <c r="AB75" s="23">
        <f>EXP(-LN(2)/2)*AB74+(1-EXP(-LN(2)/2))/(LN(2)/2)*V75*Y75*VLOOKUP('Données projet'!$B$9,Paramètres!$A$1:$I$88,3,0)*0.475*44/12</f>
        <v>0.60006330022676468</v>
      </c>
      <c r="AC75" s="24">
        <f t="shared" si="57"/>
        <v>236.03503996225487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projet'!$B$10,Paramètres!$A$1:$I$88,3,0)*VLOOKUP('Données projet'!$B$10,Paramètres!$A$1:$I$88,5,0)</f>
        <v>-1.2414602679200471E-13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243.3456100842846</v>
      </c>
      <c r="AO75" s="62">
        <f t="shared" si="90"/>
        <v>301.6462497303628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91.294931221045843</v>
      </c>
      <c r="AV75" s="23">
        <f>EXP(-LN(2)/25)*AV74+(1-EXP(-LN(2)/25))/(LN(2)/25)*Calculateur!AQ75*Calculateur!AS75*VLOOKUP('Données projet'!$B$10,Paramètres!$A$1:$I$88,3,0)*0.475*44/12</f>
        <v>26.353948245926944</v>
      </c>
      <c r="AW75" s="23">
        <f>EXP(-LN(2)/2)*AW74+(1-EXP(-LN(2)/2))/(LN(2)/2)*AQ75*AT75*VLOOKUP('Données projet'!$B$10,Paramètres!$A$1:$I$88,3,0)*0.475*44/12</f>
        <v>0.26312343408231936</v>
      </c>
      <c r="AX75" s="23">
        <f t="shared" si="60"/>
        <v>117.9120029010551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-2.8421709430404007E-14</v>
      </c>
      <c r="BE75" s="14">
        <f>BD75*VLOOKUP('Données projet'!$B$11,Paramètres!$A$1:$I$88,3,0)*VLOOKUP('Données projet'!$B$11,Paramètres!$A$1:$I$88,5,0)</f>
        <v>-2.2612312022829431E-14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219.20272956499281</v>
      </c>
      <c r="BJ75" s="62">
        <f t="shared" si="92"/>
        <v>244.37146912604081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67.031369432069738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67.031369432069738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63.69657718889399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4.4444444444444446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16.296296296296298</v>
      </c>
      <c r="H76" s="70">
        <f t="shared" si="56"/>
        <v>191.4814814814815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415.21844537846482</v>
      </c>
      <c r="T76" s="62">
        <f t="shared" si="88"/>
        <v>491.25626166862321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186.91885495202371</v>
      </c>
      <c r="AA76" s="23">
        <f>EXP(-LN(2)/25)*AA75+(1-EXP(-LN(2)/25))/(LN(2)/25)*Calculateur!V76*Calculateur!X76*VLOOKUP('Données projet'!$B$9,Paramètres!$A$1:$I$88,3,0)*0.475*44/12</f>
        <v>43.553002224894279</v>
      </c>
      <c r="AB76" s="23">
        <f>EXP(-LN(2)/2)*AB75+(1-EXP(-LN(2)/2))/(LN(2)/2)*V76*Y76*VLOOKUP('Données projet'!$B$9,Paramètres!$A$1:$I$88,3,0)*0.475*44/12</f>
        <v>0.42430882873152448</v>
      </c>
      <c r="AC76" s="24">
        <f t="shared" si="57"/>
        <v>230.89616600564949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projet'!$B$10,Paramètres!$A$1:$I$88,3,0)*VLOOKUP('Données projet'!$B$10,Paramètres!$A$1:$I$88,5,0)</f>
        <v>-1.2414602679200471E-13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243.3456100842846</v>
      </c>
      <c r="AO76" s="62">
        <f t="shared" si="90"/>
        <v>301.6462497303628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89.504693304210804</v>
      </c>
      <c r="AV76" s="23">
        <f>EXP(-LN(2)/25)*AV75+(1-EXP(-LN(2)/25))/(LN(2)/25)*Calculateur!AQ76*Calculateur!AS76*VLOOKUP('Données projet'!$B$10,Paramètres!$A$1:$I$88,3,0)*0.475*44/12</f>
        <v>25.633298145248165</v>
      </c>
      <c r="AW76" s="23">
        <f>EXP(-LN(2)/2)*AW75+(1-EXP(-LN(2)/2))/(LN(2)/2)*AQ76*AT76*VLOOKUP('Données projet'!$B$10,Paramètres!$A$1:$I$88,3,0)*0.475*44/12</f>
        <v>0.18605636452869956</v>
      </c>
      <c r="AX76" s="23">
        <f t="shared" si="60"/>
        <v>115.32404781398766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-2.8421709430404007E-14</v>
      </c>
      <c r="BE76" s="14">
        <f>BD76*VLOOKUP('Données projet'!$B$11,Paramètres!$A$1:$I$88,3,0)*VLOOKUP('Données projet'!$B$11,Paramètres!$A$1:$I$88,5,0)</f>
        <v>-2.2612312022829431E-14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219.20272956499281</v>
      </c>
      <c r="BJ76" s="62">
        <f t="shared" si="92"/>
        <v>244.37146912604081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65.716925162605136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65.716925162605136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63.805927482324464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4.4444444444444446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16.296296296296298</v>
      </c>
      <c r="H77" s="70">
        <f t="shared" si="56"/>
        <v>191.4814814814815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415.21844537846482</v>
      </c>
      <c r="T77" s="62">
        <f t="shared" si="88"/>
        <v>491.25626166862321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183.25349021565856</v>
      </c>
      <c r="AA77" s="23">
        <f>EXP(-LN(2)/25)*AA76+(1-EXP(-LN(2)/25))/(LN(2)/25)*Calculateur!V77*Calculateur!X77*VLOOKUP('Données projet'!$B$9,Paramètres!$A$1:$I$88,3,0)*0.475*44/12</f>
        <v>42.362043088701697</v>
      </c>
      <c r="AB77" s="23">
        <f>EXP(-LN(2)/2)*AB76+(1-EXP(-LN(2)/2))/(LN(2)/2)*V77*Y77*VLOOKUP('Données projet'!$B$9,Paramètres!$A$1:$I$88,3,0)*0.475*44/12</f>
        <v>0.30003165011338234</v>
      </c>
      <c r="AC77" s="24">
        <f t="shared" si="57"/>
        <v>225.91556495447364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projet'!$B$10,Paramètres!$A$1:$I$88,3,0)*VLOOKUP('Données projet'!$B$10,Paramètres!$A$1:$I$88,5,0)</f>
        <v>-1.2414602679200471E-13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243.3456100842846</v>
      </c>
      <c r="AO77" s="62">
        <f t="shared" si="90"/>
        <v>301.6462497303628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87.749560860987586</v>
      </c>
      <c r="AV77" s="23">
        <f>EXP(-LN(2)/25)*AV76+(1-EXP(-LN(2)/25))/(LN(2)/25)*Calculateur!AQ77*Calculateur!AS77*VLOOKUP('Données projet'!$B$10,Paramètres!$A$1:$I$88,3,0)*0.475*44/12</f>
        <v>24.93235425946979</v>
      </c>
      <c r="AW77" s="23">
        <f>EXP(-LN(2)/2)*AW76+(1-EXP(-LN(2)/2))/(LN(2)/2)*AQ77*AT77*VLOOKUP('Données projet'!$B$10,Paramètres!$A$1:$I$88,3,0)*0.475*44/12</f>
        <v>0.13156171704115968</v>
      </c>
      <c r="AX77" s="23">
        <f t="shared" si="60"/>
        <v>112.81347683749854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-2.8421709430404007E-14</v>
      </c>
      <c r="BE77" s="14">
        <f>BD77*VLOOKUP('Données projet'!$B$11,Paramètres!$A$1:$I$88,3,0)*VLOOKUP('Données projet'!$B$11,Paramètres!$A$1:$I$88,5,0)</f>
        <v>-2.2612312022829431E-14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219.20272956499281</v>
      </c>
      <c r="BJ77" s="62">
        <f t="shared" si="92"/>
        <v>244.37146912604081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64.428256343532894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64.428256343532894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63.913380792634541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4.4444444444444446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16.296296296296298</v>
      </c>
      <c r="H78" s="70">
        <f t="shared" si="56"/>
        <v>191.4814814814815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415.21844537846482</v>
      </c>
      <c r="T78" s="62">
        <f t="shared" si="88"/>
        <v>491.25626166862321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179.66000104612181</v>
      </c>
      <c r="AA78" s="23">
        <f>EXP(-LN(2)/25)*AA77+(1-EXP(-LN(2)/25))/(LN(2)/25)*Calculateur!V78*Calculateur!X78*VLOOKUP('Données projet'!$B$9,Paramètres!$A$1:$I$88,3,0)*0.475*44/12</f>
        <v>41.203650792718122</v>
      </c>
      <c r="AB78" s="23">
        <f>EXP(-LN(2)/2)*AB77+(1-EXP(-LN(2)/2))/(LN(2)/2)*V78*Y78*VLOOKUP('Données projet'!$B$9,Paramètres!$A$1:$I$88,3,0)*0.475*44/12</f>
        <v>0.21215441436576224</v>
      </c>
      <c r="AC78" s="24">
        <f t="shared" si="57"/>
        <v>221.07580625320568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projet'!$B$10,Paramètres!$A$1:$I$88,3,0)*VLOOKUP('Données projet'!$B$10,Paramètres!$A$1:$I$88,5,0)</f>
        <v>-1.2414602679200471E-13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243.3456100842846</v>
      </c>
      <c r="AO78" s="62">
        <f t="shared" si="90"/>
        <v>301.6462497303628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86.028845494450891</v>
      </c>
      <c r="AV78" s="23">
        <f>EXP(-LN(2)/25)*AV77+(1-EXP(-LN(2)/25))/(LN(2)/25)*Calculateur!AQ78*Calculateur!AS78*VLOOKUP('Données projet'!$B$10,Paramètres!$A$1:$I$88,3,0)*0.475*44/12</f>
        <v>24.25057772110906</v>
      </c>
      <c r="AW78" s="23">
        <f>EXP(-LN(2)/2)*AW77+(1-EXP(-LN(2)/2))/(LN(2)/2)*AQ78*AT78*VLOOKUP('Données projet'!$B$10,Paramètres!$A$1:$I$88,3,0)*0.475*44/12</f>
        <v>9.3028182264349779E-2</v>
      </c>
      <c r="AX78" s="23">
        <f t="shared" si="60"/>
        <v>110.37245139782429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-2.8421709430404007E-14</v>
      </c>
      <c r="BE78" s="14">
        <f>BD78*VLOOKUP('Données projet'!$B$11,Paramètres!$A$1:$I$88,3,0)*VLOOKUP('Données projet'!$B$11,Paramètres!$A$1:$I$88,5,0)</f>
        <v>-2.2612312022829431E-14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219.20272956499281</v>
      </c>
      <c r="BJ78" s="62">
        <f t="shared" si="92"/>
        <v>244.37146912604081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63.16485753399229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63.16485753399229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64.018970028240346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4.4444444444444446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16.296296296296298</v>
      </c>
      <c r="H79" s="70">
        <f t="shared" si="56"/>
        <v>191.4814814814815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415.21844537846482</v>
      </c>
      <c r="T79" s="62">
        <f t="shared" si="88"/>
        <v>491.25626166862321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176.13697800738768</v>
      </c>
      <c r="AA79" s="23">
        <f>EXP(-LN(2)/25)*AA78+(1-EXP(-LN(2)/25))/(LN(2)/25)*Calculateur!V79*Calculateur!X79*VLOOKUP('Données projet'!$B$9,Paramètres!$A$1:$I$88,3,0)*0.475*44/12</f>
        <v>40.076934794985419</v>
      </c>
      <c r="AB79" s="23">
        <f>EXP(-LN(2)/2)*AB78+(1-EXP(-LN(2)/2))/(LN(2)/2)*V79*Y79*VLOOKUP('Données projet'!$B$9,Paramètres!$A$1:$I$88,3,0)*0.475*44/12</f>
        <v>0.15001582505669117</v>
      </c>
      <c r="AC79" s="24">
        <f t="shared" si="57"/>
        <v>216.3639286274298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projet'!$B$10,Paramètres!$A$1:$I$88,3,0)*VLOOKUP('Données projet'!$B$10,Paramètres!$A$1:$I$88,5,0)</f>
        <v>-1.2414602679200471E-13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243.3456100842846</v>
      </c>
      <c r="AO79" s="62">
        <f t="shared" si="90"/>
        <v>301.6462497303628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84.341872306719239</v>
      </c>
      <c r="AV79" s="23">
        <f>EXP(-LN(2)/25)*AV78+(1-EXP(-LN(2)/25))/(LN(2)/25)*Calculateur!AQ79*Calculateur!AS79*VLOOKUP('Données projet'!$B$10,Paramètres!$A$1:$I$88,3,0)*0.475*44/12</f>
        <v>23.587444398042877</v>
      </c>
      <c r="AW79" s="23">
        <f>EXP(-LN(2)/2)*AW78+(1-EXP(-LN(2)/2))/(LN(2)/2)*AQ79*AT79*VLOOKUP('Données projet'!$B$10,Paramètres!$A$1:$I$88,3,0)*0.475*44/12</f>
        <v>6.5780858520579841E-2</v>
      </c>
      <c r="AX79" s="23">
        <f t="shared" si="60"/>
        <v>107.9950975632827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-2.8421709430404007E-14</v>
      </c>
      <c r="BE79" s="14">
        <f>BD79*VLOOKUP('Données projet'!$B$11,Paramètres!$A$1:$I$88,3,0)*VLOOKUP('Données projet'!$B$11,Paramètres!$A$1:$I$88,5,0)</f>
        <v>-2.2612312022829431E-14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219.20272956499281</v>
      </c>
      <c r="BJ79" s="62">
        <f t="shared" si="92"/>
        <v>244.37146912604081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61.926233204509593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61.926233204509593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64.122727526670573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4.4444444444444446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16.296296296296298</v>
      </c>
      <c r="H80" s="70">
        <f t="shared" si="56"/>
        <v>191.4814814814815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415.21844537846482</v>
      </c>
      <c r="T80" s="62">
        <f t="shared" si="88"/>
        <v>491.25626166862321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172.68303930161127</v>
      </c>
      <c r="AA80" s="23">
        <f>EXP(-LN(2)/25)*AA79+(1-EXP(-LN(2)/25))/(LN(2)/25)*Calculateur!V80*Calculateur!X80*VLOOKUP('Données projet'!$B$9,Paramètres!$A$1:$I$88,3,0)*0.475*44/12</f>
        <v>38.981028905462139</v>
      </c>
      <c r="AB80" s="23">
        <f>EXP(-LN(2)/2)*AB79+(1-EXP(-LN(2)/2))/(LN(2)/2)*V80*Y80*VLOOKUP('Données projet'!$B$9,Paramètres!$A$1:$I$88,3,0)*0.475*44/12</f>
        <v>0.10607720718288112</v>
      </c>
      <c r="AC80" s="24">
        <f t="shared" si="57"/>
        <v>211.77014541425629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projet'!$B$10,Paramètres!$A$1:$I$88,3,0)*VLOOKUP('Données projet'!$B$10,Paramètres!$A$1:$I$88,5,0)</f>
        <v>-1.2414602679200471E-13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243.3456100842846</v>
      </c>
      <c r="AO80" s="62">
        <f t="shared" si="90"/>
        <v>301.6462497303628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82.687979634246958</v>
      </c>
      <c r="AV80" s="23">
        <f>EXP(-LN(2)/25)*AV79+(1-EXP(-LN(2)/25))/(LN(2)/25)*Calculateur!AQ80*Calculateur!AS80*VLOOKUP('Données projet'!$B$10,Paramètres!$A$1:$I$88,3,0)*0.475*44/12</f>
        <v>22.942444490568604</v>
      </c>
      <c r="AW80" s="23">
        <f>EXP(-LN(2)/2)*AW79+(1-EXP(-LN(2)/2))/(LN(2)/2)*AQ80*AT80*VLOOKUP('Données projet'!$B$10,Paramètres!$A$1:$I$88,3,0)*0.475*44/12</f>
        <v>4.651409113217489E-2</v>
      </c>
      <c r="AX80" s="23">
        <f t="shared" si="60"/>
        <v>105.67693821594774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-2.8421709430404007E-14</v>
      </c>
      <c r="BE80" s="14">
        <f>BD80*VLOOKUP('Données projet'!$B$11,Paramètres!$A$1:$I$88,3,0)*VLOOKUP('Données projet'!$B$11,Paramètres!$A$1:$I$88,5,0)</f>
        <v>-2.2612312022829431E-14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219.20272956499281</v>
      </c>
      <c r="BJ80" s="62">
        <f t="shared" si="92"/>
        <v>244.37146912604081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60.711897542641815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60.711897542641815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64.224685064470052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4.4444444444444446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16.296296296296298</v>
      </c>
      <c r="H81" s="70">
        <f t="shared" si="56"/>
        <v>191.4814814814815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415.21844537846482</v>
      </c>
      <c r="T81" s="62">
        <f t="shared" si="88"/>
        <v>491.25626166862321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169.29683022716054</v>
      </c>
      <c r="AA81" s="23">
        <f>EXP(-LN(2)/25)*AA80+(1-EXP(-LN(2)/25))/(LN(2)/25)*Calculateur!V81*Calculateur!X81*VLOOKUP('Données projet'!$B$9,Paramètres!$A$1:$I$88,3,0)*0.475*44/12</f>
        <v>37.915090620119059</v>
      </c>
      <c r="AB81" s="23">
        <f>EXP(-LN(2)/2)*AB80+(1-EXP(-LN(2)/2))/(LN(2)/2)*V81*Y81*VLOOKUP('Données projet'!$B$9,Paramètres!$A$1:$I$88,3,0)*0.475*44/12</f>
        <v>7.5007912528345586E-2</v>
      </c>
      <c r="AC81" s="24">
        <f t="shared" si="57"/>
        <v>207.28692875980795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projet'!$B$10,Paramètres!$A$1:$I$88,3,0)*VLOOKUP('Données projet'!$B$10,Paramètres!$A$1:$I$88,5,0)</f>
        <v>-1.2414602679200471E-13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243.3456100842846</v>
      </c>
      <c r="AO81" s="62">
        <f t="shared" si="90"/>
        <v>301.6462497303628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81.066518788306936</v>
      </c>
      <c r="AV81" s="23">
        <f>EXP(-LN(2)/25)*AV80+(1-EXP(-LN(2)/25))/(LN(2)/25)*Calculateur!AQ81*Calculateur!AS81*VLOOKUP('Données projet'!$B$10,Paramètres!$A$1:$I$88,3,0)*0.475*44/12</f>
        <v>22.315082139483287</v>
      </c>
      <c r="AW81" s="23">
        <f>EXP(-LN(2)/2)*AW80+(1-EXP(-LN(2)/2))/(LN(2)/2)*AQ81*AT81*VLOOKUP('Données projet'!$B$10,Paramètres!$A$1:$I$88,3,0)*0.475*44/12</f>
        <v>3.289042926028992E-2</v>
      </c>
      <c r="AX81" s="23">
        <f t="shared" si="60"/>
        <v>103.41449135705052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-2.8421709430404007E-14</v>
      </c>
      <c r="BE81" s="14">
        <f>BD81*VLOOKUP('Données projet'!$B$11,Paramètres!$A$1:$I$88,3,0)*VLOOKUP('Données projet'!$B$11,Paramètres!$A$1:$I$88,5,0)</f>
        <v>-2.2612312022829431E-14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219.20272956499281</v>
      </c>
      <c r="BJ81" s="62">
        <f t="shared" si="92"/>
        <v>244.37146912604081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59.521374262431642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59.521374262431642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64.324873866931597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4.4444444444444446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16.296296296296298</v>
      </c>
      <c r="H82" s="70">
        <f t="shared" si="56"/>
        <v>191.4814814814815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415.21844537846482</v>
      </c>
      <c r="T82" s="62">
        <f t="shared" si="88"/>
        <v>491.25626166862321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165.97702264727619</v>
      </c>
      <c r="AA82" s="23">
        <f>EXP(-LN(2)/25)*AA81+(1-EXP(-LN(2)/25))/(LN(2)/25)*Calculateur!V82*Calculateur!X82*VLOOKUP('Données projet'!$B$9,Paramètres!$A$1:$I$88,3,0)*0.475*44/12</f>
        <v>36.878300473243947</v>
      </c>
      <c r="AB82" s="23">
        <f>EXP(-LN(2)/2)*AB81+(1-EXP(-LN(2)/2))/(LN(2)/2)*V82*Y82*VLOOKUP('Données projet'!$B$9,Paramètres!$A$1:$I$88,3,0)*0.475*44/12</f>
        <v>5.303860359144056E-2</v>
      </c>
      <c r="AC82" s="24">
        <f t="shared" si="57"/>
        <v>202.90836172411156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projet'!$B$10,Paramètres!$A$1:$I$88,3,0)*VLOOKUP('Données projet'!$B$10,Paramètres!$A$1:$I$88,5,0)</f>
        <v>-1.2414602679200471E-13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243.3456100842846</v>
      </c>
      <c r="AO82" s="62">
        <f t="shared" si="90"/>
        <v>301.6462497303628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79.476853800562338</v>
      </c>
      <c r="AV82" s="23">
        <f>EXP(-LN(2)/25)*AV81+(1-EXP(-LN(2)/25))/(LN(2)/25)*Calculateur!AQ82*Calculateur!AS82*VLOOKUP('Données projet'!$B$10,Paramètres!$A$1:$I$88,3,0)*0.475*44/12</f>
        <v>21.704875044879948</v>
      </c>
      <c r="AW82" s="23">
        <f>EXP(-LN(2)/2)*AW81+(1-EXP(-LN(2)/2))/(LN(2)/2)*AQ82*AT82*VLOOKUP('Données projet'!$B$10,Paramètres!$A$1:$I$88,3,0)*0.475*44/12</f>
        <v>2.3257045566087445E-2</v>
      </c>
      <c r="AX82" s="23">
        <f t="shared" si="60"/>
        <v>101.20498589100836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-2.8421709430404007E-14</v>
      </c>
      <c r="BE82" s="14">
        <f>BD82*VLOOKUP('Données projet'!$B$11,Paramètres!$A$1:$I$88,3,0)*VLOOKUP('Données projet'!$B$11,Paramètres!$A$1:$I$88,5,0)</f>
        <v>-2.2612312022829431E-14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219.20272956499281</v>
      </c>
      <c r="BJ82" s="62">
        <f t="shared" si="92"/>
        <v>244.37146912604081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58.354196417598892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58.354196417598892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64.423324617659063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4.4444444444444446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16.296296296296298</v>
      </c>
      <c r="H83" s="70">
        <f t="shared" si="56"/>
        <v>191.4814814814815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415.21844537846482</v>
      </c>
      <c r="T83" s="62">
        <f t="shared" si="88"/>
        <v>491.25626166862321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162.72231446915069</v>
      </c>
      <c r="AA83" s="23">
        <f>EXP(-LN(2)/25)*AA82+(1-EXP(-LN(2)/25))/(LN(2)/25)*Calculateur!V83*Calculateur!X83*VLOOKUP('Données projet'!$B$9,Paramètres!$A$1:$I$88,3,0)*0.475*44/12</f>
        <v>35.869861407457556</v>
      </c>
      <c r="AB83" s="23">
        <f>EXP(-LN(2)/2)*AB82+(1-EXP(-LN(2)/2))/(LN(2)/2)*V83*Y83*VLOOKUP('Données projet'!$B$9,Paramètres!$A$1:$I$88,3,0)*0.475*44/12</f>
        <v>3.7503956264172793E-2</v>
      </c>
      <c r="AC83" s="24">
        <f t="shared" si="57"/>
        <v>198.62967983287243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projet'!$B$10,Paramètres!$A$1:$I$88,3,0)*VLOOKUP('Données projet'!$B$10,Paramètres!$A$1:$I$88,5,0)</f>
        <v>-1.2414602679200471E-13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243.3456100842846</v>
      </c>
      <c r="AO83" s="62">
        <f t="shared" si="90"/>
        <v>301.6462497303628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77.918361173627517</v>
      </c>
      <c r="AV83" s="23">
        <f>EXP(-LN(2)/25)*AV82+(1-EXP(-LN(2)/25))/(LN(2)/25)*Calculateur!AQ83*Calculateur!AS83*VLOOKUP('Données projet'!$B$10,Paramètres!$A$1:$I$88,3,0)*0.475*44/12</f>
        <v>21.111354095367936</v>
      </c>
      <c r="AW83" s="23">
        <f>EXP(-LN(2)/2)*AW82+(1-EXP(-LN(2)/2))/(LN(2)/2)*AQ83*AT83*VLOOKUP('Données projet'!$B$10,Paramètres!$A$1:$I$88,3,0)*0.475*44/12</f>
        <v>1.644521463014496E-2</v>
      </c>
      <c r="AX83" s="23">
        <f t="shared" si="60"/>
        <v>99.046160483625599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-2.8421709430404007E-14</v>
      </c>
      <c r="BE83" s="14">
        <f>BD83*VLOOKUP('Données projet'!$B$11,Paramètres!$A$1:$I$88,3,0)*VLOOKUP('Données projet'!$B$11,Paramètres!$A$1:$I$88,5,0)</f>
        <v>-2.2612312022829431E-14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219.20272956499281</v>
      </c>
      <c r="BJ83" s="62">
        <f t="shared" si="92"/>
        <v>244.37146912604081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57.209906218395119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57.209906218395119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64.520067467964296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4.4444444444444446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16.296296296296298</v>
      </c>
      <c r="H84" s="70">
        <f t="shared" si="56"/>
        <v>191.4814814814815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415.21844537846482</v>
      </c>
      <c r="T84" s="62">
        <f t="shared" si="88"/>
        <v>491.25626166862321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159.53142913322228</v>
      </c>
      <c r="AA84" s="23">
        <f>EXP(-LN(2)/25)*AA83+(1-EXP(-LN(2)/25))/(LN(2)/25)*Calculateur!V84*Calculateur!X84*VLOOKUP('Données projet'!$B$9,Paramètres!$A$1:$I$88,3,0)*0.475*44/12</f>
        <v>34.888998160956596</v>
      </c>
      <c r="AB84" s="23">
        <f>EXP(-LN(2)/2)*AB83+(1-EXP(-LN(2)/2))/(LN(2)/2)*V84*Y84*VLOOKUP('Données projet'!$B$9,Paramètres!$A$1:$I$88,3,0)*0.475*44/12</f>
        <v>2.651930179572028E-2</v>
      </c>
      <c r="AC84" s="24">
        <f t="shared" si="57"/>
        <v>194.44694659597459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projet'!$B$10,Paramètres!$A$1:$I$88,3,0)*VLOOKUP('Données projet'!$B$10,Paramètres!$A$1:$I$88,5,0)</f>
        <v>-1.2414602679200471E-13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243.3456100842846</v>
      </c>
      <c r="AO84" s="62">
        <f t="shared" si="90"/>
        <v>301.6462497303628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76.390429636520238</v>
      </c>
      <c r="AV84" s="23">
        <f>EXP(-LN(2)/25)*AV83+(1-EXP(-LN(2)/25))/(LN(2)/25)*Calculateur!AQ84*Calculateur!AS84*VLOOKUP('Données projet'!$B$10,Paramètres!$A$1:$I$88,3,0)*0.475*44/12</f>
        <v>20.534063007432238</v>
      </c>
      <c r="AW84" s="23">
        <f>EXP(-LN(2)/2)*AW83+(1-EXP(-LN(2)/2))/(LN(2)/2)*AQ84*AT84*VLOOKUP('Données projet'!$B$10,Paramètres!$A$1:$I$88,3,0)*0.475*44/12</f>
        <v>1.1628522783043722E-2</v>
      </c>
      <c r="AX84" s="23">
        <f t="shared" si="60"/>
        <v>96.936121166735518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-2.8421709430404007E-14</v>
      </c>
      <c r="BE84" s="14">
        <f>BD84*VLOOKUP('Données projet'!$B$11,Paramètres!$A$1:$I$88,3,0)*VLOOKUP('Données projet'!$B$11,Paramètres!$A$1:$I$88,5,0)</f>
        <v>-2.2612312022829431E-14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219.20272956499281</v>
      </c>
      <c r="BJ84" s="62">
        <f t="shared" si="92"/>
        <v>244.37146912604081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56.08805485204963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56.08805485204963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64.615132046101351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4.4444444444444446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16.296296296296298</v>
      </c>
      <c r="H85" s="70">
        <f t="shared" si="56"/>
        <v>191.4814814814815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415.21844537846482</v>
      </c>
      <c r="T85" s="62">
        <f t="shared" si="88"/>
        <v>491.25626166862321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156.40311511248353</v>
      </c>
      <c r="AA85" s="23">
        <f>EXP(-LN(2)/25)*AA84+(1-EXP(-LN(2)/25))/(LN(2)/25)*Calculateur!V85*Calculateur!X85*VLOOKUP('Données projet'!$B$9,Paramètres!$A$1:$I$88,3,0)*0.475*44/12</f>
        <v>33.934956671512566</v>
      </c>
      <c r="AB85" s="23">
        <f>EXP(-LN(2)/2)*AB84+(1-EXP(-LN(2)/2))/(LN(2)/2)*V85*Y85*VLOOKUP('Données projet'!$B$9,Paramètres!$A$1:$I$88,3,0)*0.475*44/12</f>
        <v>1.8751978132086396E-2</v>
      </c>
      <c r="AC85" s="24">
        <f t="shared" si="57"/>
        <v>190.35682376212819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projet'!$B$10,Paramètres!$A$1:$I$88,3,0)*VLOOKUP('Données projet'!$B$10,Paramètres!$A$1:$I$88,5,0)</f>
        <v>-1.2414602679200471E-13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243.3456100842846</v>
      </c>
      <c r="AO85" s="62">
        <f t="shared" si="90"/>
        <v>301.6462497303628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74.89245990490943</v>
      </c>
      <c r="AV85" s="23">
        <f>EXP(-LN(2)/25)*AV84+(1-EXP(-LN(2)/25))/(LN(2)/25)*Calculateur!AQ85*Calculateur!AS85*VLOOKUP('Données projet'!$B$10,Paramètres!$A$1:$I$88,3,0)*0.475*44/12</f>
        <v>19.97255797465456</v>
      </c>
      <c r="AW85" s="23">
        <f>EXP(-LN(2)/2)*AW84+(1-EXP(-LN(2)/2))/(LN(2)/2)*AQ85*AT85*VLOOKUP('Données projet'!$B$10,Paramètres!$A$1:$I$88,3,0)*0.475*44/12</f>
        <v>8.2226073150724801E-3</v>
      </c>
      <c r="AX85" s="23">
        <f t="shared" si="60"/>
        <v>94.87324048687907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-2.8421709430404007E-14</v>
      </c>
      <c r="BE85" s="14">
        <f>BD85*VLOOKUP('Données projet'!$B$11,Paramètres!$A$1:$I$88,3,0)*VLOOKUP('Données projet'!$B$11,Paramètres!$A$1:$I$88,5,0)</f>
        <v>-2.2612312022829431E-14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219.20272956499281</v>
      </c>
      <c r="BJ85" s="62">
        <f t="shared" si="92"/>
        <v>244.37146912604081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54.988202306736405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54.988202306736405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64.708547466340292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4.4444444444444446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16.296296296296298</v>
      </c>
      <c r="H86" s="70">
        <f t="shared" si="56"/>
        <v>191.4814814814815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415.21844537846482</v>
      </c>
      <c r="T86" s="62">
        <f t="shared" si="88"/>
        <v>491.25626166862321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153.33614542160834</v>
      </c>
      <c r="AA86" s="23">
        <f>EXP(-LN(2)/25)*AA85+(1-EXP(-LN(2)/25))/(LN(2)/25)*Calculateur!V86*Calculateur!X86*VLOOKUP('Données projet'!$B$9,Paramètres!$A$1:$I$88,3,0)*0.475*44/12</f>
        <v>33.007003496768242</v>
      </c>
      <c r="AB86" s="23">
        <f>EXP(-LN(2)/2)*AB85+(1-EXP(-LN(2)/2))/(LN(2)/2)*V86*Y86*VLOOKUP('Données projet'!$B$9,Paramètres!$A$1:$I$88,3,0)*0.475*44/12</f>
        <v>1.325965089786014E-2</v>
      </c>
      <c r="AC86" s="24">
        <f t="shared" si="57"/>
        <v>186.35640856927444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projet'!$B$10,Paramètres!$A$1:$I$88,3,0)*VLOOKUP('Données projet'!$B$10,Paramètres!$A$1:$I$88,5,0)</f>
        <v>-1.2414602679200471E-13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243.3456100842846</v>
      </c>
      <c r="AO86" s="62">
        <f t="shared" si="90"/>
        <v>301.6462497303628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73.423864446064186</v>
      </c>
      <c r="AV86" s="23">
        <f>EXP(-LN(2)/25)*AV85+(1-EXP(-LN(2)/25))/(LN(2)/25)*Calculateur!AQ86*Calculateur!AS86*VLOOKUP('Données projet'!$B$10,Paramètres!$A$1:$I$88,3,0)*0.475*44/12</f>
        <v>19.426407326526455</v>
      </c>
      <c r="AW86" s="23">
        <f>EXP(-LN(2)/2)*AW85+(1-EXP(-LN(2)/2))/(LN(2)/2)*AQ86*AT86*VLOOKUP('Données projet'!$B$10,Paramètres!$A$1:$I$88,3,0)*0.475*44/12</f>
        <v>5.8142613915218612E-3</v>
      </c>
      <c r="AX86" s="23">
        <f t="shared" si="60"/>
        <v>92.856086033982166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-2.8421709430404007E-14</v>
      </c>
      <c r="BE86" s="14">
        <f>BD86*VLOOKUP('Données projet'!$B$11,Paramètres!$A$1:$I$88,3,0)*VLOOKUP('Données projet'!$B$11,Paramètres!$A$1:$I$88,5,0)</f>
        <v>-2.2612312022829431E-14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219.20272956499281</v>
      </c>
      <c r="BJ86" s="62">
        <f t="shared" si="92"/>
        <v>244.37146912604081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53.909917198992964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53.909917198992964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64.800342337883663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4.4444444444444446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16.296296296296298</v>
      </c>
      <c r="H87" s="70">
        <f t="shared" si="56"/>
        <v>191.4814814814815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415.21844537846482</v>
      </c>
      <c r="T87" s="62">
        <f t="shared" si="88"/>
        <v>491.25626166862321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150.3293171357044</v>
      </c>
      <c r="AA87" s="23">
        <f>EXP(-LN(2)/25)*AA86+(1-EXP(-LN(2)/25))/(LN(2)/25)*Calculateur!V87*Calculateur!X87*VLOOKUP('Données projet'!$B$9,Paramètres!$A$1:$I$88,3,0)*0.475*44/12</f>
        <v>32.104425250386235</v>
      </c>
      <c r="AB87" s="23">
        <f>EXP(-LN(2)/2)*AB86+(1-EXP(-LN(2)/2))/(LN(2)/2)*V87*Y87*VLOOKUP('Données projet'!$B$9,Paramètres!$A$1:$I$88,3,0)*0.475*44/12</f>
        <v>9.3759890660431982E-3</v>
      </c>
      <c r="AC87" s="24">
        <f t="shared" si="57"/>
        <v>182.44311837515667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projet'!$B$10,Paramètres!$A$1:$I$88,3,0)*VLOOKUP('Données projet'!$B$10,Paramètres!$A$1:$I$88,5,0)</f>
        <v>-1.2414602679200471E-13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243.3456100842846</v>
      </c>
      <c r="AO87" s="62">
        <f t="shared" si="90"/>
        <v>301.6462497303628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71.984067248412117</v>
      </c>
      <c r="AV87" s="23">
        <f>EXP(-LN(2)/25)*AV86+(1-EXP(-LN(2)/25))/(LN(2)/25)*Calculateur!AQ87*Calculateur!AS87*VLOOKUP('Données projet'!$B$10,Paramètres!$A$1:$I$88,3,0)*0.475*44/12</f>
        <v>18.895191196592226</v>
      </c>
      <c r="AW87" s="23">
        <f>EXP(-LN(2)/2)*AW86+(1-EXP(-LN(2)/2))/(LN(2)/2)*AQ87*AT87*VLOOKUP('Données projet'!$B$10,Paramètres!$A$1:$I$88,3,0)*0.475*44/12</f>
        <v>4.11130365753624E-3</v>
      </c>
      <c r="AX87" s="23">
        <f t="shared" si="60"/>
        <v>90.883369748661877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-2.8421709430404007E-14</v>
      </c>
      <c r="BE87" s="14">
        <f>BD87*VLOOKUP('Données projet'!$B$11,Paramètres!$A$1:$I$88,3,0)*VLOOKUP('Données projet'!$B$11,Paramètres!$A$1:$I$88,5,0)</f>
        <v>-2.2612312022829431E-14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219.20272956499281</v>
      </c>
      <c r="BJ87" s="62">
        <f t="shared" si="92"/>
        <v>244.37146912604081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52.852776604523399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52.852776604523399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64.890544773628349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4.4444444444444446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16.296296296296298</v>
      </c>
      <c r="H88" s="70">
        <f t="shared" si="56"/>
        <v>191.4814814814815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415.21844537846482</v>
      </c>
      <c r="T88" s="62">
        <f t="shared" si="88"/>
        <v>491.25626166862321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147.38145091850288</v>
      </c>
      <c r="AA88" s="23">
        <f>EXP(-LN(2)/25)*AA87+(1-EXP(-LN(2)/25))/(LN(2)/25)*Calculateur!V88*Calculateur!X88*VLOOKUP('Données projet'!$B$9,Paramètres!$A$1:$I$88,3,0)*0.475*44/12</f>
        <v>31.226528053616075</v>
      </c>
      <c r="AB88" s="23">
        <f>EXP(-LN(2)/2)*AB87+(1-EXP(-LN(2)/2))/(LN(2)/2)*V88*Y88*VLOOKUP('Données projet'!$B$9,Paramètres!$A$1:$I$88,3,0)*0.475*44/12</f>
        <v>6.62982544893007E-3</v>
      </c>
      <c r="AC88" s="24">
        <f t="shared" si="57"/>
        <v>178.61460879756788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projet'!$B$10,Paramètres!$A$1:$I$88,3,0)*VLOOKUP('Données projet'!$B$10,Paramètres!$A$1:$I$88,5,0)</f>
        <v>-1.2414602679200471E-13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243.3456100842846</v>
      </c>
      <c r="AO88" s="62">
        <f t="shared" si="90"/>
        <v>301.6462497303628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70.572503595616425</v>
      </c>
      <c r="AV88" s="23">
        <f>EXP(-LN(2)/25)*AV87+(1-EXP(-LN(2)/25))/(LN(2)/25)*Calculateur!AQ88*Calculateur!AS88*VLOOKUP('Données projet'!$B$10,Paramètres!$A$1:$I$88,3,0)*0.475*44/12</f>
        <v>18.378501199666491</v>
      </c>
      <c r="AW88" s="23">
        <f>EXP(-LN(2)/2)*AW87+(1-EXP(-LN(2)/2))/(LN(2)/2)*AQ88*AT88*VLOOKUP('Données projet'!$B$10,Paramètres!$A$1:$I$88,3,0)*0.475*44/12</f>
        <v>2.9071306957609306E-3</v>
      </c>
      <c r="AX88" s="23">
        <f t="shared" si="60"/>
        <v>88.953911925978673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-2.8421709430404007E-14</v>
      </c>
      <c r="BE88" s="14">
        <f>BD88*VLOOKUP('Données projet'!$B$11,Paramètres!$A$1:$I$88,3,0)*VLOOKUP('Données projet'!$B$11,Paramètres!$A$1:$I$88,5,0)</f>
        <v>-2.2612312022829431E-14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219.20272956499281</v>
      </c>
      <c r="BJ88" s="62">
        <f t="shared" si="92"/>
        <v>244.37146912604081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51.816365892319283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51.816365892319283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64.979182398775308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4.4444444444444446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16.296296296296298</v>
      </c>
      <c r="H89" s="70">
        <f t="shared" si="56"/>
        <v>191.4814814814815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415.21844537846482</v>
      </c>
      <c r="T89" s="62">
        <f t="shared" si="88"/>
        <v>491.25626166862321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144.49139055979981</v>
      </c>
      <c r="AA89" s="23">
        <f>EXP(-LN(2)/25)*AA88+(1-EXP(-LN(2)/25))/(LN(2)/25)*Calculateur!V89*Calculateur!X89*VLOOKUP('Données projet'!$B$9,Paramètres!$A$1:$I$88,3,0)*0.475*44/12</f>
        <v>30.372637001858202</v>
      </c>
      <c r="AB89" s="23">
        <f>EXP(-LN(2)/2)*AB88+(1-EXP(-LN(2)/2))/(LN(2)/2)*V89*Y89*VLOOKUP('Données projet'!$B$9,Paramètres!$A$1:$I$88,3,0)*0.475*44/12</f>
        <v>4.6879945330215991E-3</v>
      </c>
      <c r="AC89" s="24">
        <f t="shared" si="57"/>
        <v>174.86871555619103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projet'!$B$10,Paramètres!$A$1:$I$88,3,0)*VLOOKUP('Données projet'!$B$10,Paramètres!$A$1:$I$88,5,0)</f>
        <v>-1.2414602679200471E-13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243.3456100842846</v>
      </c>
      <c r="AO89" s="62">
        <f t="shared" si="90"/>
        <v>301.6462497303628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69.188619845083238</v>
      </c>
      <c r="AV89" s="23">
        <f>EXP(-LN(2)/25)*AV88+(1-EXP(-LN(2)/25))/(LN(2)/25)*Calculateur!AQ89*Calculateur!AS89*VLOOKUP('Données projet'!$B$10,Paramètres!$A$1:$I$88,3,0)*0.475*44/12</f>
        <v>17.875940117878237</v>
      </c>
      <c r="AW89" s="23">
        <f>EXP(-LN(2)/2)*AW88+(1-EXP(-LN(2)/2))/(LN(2)/2)*AQ89*AT89*VLOOKUP('Données projet'!$B$10,Paramètres!$A$1:$I$88,3,0)*0.475*44/12</f>
        <v>2.05565182876812E-3</v>
      </c>
      <c r="AX89" s="23">
        <f t="shared" si="60"/>
        <v>87.066615614790251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-2.8421709430404007E-14</v>
      </c>
      <c r="BE89" s="14">
        <f>BD89*VLOOKUP('Données projet'!$B$11,Paramètres!$A$1:$I$88,3,0)*VLOOKUP('Données projet'!$B$11,Paramètres!$A$1:$I$88,5,0)</f>
        <v>-2.2612312022829431E-14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219.20272956499281</v>
      </c>
      <c r="BJ89" s="62">
        <f t="shared" si="92"/>
        <v>244.37146912604081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50.800278562033377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50.800278562033377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65.066282359290014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4.4444444444444446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16.296296296296298</v>
      </c>
      <c r="H90" s="70">
        <f t="shared" si="56"/>
        <v>191.4814814814815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415.21844537846482</v>
      </c>
      <c r="T90" s="62">
        <f t="shared" si="88"/>
        <v>491.25626166862321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141.65800252196817</v>
      </c>
      <c r="AA90" s="23">
        <f>EXP(-LN(2)/25)*AA89+(1-EXP(-LN(2)/25))/(LN(2)/25)*Calculateur!V90*Calculateur!X90*VLOOKUP('Données projet'!$B$9,Paramètres!$A$1:$I$88,3,0)*0.475*44/12</f>
        <v>29.542095645814825</v>
      </c>
      <c r="AB90" s="23">
        <f>EXP(-LN(2)/2)*AB89+(1-EXP(-LN(2)/2))/(LN(2)/2)*V90*Y90*VLOOKUP('Données projet'!$B$9,Paramètres!$A$1:$I$88,3,0)*0.475*44/12</f>
        <v>3.314912724465035E-3</v>
      </c>
      <c r="AC90" s="24">
        <f t="shared" si="57"/>
        <v>171.20341308050746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projet'!$B$10,Paramètres!$A$1:$I$88,3,0)*VLOOKUP('Données projet'!$B$10,Paramètres!$A$1:$I$88,5,0)</f>
        <v>-1.2414602679200471E-13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243.3456100842846</v>
      </c>
      <c r="AO90" s="62">
        <f t="shared" si="90"/>
        <v>301.6462497303628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67.831873210812276</v>
      </c>
      <c r="AV90" s="23">
        <f>EXP(-LN(2)/25)*AV89+(1-EXP(-LN(2)/25))/(LN(2)/25)*Calculateur!AQ90*Calculateur!AS90*VLOOKUP('Données projet'!$B$10,Paramètres!$A$1:$I$88,3,0)*0.475*44/12</f>
        <v>17.387121595300023</v>
      </c>
      <c r="AW90" s="23">
        <f>EXP(-LN(2)/2)*AW89+(1-EXP(-LN(2)/2))/(LN(2)/2)*AQ90*AT90*VLOOKUP('Données projet'!$B$10,Paramètres!$A$1:$I$88,3,0)*0.475*44/12</f>
        <v>1.4535653478804653E-3</v>
      </c>
      <c r="AX90" s="23">
        <f t="shared" si="60"/>
        <v>85.220448371460193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-2.8421709430404007E-14</v>
      </c>
      <c r="BE90" s="14">
        <f>BD90*VLOOKUP('Données projet'!$B$11,Paramètres!$A$1:$I$88,3,0)*VLOOKUP('Données projet'!$B$11,Paramètres!$A$1:$I$88,5,0)</f>
        <v>-2.2612312022829431E-14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219.20272956499281</v>
      </c>
      <c r="BJ90" s="62">
        <f t="shared" si="92"/>
        <v>244.37146912604081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49.804116084542301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49.804116084542301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65.15187133021611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4.4444444444444446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16.296296296296298</v>
      </c>
      <c r="H91" s="70">
        <f t="shared" si="56"/>
        <v>191.4814814814815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415.21844537846482</v>
      </c>
      <c r="T91" s="62">
        <f t="shared" si="88"/>
        <v>491.25626166862321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138.88017549536235</v>
      </c>
      <c r="AA91" s="23">
        <f>EXP(-LN(2)/25)*AA90+(1-EXP(-LN(2)/25))/(LN(2)/25)*Calculateur!V91*Calculateur!X91*VLOOKUP('Données projet'!$B$9,Paramètres!$A$1:$I$88,3,0)*0.475*44/12</f>
        <v>28.734265486828729</v>
      </c>
      <c r="AB91" s="23">
        <f>EXP(-LN(2)/2)*AB90+(1-EXP(-LN(2)/2))/(LN(2)/2)*V91*Y91*VLOOKUP('Données projet'!$B$9,Paramètres!$A$1:$I$88,3,0)*0.475*44/12</f>
        <v>2.3439972665107995E-3</v>
      </c>
      <c r="AC91" s="24">
        <f t="shared" si="57"/>
        <v>167.61678497945758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projet'!$B$10,Paramètres!$A$1:$I$88,3,0)*VLOOKUP('Données projet'!$B$10,Paramètres!$A$1:$I$88,5,0)</f>
        <v>-1.2414602679200471E-13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243.3456100842846</v>
      </c>
      <c r="AO91" s="62">
        <f t="shared" si="90"/>
        <v>301.6462497303628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66.501731550505625</v>
      </c>
      <c r="AV91" s="23">
        <f>EXP(-LN(2)/25)*AV90+(1-EXP(-LN(2)/25))/(LN(2)/25)*Calculateur!AQ91*Calculateur!AS91*VLOOKUP('Données projet'!$B$10,Paramètres!$A$1:$I$88,3,0)*0.475*44/12</f>
        <v>16.911669840927559</v>
      </c>
      <c r="AW91" s="23">
        <f>EXP(-LN(2)/2)*AW90+(1-EXP(-LN(2)/2))/(LN(2)/2)*AQ91*AT91*VLOOKUP('Données projet'!$B$10,Paramètres!$A$1:$I$88,3,0)*0.475*44/12</f>
        <v>1.02782591438406E-3</v>
      </c>
      <c r="AX91" s="23">
        <f t="shared" si="60"/>
        <v>83.414429217347561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-2.8421709430404007E-14</v>
      </c>
      <c r="BE91" s="14">
        <f>BD91*VLOOKUP('Données projet'!$B$11,Paramètres!$A$1:$I$88,3,0)*VLOOKUP('Données projet'!$B$11,Paramètres!$A$1:$I$88,5,0)</f>
        <v>-2.2612312022829431E-14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219.20272956499281</v>
      </c>
      <c r="BJ91" s="62">
        <f t="shared" si="92"/>
        <v>244.37146912604081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48.827487745635707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48.827487745635707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65.235975523844928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4.4444444444444446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16.296296296296298</v>
      </c>
      <c r="H92" s="70">
        <f t="shared" si="56"/>
        <v>191.4814814814815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415.21844537846482</v>
      </c>
      <c r="T92" s="62">
        <f t="shared" si="88"/>
        <v>491.25626166862321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136.15681996244106</v>
      </c>
      <c r="AA92" s="23">
        <f>EXP(-LN(2)/25)*AA91+(1-EXP(-LN(2)/25))/(LN(2)/25)*Calculateur!V92*Calculateur!X92*VLOOKUP('Données projet'!$B$9,Paramètres!$A$1:$I$88,3,0)*0.475*44/12</f>
        <v>27.948525486022049</v>
      </c>
      <c r="AB92" s="23">
        <f>EXP(-LN(2)/2)*AB91+(1-EXP(-LN(2)/2))/(LN(2)/2)*V92*Y92*VLOOKUP('Données projet'!$B$9,Paramètres!$A$1:$I$88,3,0)*0.475*44/12</f>
        <v>1.6574563622325175E-3</v>
      </c>
      <c r="AC92" s="24">
        <f t="shared" si="57"/>
        <v>164.10700290482535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projet'!$B$10,Paramètres!$A$1:$I$88,3,0)*VLOOKUP('Données projet'!$B$10,Paramètres!$A$1:$I$88,5,0)</f>
        <v>-1.2414602679200471E-13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243.3456100842846</v>
      </c>
      <c r="AO92" s="62">
        <f t="shared" si="90"/>
        <v>301.6462497303628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65.19767315685128</v>
      </c>
      <c r="AV92" s="23">
        <f>EXP(-LN(2)/25)*AV91+(1-EXP(-LN(2)/25))/(LN(2)/25)*Calculateur!AQ92*Calculateur!AS92*VLOOKUP('Données projet'!$B$10,Paramètres!$A$1:$I$88,3,0)*0.475*44/12</f>
        <v>16.44921933978133</v>
      </c>
      <c r="AW92" s="23">
        <f>EXP(-LN(2)/2)*AW91+(1-EXP(-LN(2)/2))/(LN(2)/2)*AQ92*AT92*VLOOKUP('Données projet'!$B$10,Paramètres!$A$1:$I$88,3,0)*0.475*44/12</f>
        <v>7.2678267394023265E-4</v>
      </c>
      <c r="AX92" s="23">
        <f t="shared" si="60"/>
        <v>81.647619279306539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-2.8421709430404007E-14</v>
      </c>
      <c r="BE92" s="14">
        <f>BD92*VLOOKUP('Données projet'!$B$11,Paramètres!$A$1:$I$88,3,0)*VLOOKUP('Données projet'!$B$11,Paramètres!$A$1:$I$88,5,0)</f>
        <v>-2.2612312022829431E-14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219.20272956499281</v>
      </c>
      <c r="BJ92" s="62">
        <f t="shared" si="92"/>
        <v>244.37146912604081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47.870010492770604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47.870010492770604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65.318620697743086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4.4444444444444446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16.296296296296298</v>
      </c>
      <c r="H93" s="70">
        <f t="shared" si="56"/>
        <v>191.4814814814815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415.21844537846482</v>
      </c>
      <c r="T93" s="62">
        <f t="shared" si="88"/>
        <v>491.25626166862321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133.48686777043753</v>
      </c>
      <c r="AA93" s="23">
        <f>EXP(-LN(2)/25)*AA92+(1-EXP(-LN(2)/25))/(LN(2)/25)*Calculateur!V93*Calculateur!X93*VLOOKUP('Données projet'!$B$9,Paramètres!$A$1:$I$88,3,0)*0.475*44/12</f>
        <v>27.184271586857697</v>
      </c>
      <c r="AB93" s="23">
        <f>EXP(-LN(2)/2)*AB92+(1-EXP(-LN(2)/2))/(LN(2)/2)*V93*Y93*VLOOKUP('Données projet'!$B$9,Paramètres!$A$1:$I$88,3,0)*0.475*44/12</f>
        <v>1.1719986332553998E-3</v>
      </c>
      <c r="AC93" s="24">
        <f t="shared" si="57"/>
        <v>160.67231135592849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projet'!$B$10,Paramètres!$A$1:$I$88,3,0)*VLOOKUP('Données projet'!$B$10,Paramètres!$A$1:$I$88,5,0)</f>
        <v>-1.2414602679200471E-13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243.3456100842846</v>
      </c>
      <c r="AO93" s="62">
        <f t="shared" si="90"/>
        <v>301.6462497303628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63.919186552899419</v>
      </c>
      <c r="AV93" s="23">
        <f>EXP(-LN(2)/25)*AV92+(1-EXP(-LN(2)/25))/(LN(2)/25)*Calculateur!AQ93*Calculateur!AS93*VLOOKUP('Données projet'!$B$10,Paramètres!$A$1:$I$88,3,0)*0.475*44/12</f>
        <v>15.99941457190816</v>
      </c>
      <c r="AW93" s="23">
        <f>EXP(-LN(2)/2)*AW92+(1-EXP(-LN(2)/2))/(LN(2)/2)*AQ93*AT93*VLOOKUP('Données projet'!$B$10,Paramètres!$A$1:$I$88,3,0)*0.475*44/12</f>
        <v>5.1391295719203001E-4</v>
      </c>
      <c r="AX93" s="23">
        <f t="shared" si="60"/>
        <v>79.919115037764769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-2.8421709430404007E-14</v>
      </c>
      <c r="BE93" s="14">
        <f>BD93*VLOOKUP('Données projet'!$B$11,Paramètres!$A$1:$I$88,3,0)*VLOOKUP('Données projet'!$B$11,Paramètres!$A$1:$I$88,5,0)</f>
        <v>-2.2612312022829431E-14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219.20272956499281</v>
      </c>
      <c r="BJ93" s="62">
        <f t="shared" si="92"/>
        <v>244.37146912604081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46.931308784830726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46.931308784830726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65.399832162641047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4.4444444444444446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16.296296296296298</v>
      </c>
      <c r="H94" s="70">
        <f t="shared" si="56"/>
        <v>191.4814814814815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415.21844537846482</v>
      </c>
      <c r="T94" s="62">
        <f t="shared" si="88"/>
        <v>491.25626166862321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130.86927171240913</v>
      </c>
      <c r="AA94" s="23">
        <f>EXP(-LN(2)/25)*AA93+(1-EXP(-LN(2)/25))/(LN(2)/25)*Calculateur!V94*Calculateur!X94*VLOOKUP('Données projet'!$B$9,Paramètres!$A$1:$I$88,3,0)*0.475*44/12</f>
        <v>26.440916250756363</v>
      </c>
      <c r="AB94" s="23">
        <f>EXP(-LN(2)/2)*AB93+(1-EXP(-LN(2)/2))/(LN(2)/2)*V94*Y94*VLOOKUP('Données projet'!$B$9,Paramètres!$A$1:$I$88,3,0)*0.475*44/12</f>
        <v>8.2872818111625875E-4</v>
      </c>
      <c r="AC94" s="24">
        <f t="shared" si="57"/>
        <v>157.31101669134662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projet'!$B$10,Paramètres!$A$1:$I$88,3,0)*VLOOKUP('Données projet'!$B$10,Paramètres!$A$1:$I$88,5,0)</f>
        <v>-1.2414602679200471E-13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243.3456100842846</v>
      </c>
      <c r="AO94" s="62">
        <f t="shared" si="90"/>
        <v>301.6462497303628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62.665770291451224</v>
      </c>
      <c r="AV94" s="23">
        <f>EXP(-LN(2)/25)*AV93+(1-EXP(-LN(2)/25))/(LN(2)/25)*Calculateur!AQ94*Calculateur!AS94*VLOOKUP('Données projet'!$B$10,Paramètres!$A$1:$I$88,3,0)*0.475*44/12</f>
        <v>15.561909739066685</v>
      </c>
      <c r="AW94" s="23">
        <f>EXP(-LN(2)/2)*AW93+(1-EXP(-LN(2)/2))/(LN(2)/2)*AQ94*AT94*VLOOKUP('Données projet'!$B$10,Paramètres!$A$1:$I$88,3,0)*0.475*44/12</f>
        <v>3.6339133697011632E-4</v>
      </c>
      <c r="AX94" s="23">
        <f t="shared" si="60"/>
        <v>78.228043421854892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-2.8421709430404007E-14</v>
      </c>
      <c r="BE94" s="14">
        <f>BD94*VLOOKUP('Données projet'!$B$11,Paramètres!$A$1:$I$88,3,0)*VLOOKUP('Données projet'!$B$11,Paramètres!$A$1:$I$88,5,0)</f>
        <v>-2.2612312022829431E-14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219.20272956499281</v>
      </c>
      <c r="BJ94" s="62">
        <f t="shared" si="92"/>
        <v>244.37146912604081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46.011014444832043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46.011014444832043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65.479634790184662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4.4444444444444446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16.296296296296298</v>
      </c>
      <c r="H95" s="70">
        <f t="shared" si="56"/>
        <v>191.4814814814815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415.21844537846482</v>
      </c>
      <c r="T95" s="62">
        <f t="shared" si="88"/>
        <v>491.25626166862321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128.30300511650273</v>
      </c>
      <c r="AA95" s="23">
        <f>EXP(-LN(2)/25)*AA94+(1-EXP(-LN(2)/25))/(LN(2)/25)*Calculateur!V95*Calculateur!X95*VLOOKUP('Données projet'!$B$9,Paramètres!$A$1:$I$88,3,0)*0.475*44/12</f>
        <v>25.717888005412075</v>
      </c>
      <c r="AB95" s="23">
        <f>EXP(-LN(2)/2)*AB94+(1-EXP(-LN(2)/2))/(LN(2)/2)*V95*Y95*VLOOKUP('Données projet'!$B$9,Paramètres!$A$1:$I$88,3,0)*0.475*44/12</f>
        <v>5.8599931662769989E-4</v>
      </c>
      <c r="AC95" s="24">
        <f t="shared" si="57"/>
        <v>154.02147912123144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projet'!$B$10,Paramètres!$A$1:$I$88,3,0)*VLOOKUP('Données projet'!$B$10,Paramètres!$A$1:$I$88,5,0)</f>
        <v>-1.2414602679200471E-13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243.3456100842846</v>
      </c>
      <c r="AO95" s="62">
        <f t="shared" si="90"/>
        <v>301.6462497303628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61.436932758381602</v>
      </c>
      <c r="AV95" s="23">
        <f>EXP(-LN(2)/25)*AV94+(1-EXP(-LN(2)/25))/(LN(2)/25)*Calculateur!AQ95*Calculateur!AS95*VLOOKUP('Données projet'!$B$10,Paramètres!$A$1:$I$88,3,0)*0.475*44/12</f>
        <v>15.136368498886641</v>
      </c>
      <c r="AW95" s="23">
        <f>EXP(-LN(2)/2)*AW94+(1-EXP(-LN(2)/2))/(LN(2)/2)*AQ95*AT95*VLOOKUP('Données projet'!$B$10,Paramètres!$A$1:$I$88,3,0)*0.475*44/12</f>
        <v>2.56956478596015E-4</v>
      </c>
      <c r="AX95" s="23">
        <f t="shared" si="60"/>
        <v>76.573558213746836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-2.8421709430404007E-14</v>
      </c>
      <c r="BE95" s="14">
        <f>BD95*VLOOKUP('Données projet'!$B$11,Paramètres!$A$1:$I$88,3,0)*VLOOKUP('Données projet'!$B$11,Paramètres!$A$1:$I$88,5,0)</f>
        <v>-2.2612312022829431E-14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219.20272956499281</v>
      </c>
      <c r="BJ95" s="62">
        <f t="shared" si="92"/>
        <v>244.37146912604081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45.108766515516614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45.108766515516614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65.558053020552336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4.4444444444444446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16.296296296296298</v>
      </c>
      <c r="H96" s="70">
        <f t="shared" si="56"/>
        <v>191.4814814814815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415.21844537846482</v>
      </c>
      <c r="T96" s="62">
        <f t="shared" si="88"/>
        <v>491.25626166862321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125.78706144327398</v>
      </c>
      <c r="AA96" s="23">
        <f>EXP(-LN(2)/25)*AA95+(1-EXP(-LN(2)/25))/(LN(2)/25)*Calculateur!V96*Calculateur!X96*VLOOKUP('Données projet'!$B$9,Paramètres!$A$1:$I$88,3,0)*0.475*44/12</f>
        <v>25.01463100545913</v>
      </c>
      <c r="AB96" s="23">
        <f>EXP(-LN(2)/2)*AB95+(1-EXP(-LN(2)/2))/(LN(2)/2)*V96*Y96*VLOOKUP('Données projet'!$B$9,Paramètres!$A$1:$I$88,3,0)*0.475*44/12</f>
        <v>4.1436409055812937E-4</v>
      </c>
      <c r="AC96" s="24">
        <f t="shared" si="57"/>
        <v>150.80210681282367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projet'!$B$10,Paramètres!$A$1:$I$88,3,0)*VLOOKUP('Données projet'!$B$10,Paramètres!$A$1:$I$88,5,0)</f>
        <v>-1.2414602679200471E-13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243.3456100842846</v>
      </c>
      <c r="AO96" s="62">
        <f t="shared" si="90"/>
        <v>301.6462497303628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60.232191979818587</v>
      </c>
      <c r="AV96" s="23">
        <f>EXP(-LN(2)/25)*AV95+(1-EXP(-LN(2)/25))/(LN(2)/25)*Calculateur!AQ96*Calculateur!AS96*VLOOKUP('Données projet'!$B$10,Paramètres!$A$1:$I$88,3,0)*0.475*44/12</f>
        <v>14.722463706297562</v>
      </c>
      <c r="AW96" s="23">
        <f>EXP(-LN(2)/2)*AW95+(1-EXP(-LN(2)/2))/(LN(2)/2)*AQ96*AT96*VLOOKUP('Données projet'!$B$10,Paramètres!$A$1:$I$88,3,0)*0.475*44/12</f>
        <v>1.8169566848505816E-4</v>
      </c>
      <c r="AX96" s="23">
        <f t="shared" si="60"/>
        <v>74.954837381784643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-2.8421709430404007E-14</v>
      </c>
      <c r="BE96" s="14">
        <f>BD96*VLOOKUP('Données projet'!$B$11,Paramètres!$A$1:$I$88,3,0)*VLOOKUP('Données projet'!$B$11,Paramètres!$A$1:$I$88,5,0)</f>
        <v>-2.2612312022829431E-14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219.20272956499281</v>
      </c>
      <c r="BJ96" s="62">
        <f t="shared" si="92"/>
        <v>244.37146912604081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44.224211117778161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44.224211117778161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65.635110869940036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4.4444444444444446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16.296296296296298</v>
      </c>
      <c r="H97" s="70">
        <f t="shared" si="56"/>
        <v>191.4814814814815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415.21844537846482</v>
      </c>
      <c r="T97" s="62">
        <f t="shared" si="88"/>
        <v>491.25626166862321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123.32045389090314</v>
      </c>
      <c r="AA97" s="23">
        <f>EXP(-LN(2)/25)*AA96+(1-EXP(-LN(2)/25))/(LN(2)/25)*Calculateur!V97*Calculateur!X97*VLOOKUP('Données projet'!$B$9,Paramètres!$A$1:$I$88,3,0)*0.475*44/12</f>
        <v>24.330604605152576</v>
      </c>
      <c r="AB97" s="23">
        <f>EXP(-LN(2)/2)*AB96+(1-EXP(-LN(2)/2))/(LN(2)/2)*V97*Y97*VLOOKUP('Données projet'!$B$9,Paramètres!$A$1:$I$88,3,0)*0.475*44/12</f>
        <v>2.9299965831384994E-4</v>
      </c>
      <c r="AC97" s="24">
        <f t="shared" si="57"/>
        <v>147.65135149571404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projet'!$B$10,Paramètres!$A$1:$I$88,3,0)*VLOOKUP('Données projet'!$B$10,Paramètres!$A$1:$I$88,5,0)</f>
        <v>-1.2414602679200471E-13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243.3456100842846</v>
      </c>
      <c r="AO97" s="62">
        <f t="shared" si="90"/>
        <v>301.6462497303628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59.051075433103875</v>
      </c>
      <c r="AV97" s="23">
        <f>EXP(-LN(2)/25)*AV96+(1-EXP(-LN(2)/25))/(LN(2)/25)*Calculateur!AQ97*Calculateur!AS97*VLOOKUP('Données projet'!$B$10,Paramètres!$A$1:$I$88,3,0)*0.475*44/12</f>
        <v>14.319877162028138</v>
      </c>
      <c r="AW97" s="23">
        <f>EXP(-LN(2)/2)*AW96+(1-EXP(-LN(2)/2))/(LN(2)/2)*AQ97*AT97*VLOOKUP('Données projet'!$B$10,Paramètres!$A$1:$I$88,3,0)*0.475*44/12</f>
        <v>1.284782392980075E-4</v>
      </c>
      <c r="AX97" s="23">
        <f t="shared" si="60"/>
        <v>73.371081073371315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-2.8421709430404007E-14</v>
      </c>
      <c r="BE97" s="14">
        <f>BD97*VLOOKUP('Données projet'!$B$11,Paramètres!$A$1:$I$88,3,0)*VLOOKUP('Données projet'!$B$11,Paramètres!$A$1:$I$88,5,0)</f>
        <v>-2.2612312022829431E-14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219.20272956499281</v>
      </c>
      <c r="BJ97" s="62">
        <f t="shared" si="92"/>
        <v>244.37146912604081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43.35700131186384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43.35700131186384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65.710831937916396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4.4444444444444446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16.296296296296298</v>
      </c>
      <c r="H98" s="70">
        <f t="shared" si="56"/>
        <v>191.4814814814815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415.21844537846482</v>
      </c>
      <c r="T98" s="62">
        <f t="shared" si="88"/>
        <v>491.25626166862321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120.90221500815224</v>
      </c>
      <c r="AA98" s="23">
        <f>EXP(-LN(2)/25)*AA97+(1-EXP(-LN(2)/25))/(LN(2)/25)*Calculateur!V98*Calculateur!X98*VLOOKUP('Données projet'!$B$9,Paramètres!$A$1:$I$88,3,0)*0.475*44/12</f>
        <v>23.665282942733793</v>
      </c>
      <c r="AB98" s="23">
        <f>EXP(-LN(2)/2)*AB97+(1-EXP(-LN(2)/2))/(LN(2)/2)*V98*Y98*VLOOKUP('Données projet'!$B$9,Paramètres!$A$1:$I$88,3,0)*0.475*44/12</f>
        <v>2.0718204527906469E-4</v>
      </c>
      <c r="AC98" s="24">
        <f t="shared" si="57"/>
        <v>144.56770513293131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projet'!$B$10,Paramètres!$A$1:$I$88,3,0)*VLOOKUP('Données projet'!$B$10,Paramètres!$A$1:$I$88,5,0)</f>
        <v>-1.2414602679200471E-13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243.3456100842846</v>
      </c>
      <c r="AO98" s="62">
        <f t="shared" si="90"/>
        <v>301.6462497303628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57.893119861460278</v>
      </c>
      <c r="AV98" s="23">
        <f>EXP(-LN(2)/25)*AV97+(1-EXP(-LN(2)/25))/(LN(2)/25)*Calculateur!AQ98*Calculateur!AS98*VLOOKUP('Données projet'!$B$10,Paramètres!$A$1:$I$88,3,0)*0.475*44/12</f>
        <v>13.928299367982868</v>
      </c>
      <c r="AW98" s="23">
        <f>EXP(-LN(2)/2)*AW97+(1-EXP(-LN(2)/2))/(LN(2)/2)*AQ98*AT98*VLOOKUP('Données projet'!$B$10,Paramètres!$A$1:$I$88,3,0)*0.475*44/12</f>
        <v>9.0847834242529081E-5</v>
      </c>
      <c r="AX98" s="23">
        <f t="shared" si="60"/>
        <v>71.821510077277395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-2.8421709430404007E-14</v>
      </c>
      <c r="BE98" s="14">
        <f>BD98*VLOOKUP('Données projet'!$B$11,Paramètres!$A$1:$I$88,3,0)*VLOOKUP('Données projet'!$B$11,Paramètres!$A$1:$I$88,5,0)</f>
        <v>-2.2612312022829431E-14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219.20272956499281</v>
      </c>
      <c r="BJ98" s="62">
        <f t="shared" si="92"/>
        <v>244.37146912604081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42.506796961297745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42.506796961297745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65.78523941465032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4.4444444444444446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16.296296296296298</v>
      </c>
      <c r="H99" s="70">
        <f t="shared" si="56"/>
        <v>191.4814814814815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415.21844537846482</v>
      </c>
      <c r="T99" s="62">
        <f t="shared" si="88"/>
        <v>491.25626166862321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118.531396314912</v>
      </c>
      <c r="AA99" s="23">
        <f>EXP(-LN(2)/25)*AA98+(1-EXP(-LN(2)/25))/(LN(2)/25)*Calculateur!V99*Calculateur!X99*VLOOKUP('Données projet'!$B$9,Paramètres!$A$1:$I$88,3,0)*0.475*44/12</f>
        <v>23.018154536161596</v>
      </c>
      <c r="AB99" s="23">
        <f>EXP(-LN(2)/2)*AB98+(1-EXP(-LN(2)/2))/(LN(2)/2)*V99*Y99*VLOOKUP('Données projet'!$B$9,Paramètres!$A$1:$I$88,3,0)*0.475*44/12</f>
        <v>1.4649982915692497E-4</v>
      </c>
      <c r="AC99" s="24">
        <f t="shared" si="57"/>
        <v>141.54969735090276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projet'!$B$10,Paramètres!$A$1:$I$88,3,0)*VLOOKUP('Données projet'!$B$10,Paramètres!$A$1:$I$88,5,0)</f>
        <v>-1.2414602679200471E-13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243.3456100842846</v>
      </c>
      <c r="AO99" s="62">
        <f t="shared" si="90"/>
        <v>301.6462497303628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56.757871092293456</v>
      </c>
      <c r="AV99" s="23">
        <f>EXP(-LN(2)/25)*AV98+(1-EXP(-LN(2)/25))/(LN(2)/25)*Calculateur!AQ99*Calculateur!AS99*VLOOKUP('Données projet'!$B$10,Paramètres!$A$1:$I$88,3,0)*0.475*44/12</f>
        <v>13.547429289307946</v>
      </c>
      <c r="AW99" s="23">
        <f>EXP(-LN(2)/2)*AW98+(1-EXP(-LN(2)/2))/(LN(2)/2)*AQ99*AT99*VLOOKUP('Données projet'!$B$10,Paramètres!$A$1:$I$88,3,0)*0.475*44/12</f>
        <v>6.4239119649003751E-5</v>
      </c>
      <c r="AX99" s="23">
        <f t="shared" si="60"/>
        <v>70.305364620721051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-2.8421709430404007E-14</v>
      </c>
      <c r="BE99" s="14">
        <f>BD99*VLOOKUP('Données projet'!$B$11,Paramètres!$A$1:$I$88,3,0)*VLOOKUP('Données projet'!$B$11,Paramètres!$A$1:$I$88,5,0)</f>
        <v>-2.2612312022829431E-14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219.20272956499281</v>
      </c>
      <c r="BJ99" s="62">
        <f t="shared" si="92"/>
        <v>244.37146912604081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41.673264599472802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41.673264599472802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65.85835608801311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4.4444444444444446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16.296296296296298</v>
      </c>
      <c r="H100" s="70">
        <f t="shared" si="56"/>
        <v>191.4814814814815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415.21844537846482</v>
      </c>
      <c r="T100" s="62">
        <f t="shared" si="88"/>
        <v>491.25626166862321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116.2070679301896</v>
      </c>
      <c r="AA100" s="23">
        <f>EXP(-LN(2)/25)*AA99+(1-EXP(-LN(2)/25))/(LN(2)/25)*Calculateur!V100*Calculateur!X100*VLOOKUP('Données projet'!$B$9,Paramètres!$A$1:$I$88,3,0)*0.475*44/12</f>
        <v>22.388721889898118</v>
      </c>
      <c r="AB100" s="23">
        <f>EXP(-LN(2)/2)*AB99+(1-EXP(-LN(2)/2))/(LN(2)/2)*V100*Y100*VLOOKUP('Données projet'!$B$9,Paramètres!$A$1:$I$88,3,0)*0.475*44/12</f>
        <v>1.0359102263953234E-4</v>
      </c>
      <c r="AC100" s="24">
        <f t="shared" si="57"/>
        <v>138.59589341111035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projet'!$B$10,Paramètres!$A$1:$I$88,3,0)*VLOOKUP('Données projet'!$B$10,Paramètres!$A$1:$I$88,5,0)</f>
        <v>-1.2414602679200471E-13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243.3456100842846</v>
      </c>
      <c r="AO100" s="62">
        <f t="shared" si="90"/>
        <v>301.6462497303628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55.64488385905662</v>
      </c>
      <c r="AV100" s="23">
        <f>EXP(-LN(2)/25)*AV99+(1-EXP(-LN(2)/25))/(LN(2)/25)*Calculateur!AQ100*Calculateur!AS100*VLOOKUP('Données projet'!$B$10,Paramètres!$A$1:$I$88,3,0)*0.475*44/12</f>
        <v>13.176974122963477</v>
      </c>
      <c r="AW100" s="23">
        <f>EXP(-LN(2)/2)*AW99+(1-EXP(-LN(2)/2))/(LN(2)/2)*AQ100*AT100*VLOOKUP('Données projet'!$B$10,Paramètres!$A$1:$I$88,3,0)*0.475*44/12</f>
        <v>4.5423917121264541E-5</v>
      </c>
      <c r="AX100" s="23">
        <f t="shared" si="60"/>
        <v>68.821903405937206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-2.8421709430404007E-14</v>
      </c>
      <c r="BE100" s="14">
        <f>BD100*VLOOKUP('Données projet'!$B$11,Paramètres!$A$1:$I$88,3,0)*VLOOKUP('Données projet'!$B$11,Paramètres!$A$1:$I$88,5,0)</f>
        <v>-2.2612312022829431E-14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219.20272956499281</v>
      </c>
      <c r="BJ100" s="62">
        <f t="shared" si="92"/>
        <v>244.37146912604081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40.856077298858708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40.856077298858708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65.930204350557446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4.4444444444444446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16.296296296296298</v>
      </c>
      <c r="H101" s="70">
        <f t="shared" si="56"/>
        <v>191.4814814814815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415.21844537846482</v>
      </c>
      <c r="T101" s="62">
        <f t="shared" si="88"/>
        <v>491.25626166862321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113.92831820739126</v>
      </c>
      <c r="AA101" s="23">
        <f>EXP(-LN(2)/25)*AA100+(1-EXP(-LN(2)/25))/(LN(2)/25)*Calculateur!V101*Calculateur!X101*VLOOKUP('Données projet'!$B$9,Paramètres!$A$1:$I$88,3,0)*0.475*44/12</f>
        <v>21.776501112447139</v>
      </c>
      <c r="AB101" s="23">
        <f>EXP(-LN(2)/2)*AB100+(1-EXP(-LN(2)/2))/(LN(2)/2)*V101*Y101*VLOOKUP('Données projet'!$B$9,Paramètres!$A$1:$I$88,3,0)*0.475*44/12</f>
        <v>7.3249914578462486E-5</v>
      </c>
      <c r="AC101" s="24">
        <f t="shared" si="57"/>
        <v>135.70489256975299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projet'!$B$10,Paramètres!$A$1:$I$88,3,0)*VLOOKUP('Données projet'!$B$10,Paramètres!$A$1:$I$88,5,0)</f>
        <v>-1.2414602679200471E-13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243.3456100842846</v>
      </c>
      <c r="AO101" s="62">
        <f t="shared" si="90"/>
        <v>301.6462497303628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54.553721626608372</v>
      </c>
      <c r="AV101" s="23">
        <f>EXP(-LN(2)/25)*AV100+(1-EXP(-LN(2)/25))/(LN(2)/25)*Calculateur!AQ101*Calculateur!AS101*VLOOKUP('Données projet'!$B$10,Paramètres!$A$1:$I$88,3,0)*0.475*44/12</f>
        <v>12.816649072624088</v>
      </c>
      <c r="AW101" s="23">
        <f>EXP(-LN(2)/2)*AW100+(1-EXP(-LN(2)/2))/(LN(2)/2)*AQ101*AT101*VLOOKUP('Données projet'!$B$10,Paramètres!$A$1:$I$88,3,0)*0.475*44/12</f>
        <v>3.2119559824501875E-5</v>
      </c>
      <c r="AX101" s="23">
        <f t="shared" si="60"/>
        <v>67.370402818792286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-2.8421709430404007E-14</v>
      </c>
      <c r="BE101" s="14">
        <f>BD101*VLOOKUP('Données projet'!$B$11,Paramètres!$A$1:$I$88,3,0)*VLOOKUP('Données projet'!$B$11,Paramètres!$A$1:$I$88,5,0)</f>
        <v>-2.2612312022829431E-14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219.20272956499281</v>
      </c>
      <c r="BJ101" s="62">
        <f t="shared" si="92"/>
        <v>244.37146912604081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40.054914542774618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40.054914542774618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66.000806206375273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4.4444444444444446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16.296296296296298</v>
      </c>
      <c r="H102" s="70">
        <f t="shared" si="56"/>
        <v>191.4814814814815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415.21844537846482</v>
      </c>
      <c r="T102" s="62">
        <f t="shared" si="88"/>
        <v>491.25626166862321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111.6942533767569</v>
      </c>
      <c r="AA102" s="23">
        <f>EXP(-LN(2)/25)*AA101+(1-EXP(-LN(2)/25))/(LN(2)/25)*Calculateur!V102*Calculateur!X102*VLOOKUP('Données projet'!$B$9,Paramètres!$A$1:$I$88,3,0)*0.475*44/12</f>
        <v>21.181021544350848</v>
      </c>
      <c r="AB102" s="23">
        <f>EXP(-LN(2)/2)*AB101+(1-EXP(-LN(2)/2))/(LN(2)/2)*V102*Y102*VLOOKUP('Données projet'!$B$9,Paramètres!$A$1:$I$88,3,0)*0.475*44/12</f>
        <v>5.1795511319766172E-5</v>
      </c>
      <c r="AC102" s="24">
        <f t="shared" si="57"/>
        <v>132.87532671661907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projet'!$B$10,Paramètres!$A$1:$I$88,3,0)*VLOOKUP('Données projet'!$B$10,Paramètres!$A$1:$I$88,5,0)</f>
        <v>-1.2414602679200471E-13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243.3456100842846</v>
      </c>
      <c r="AO102" s="62">
        <f t="shared" si="90"/>
        <v>301.6462497303628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53.483956419995188</v>
      </c>
      <c r="AV102" s="23">
        <f>EXP(-LN(2)/25)*AV101+(1-EXP(-LN(2)/25))/(LN(2)/25)*Calculateur!AQ102*Calculateur!AS102*VLOOKUP('Données projet'!$B$10,Paramètres!$A$1:$I$88,3,0)*0.475*44/12</f>
        <v>12.4661771297349</v>
      </c>
      <c r="AW102" s="23">
        <f>EXP(-LN(2)/2)*AW101+(1-EXP(-LN(2)/2))/(LN(2)/2)*AQ102*AT102*VLOOKUP('Données projet'!$B$10,Paramètres!$A$1:$I$88,3,0)*0.475*44/12</f>
        <v>2.271195856063227E-5</v>
      </c>
      <c r="AX102" s="23">
        <f t="shared" si="60"/>
        <v>65.950156261688647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-2.8421709430404007E-14</v>
      </c>
      <c r="BE102" s="14">
        <f>BD102*VLOOKUP('Données projet'!$B$11,Paramètres!$A$1:$I$88,3,0)*VLOOKUP('Données projet'!$B$11,Paramètres!$A$1:$I$88,5,0)</f>
        <v>-2.2612312022829431E-14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219.20272956499281</v>
      </c>
      <c r="BJ102" s="62">
        <f t="shared" si="92"/>
        <v>244.37146912604081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39.269462099676311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39.269462099676311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66.07018327783679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4.4444444444444446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16.296296296296298</v>
      </c>
      <c r="H103" s="70">
        <f t="shared" si="56"/>
        <v>191.4814814814815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415.21844537846482</v>
      </c>
      <c r="T103" s="62">
        <f t="shared" si="88"/>
        <v>491.25626166862321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109.5039971948063</v>
      </c>
      <c r="AA103" s="23">
        <f>EXP(-LN(2)/25)*AA102+(1-EXP(-LN(2)/25))/(LN(2)/25)*Calculateur!V103*Calculateur!X103*VLOOKUP('Données projet'!$B$9,Paramètres!$A$1:$I$88,3,0)*0.475*44/12</f>
        <v>20.601825396359061</v>
      </c>
      <c r="AB103" s="23">
        <f>EXP(-LN(2)/2)*AB102+(1-EXP(-LN(2)/2))/(LN(2)/2)*V103*Y103*VLOOKUP('Données projet'!$B$9,Paramètres!$A$1:$I$88,3,0)*0.475*44/12</f>
        <v>3.6624957289231243E-5</v>
      </c>
      <c r="AC103" s="24">
        <f t="shared" si="57"/>
        <v>130.10585921612264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projet'!$B$10,Paramètres!$A$1:$I$88,3,0)*VLOOKUP('Données projet'!$B$10,Paramètres!$A$1:$I$88,5,0)</f>
        <v>-1.2414602679200471E-13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243.3456100842846</v>
      </c>
      <c r="AO103" s="62">
        <f t="shared" si="90"/>
        <v>301.6462497303628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52.435168656591344</v>
      </c>
      <c r="AV103" s="23">
        <f>EXP(-LN(2)/25)*AV102+(1-EXP(-LN(2)/25))/(LN(2)/25)*Calculateur!AQ103*Calculateur!AS103*VLOOKUP('Données projet'!$B$10,Paramètres!$A$1:$I$88,3,0)*0.475*44/12</f>
        <v>12.125288860554535</v>
      </c>
      <c r="AW103" s="23">
        <f>EXP(-LN(2)/2)*AW102+(1-EXP(-LN(2)/2))/(LN(2)/2)*AQ103*AT103*VLOOKUP('Données projet'!$B$10,Paramètres!$A$1:$I$88,3,0)*0.475*44/12</f>
        <v>1.6059779912250938E-5</v>
      </c>
      <c r="AX103" s="23">
        <f t="shared" si="60"/>
        <v>64.560473576925787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-2.8421709430404007E-14</v>
      </c>
      <c r="BE103" s="14">
        <f>BD103*VLOOKUP('Données projet'!$B$11,Paramètres!$A$1:$I$88,3,0)*VLOOKUP('Données projet'!$B$11,Paramètres!$A$1:$I$88,5,0)</f>
        <v>-2.2612312022829431E-14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219.20272956499281</v>
      </c>
      <c r="BJ103" s="62">
        <f t="shared" si="92"/>
        <v>244.37146912604081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38.499411899908473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38.499411899908473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66.138356812212322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4.4444444444444446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16.296296296296298</v>
      </c>
      <c r="H104" s="70">
        <f t="shared" si="56"/>
        <v>191.4814814814815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415.21844537846482</v>
      </c>
      <c r="T104" s="62">
        <f t="shared" si="88"/>
        <v>491.25626166862321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107.35669060065939</v>
      </c>
      <c r="AA104" s="23">
        <f>EXP(-LN(2)/25)*AA103+(1-EXP(-LN(2)/25))/(LN(2)/25)*Calculateur!V104*Calculateur!X104*VLOOKUP('Données projet'!$B$9,Paramètres!$A$1:$I$88,3,0)*0.475*44/12</f>
        <v>20.03846739749271</v>
      </c>
      <c r="AB104" s="23">
        <f>EXP(-LN(2)/2)*AB103+(1-EXP(-LN(2)/2))/(LN(2)/2)*V104*Y104*VLOOKUP('Données projet'!$B$9,Paramètres!$A$1:$I$88,3,0)*0.475*44/12</f>
        <v>2.5897755659883086E-5</v>
      </c>
      <c r="AC104" s="24">
        <f t="shared" si="57"/>
        <v>127.39518389590776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projet'!$B$10,Paramètres!$A$1:$I$88,3,0)*VLOOKUP('Données projet'!$B$10,Paramètres!$A$1:$I$88,5,0)</f>
        <v>-1.2414602679200471E-13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243.3456100842846</v>
      </c>
      <c r="AO104" s="62">
        <f t="shared" si="90"/>
        <v>301.6462497303628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51.406946981530481</v>
      </c>
      <c r="AV104" s="23">
        <f>EXP(-LN(2)/25)*AV103+(1-EXP(-LN(2)/25))/(LN(2)/25)*Calculateur!AQ104*Calculateur!AS104*VLOOKUP('Données projet'!$B$10,Paramètres!$A$1:$I$88,3,0)*0.475*44/12</f>
        <v>11.793722199021444</v>
      </c>
      <c r="AW104" s="23">
        <f>EXP(-LN(2)/2)*AW103+(1-EXP(-LN(2)/2))/(LN(2)/2)*AQ104*AT104*VLOOKUP('Données projet'!$B$10,Paramètres!$A$1:$I$88,3,0)*0.475*44/12</f>
        <v>1.1355979280316135E-5</v>
      </c>
      <c r="AX104" s="23">
        <f t="shared" si="60"/>
        <v>63.200680536531209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-2.8421709430404007E-14</v>
      </c>
      <c r="BE104" s="14">
        <f>BD104*VLOOKUP('Données projet'!$B$11,Paramètres!$A$1:$I$88,3,0)*VLOOKUP('Données projet'!$B$11,Paramètres!$A$1:$I$88,5,0)</f>
        <v>-2.2612312022829431E-14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219.20272956499281</v>
      </c>
      <c r="BJ104" s="62">
        <f t="shared" si="92"/>
        <v>244.37146912604081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37.744461914873838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37.744461914873838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66.205347688179643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4.4444444444444446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16.296296296296298</v>
      </c>
      <c r="H105" s="70">
        <f t="shared" si="56"/>
        <v>191.4814814814815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415.21844537846482</v>
      </c>
      <c r="T105" s="62">
        <f t="shared" si="88"/>
        <v>491.25626166862321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105.25149137909601</v>
      </c>
      <c r="AA105" s="23">
        <f>EXP(-LN(2)/25)*AA104+(1-EXP(-LN(2)/25))/(LN(2)/25)*Calculateur!V105*Calculateur!X105*VLOOKUP('Données projet'!$B$9,Paramètres!$A$1:$I$88,3,0)*0.475*44/12</f>
        <v>19.49051445273107</v>
      </c>
      <c r="AB105" s="23">
        <f>EXP(-LN(2)/2)*AB104+(1-EXP(-LN(2)/2))/(LN(2)/2)*V105*Y105*VLOOKUP('Données projet'!$B$9,Paramètres!$A$1:$I$88,3,0)*0.475*44/12</f>
        <v>1.8312478644615621E-5</v>
      </c>
      <c r="AC105" s="24">
        <f t="shared" si="57"/>
        <v>124.74202414430572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projet'!$B$10,Paramètres!$A$1:$I$88,3,0)*VLOOKUP('Données projet'!$B$10,Paramètres!$A$1:$I$88,5,0)</f>
        <v>-1.2414602679200471E-13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243.3456100842846</v>
      </c>
      <c r="AO105" s="62">
        <f t="shared" si="90"/>
        <v>301.6462497303628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50.398888106364261</v>
      </c>
      <c r="AV105" s="23">
        <f>EXP(-LN(2)/25)*AV104+(1-EXP(-LN(2)/25))/(LN(2)/25)*Calculateur!AQ105*Calculateur!AS105*VLOOKUP('Données projet'!$B$10,Paramètres!$A$1:$I$88,3,0)*0.475*44/12</f>
        <v>11.471222245284308</v>
      </c>
      <c r="AW105" s="23">
        <f>EXP(-LN(2)/2)*AW104+(1-EXP(-LN(2)/2))/(LN(2)/2)*AQ105*AT105*VLOOKUP('Données projet'!$B$10,Paramètres!$A$1:$I$88,3,0)*0.475*44/12</f>
        <v>8.0298899561254688E-6</v>
      </c>
      <c r="AX105" s="23">
        <f t="shared" si="60"/>
        <v>61.870118381538525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-2.8421709430404007E-14</v>
      </c>
      <c r="BE105" s="14">
        <f>BD105*VLOOKUP('Données projet'!$B$11,Paramètres!$A$1:$I$88,3,0)*VLOOKUP('Données projet'!$B$11,Paramètres!$A$1:$I$88,5,0)</f>
        <v>-2.2612312022829431E-14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219.20272956499281</v>
      </c>
      <c r="BJ105" s="62">
        <f t="shared" si="92"/>
        <v>244.37146912604081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37.004316038571709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37.004316038571709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66.27117642221809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4.4444444444444446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16.296296296296298</v>
      </c>
      <c r="H106" s="70">
        <f t="shared" si="56"/>
        <v>191.4814814814815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415.21844537846482</v>
      </c>
      <c r="T106" s="62">
        <f t="shared" si="88"/>
        <v>491.25626166862321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103.18757383022275</v>
      </c>
      <c r="AA106" s="23">
        <f>EXP(-LN(2)/25)*AA105+(1-EXP(-LN(2)/25))/(LN(2)/25)*Calculateur!V106*Calculateur!X106*VLOOKUP('Données projet'!$B$9,Paramètres!$A$1:$I$88,3,0)*0.475*44/12</f>
        <v>18.95754531005953</v>
      </c>
      <c r="AB106" s="23">
        <f>EXP(-LN(2)/2)*AB105+(1-EXP(-LN(2)/2))/(LN(2)/2)*V106*Y106*VLOOKUP('Données projet'!$B$9,Paramètres!$A$1:$I$88,3,0)*0.475*44/12</f>
        <v>1.2948877829941543E-5</v>
      </c>
      <c r="AC106" s="24">
        <f t="shared" si="57"/>
        <v>122.1451320891601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projet'!$B$10,Paramètres!$A$1:$I$88,3,0)*VLOOKUP('Données projet'!$B$10,Paramètres!$A$1:$I$88,5,0)</f>
        <v>-1.2414602679200471E-13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243.3456100842846</v>
      </c>
      <c r="AO106" s="62">
        <f t="shared" si="90"/>
        <v>301.6462497303628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49.410596650884848</v>
      </c>
      <c r="AV106" s="23">
        <f>EXP(-LN(2)/25)*AV105+(1-EXP(-LN(2)/25))/(LN(2)/25)*Calculateur!AQ106*Calculateur!AS106*VLOOKUP('Données projet'!$B$10,Paramètres!$A$1:$I$88,3,0)*0.475*44/12</f>
        <v>11.157541069741647</v>
      </c>
      <c r="AW106" s="23">
        <f>EXP(-LN(2)/2)*AW105+(1-EXP(-LN(2)/2))/(LN(2)/2)*AQ106*AT106*VLOOKUP('Données projet'!$B$10,Paramètres!$A$1:$I$88,3,0)*0.475*44/12</f>
        <v>5.6779896401580676E-6</v>
      </c>
      <c r="AX106" s="23">
        <f t="shared" si="60"/>
        <v>60.568143398616137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-2.8421709430404007E-14</v>
      </c>
      <c r="BE106" s="14">
        <f>BD106*VLOOKUP('Données projet'!$B$11,Paramètres!$A$1:$I$88,3,0)*VLOOKUP('Données projet'!$B$11,Paramètres!$A$1:$I$88,5,0)</f>
        <v>-2.2612312022829431E-14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219.20272956499281</v>
      </c>
      <c r="BJ106" s="62">
        <f t="shared" si="92"/>
        <v>244.37146912604081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36.278683971459458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36.278683971459458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66.335863174891969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4.4444444444444446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16.296296296296298</v>
      </c>
      <c r="H107" s="70">
        <f t="shared" si="56"/>
        <v>191.4814814814815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415.21844537846482</v>
      </c>
      <c r="T107" s="62">
        <f t="shared" si="88"/>
        <v>491.25626166862321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101.16412844561748</v>
      </c>
      <c r="AA107" s="23">
        <f>EXP(-LN(2)/25)*AA106+(1-EXP(-LN(2)/25))/(LN(2)/25)*Calculateur!V107*Calculateur!X107*VLOOKUP('Données projet'!$B$9,Paramètres!$A$1:$I$88,3,0)*0.475*44/12</f>
        <v>18.439150236621973</v>
      </c>
      <c r="AB107" s="23">
        <f>EXP(-LN(2)/2)*AB106+(1-EXP(-LN(2)/2))/(LN(2)/2)*V107*Y107*VLOOKUP('Données projet'!$B$9,Paramètres!$A$1:$I$88,3,0)*0.475*44/12</f>
        <v>9.1562393223078107E-6</v>
      </c>
      <c r="AC107" s="24">
        <f t="shared" si="57"/>
        <v>119.60328783847878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projet'!$B$10,Paramètres!$A$1:$I$88,3,0)*VLOOKUP('Données projet'!$B$10,Paramètres!$A$1:$I$88,5,0)</f>
        <v>-1.2414602679200471E-13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243.3456100842846</v>
      </c>
      <c r="AO107" s="62">
        <f t="shared" si="90"/>
        <v>301.6462497303628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48.441684988049126</v>
      </c>
      <c r="AV107" s="23">
        <f>EXP(-LN(2)/25)*AV106+(1-EXP(-LN(2)/25))/(LN(2)/25)*Calculateur!AQ107*Calculateur!AS107*VLOOKUP('Données projet'!$B$10,Paramètres!$A$1:$I$88,3,0)*0.475*44/12</f>
        <v>10.852437522439978</v>
      </c>
      <c r="AW107" s="23">
        <f>EXP(-LN(2)/2)*AW106+(1-EXP(-LN(2)/2))/(LN(2)/2)*AQ107*AT107*VLOOKUP('Données projet'!$B$10,Paramètres!$A$1:$I$88,3,0)*0.475*44/12</f>
        <v>4.0149449780627344E-6</v>
      </c>
      <c r="AX107" s="23">
        <f t="shared" si="60"/>
        <v>59.294126525434081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-2.8421709430404007E-14</v>
      </c>
      <c r="BE107" s="14">
        <f>BD107*VLOOKUP('Données projet'!$B$11,Paramètres!$A$1:$I$88,3,0)*VLOOKUP('Données projet'!$B$11,Paramètres!$A$1:$I$88,5,0)</f>
        <v>-2.2612312022829431E-14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219.20272956499281</v>
      </c>
      <c r="BJ107" s="62">
        <f t="shared" si="92"/>
        <v>244.37146912604081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35.567281106591423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35.567281106591423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66.399427757024867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4.4444444444444446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16.296296296296298</v>
      </c>
      <c r="H108" s="70">
        <f t="shared" si="56"/>
        <v>191.4814814814815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415.21844537846482</v>
      </c>
      <c r="T108" s="62">
        <f t="shared" si="88"/>
        <v>491.25626166862321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99.180361590824504</v>
      </c>
      <c r="AA108" s="23">
        <f>EXP(-LN(2)/25)*AA107+(1-EXP(-LN(2)/25))/(LN(2)/25)*Calculateur!V108*Calculateur!X108*VLOOKUP('Données projet'!$B$9,Paramètres!$A$1:$I$88,3,0)*0.475*44/12</f>
        <v>17.934930703728778</v>
      </c>
      <c r="AB108" s="23">
        <f>EXP(-LN(2)/2)*AB107+(1-EXP(-LN(2)/2))/(LN(2)/2)*V108*Y108*VLOOKUP('Données projet'!$B$9,Paramètres!$A$1:$I$88,3,0)*0.475*44/12</f>
        <v>6.4744389149707715E-6</v>
      </c>
      <c r="AC108" s="24">
        <f t="shared" si="57"/>
        <v>117.1152987689922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projet'!$B$10,Paramètres!$A$1:$I$88,3,0)*VLOOKUP('Données projet'!$B$10,Paramètres!$A$1:$I$88,5,0)</f>
        <v>-1.2414602679200471E-13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243.3456100842846</v>
      </c>
      <c r="AO108" s="62">
        <f t="shared" si="90"/>
        <v>301.6462497303628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47.491773091943848</v>
      </c>
      <c r="AV108" s="23">
        <f>EXP(-LN(2)/25)*AV107+(1-EXP(-LN(2)/25))/(LN(2)/25)*Calculateur!AQ108*Calculateur!AS108*VLOOKUP('Données projet'!$B$10,Paramètres!$A$1:$I$88,3,0)*0.475*44/12</f>
        <v>10.55567704768397</v>
      </c>
      <c r="AW108" s="23">
        <f>EXP(-LN(2)/2)*AW107+(1-EXP(-LN(2)/2))/(LN(2)/2)*AQ108*AT108*VLOOKUP('Données projet'!$B$10,Paramètres!$A$1:$I$88,3,0)*0.475*44/12</f>
        <v>2.8389948200790338E-6</v>
      </c>
      <c r="AX108" s="23">
        <f t="shared" si="60"/>
        <v>58.047452978622637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-2.8421709430404007E-14</v>
      </c>
      <c r="BE108" s="14">
        <f>BD108*VLOOKUP('Données projet'!$B$11,Paramètres!$A$1:$I$88,3,0)*VLOOKUP('Données projet'!$B$11,Paramètres!$A$1:$I$88,5,0)</f>
        <v>-2.2612312022829431E-14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219.20272956499281</v>
      </c>
      <c r="BJ108" s="62">
        <f t="shared" si="92"/>
        <v>244.37146912604081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34.869828417990547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34.869828417990547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66.46188963576688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4.4444444444444446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16.296296296296298</v>
      </c>
      <c r="H109" s="70">
        <f t="shared" si="56"/>
        <v>191.4814814814815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415.21844537846482</v>
      </c>
      <c r="T109" s="62">
        <f t="shared" si="88"/>
        <v>491.25626166862321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97.23549519407571</v>
      </c>
      <c r="AA109" s="23">
        <f>EXP(-LN(2)/25)*AA108+(1-EXP(-LN(2)/25))/(LN(2)/25)*Calculateur!V109*Calculateur!X109*VLOOKUP('Données projet'!$B$9,Paramètres!$A$1:$I$88,3,0)*0.475*44/12</f>
        <v>17.444499080478298</v>
      </c>
      <c r="AB109" s="23">
        <f>EXP(-LN(2)/2)*AB108+(1-EXP(-LN(2)/2))/(LN(2)/2)*V109*Y109*VLOOKUP('Données projet'!$B$9,Paramètres!$A$1:$I$88,3,0)*0.475*44/12</f>
        <v>4.5781196611539054E-6</v>
      </c>
      <c r="AC109" s="24">
        <f t="shared" si="57"/>
        <v>114.67999885267366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projet'!$B$10,Paramètres!$A$1:$I$88,3,0)*VLOOKUP('Données projet'!$B$10,Paramètres!$A$1:$I$88,5,0)</f>
        <v>-1.2414602679200471E-13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243.3456100842846</v>
      </c>
      <c r="AO109" s="62">
        <f t="shared" si="90"/>
        <v>301.6462497303628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46.560488388732146</v>
      </c>
      <c r="AV109" s="23">
        <f>EXP(-LN(2)/25)*AV108+(1-EXP(-LN(2)/25))/(LN(2)/25)*Calculateur!AQ109*Calculateur!AS109*VLOOKUP('Données projet'!$B$10,Paramètres!$A$1:$I$88,3,0)*0.475*44/12</f>
        <v>10.267031503716121</v>
      </c>
      <c r="AW109" s="23">
        <f>EXP(-LN(2)/2)*AW108+(1-EXP(-LN(2)/2))/(LN(2)/2)*AQ109*AT109*VLOOKUP('Données projet'!$B$10,Paramètres!$A$1:$I$88,3,0)*0.475*44/12</f>
        <v>2.0074724890313672E-6</v>
      </c>
      <c r="AX109" s="23">
        <f t="shared" si="60"/>
        <v>56.827521899920754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-2.8421709430404007E-14</v>
      </c>
      <c r="BE109" s="14">
        <f>BD109*VLOOKUP('Données projet'!$B$11,Paramètres!$A$1:$I$88,3,0)*VLOOKUP('Données projet'!$B$11,Paramètres!$A$1:$I$88,5,0)</f>
        <v>-2.2612312022829431E-14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219.20272956499281</v>
      </c>
      <c r="BJ109" s="62">
        <f t="shared" si="92"/>
        <v>244.37146912604081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34.186052351209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34.186052351209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66.523267940556551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4.4444444444444446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16.296296296296298</v>
      </c>
      <c r="H110" s="70">
        <f t="shared" si="56"/>
        <v>191.4814814814815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415.21844537846482</v>
      </c>
      <c r="T110" s="62">
        <f t="shared" si="88"/>
        <v>491.25626166862321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95.328766441115789</v>
      </c>
      <c r="AA110" s="23">
        <f>EXP(-LN(2)/25)*AA109+(1-EXP(-LN(2)/25))/(LN(2)/25)*Calculateur!V110*Calculateur!X110*VLOOKUP('Données projet'!$B$9,Paramètres!$A$1:$I$88,3,0)*0.475*44/12</f>
        <v>16.967478335756283</v>
      </c>
      <c r="AB110" s="23">
        <f>EXP(-LN(2)/2)*AB109+(1-EXP(-LN(2)/2))/(LN(2)/2)*V110*Y110*VLOOKUP('Données projet'!$B$9,Paramètres!$A$1:$I$88,3,0)*0.475*44/12</f>
        <v>3.2372194574853857E-6</v>
      </c>
      <c r="AC110" s="24">
        <f t="shared" si="57"/>
        <v>112.29624801409153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projet'!$B$10,Paramètres!$A$1:$I$88,3,0)*VLOOKUP('Données projet'!$B$10,Paramètres!$A$1:$I$88,5,0)</f>
        <v>-1.2414602679200471E-13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243.3456100842846</v>
      </c>
      <c r="AO110" s="62">
        <f t="shared" si="90"/>
        <v>301.6462497303628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45.64746561052285</v>
      </c>
      <c r="AV110" s="23">
        <f>EXP(-LN(2)/25)*AV109+(1-EXP(-LN(2)/25))/(LN(2)/25)*Calculateur!AQ110*Calculateur!AS110*VLOOKUP('Données projet'!$B$10,Paramètres!$A$1:$I$88,3,0)*0.475*44/12</f>
        <v>9.9862789873272817</v>
      </c>
      <c r="AW110" s="23">
        <f>EXP(-LN(2)/2)*AW109+(1-EXP(-LN(2)/2))/(LN(2)/2)*AQ110*AT110*VLOOKUP('Données projet'!$B$10,Paramètres!$A$1:$I$88,3,0)*0.475*44/12</f>
        <v>1.4194974100395169E-6</v>
      </c>
      <c r="AX110" s="23">
        <f t="shared" si="60"/>
        <v>55.633746017347541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-2.8421709430404007E-14</v>
      </c>
      <c r="BE110" s="14">
        <f>BD110*VLOOKUP('Données projet'!$B$11,Paramètres!$A$1:$I$88,3,0)*VLOOKUP('Données projet'!$B$11,Paramètres!$A$1:$I$88,5,0)</f>
        <v>-2.2612312022829431E-14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219.20272956499281</v>
      </c>
      <c r="BJ110" s="62">
        <f t="shared" si="92"/>
        <v>244.37146912604081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33.515684716034819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33.515684716034819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66.58358146897946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4.4444444444444446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16.296296296296298</v>
      </c>
      <c r="H111" s="70">
        <f t="shared" si="56"/>
        <v>191.4814814814815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415.21844537846482</v>
      </c>
      <c r="T111" s="62">
        <f t="shared" si="88"/>
        <v>491.25626166862321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93.459427476011712</v>
      </c>
      <c r="AA111" s="23">
        <f>EXP(-LN(2)/25)*AA110+(1-EXP(-LN(2)/25))/(LN(2)/25)*Calculateur!V111*Calculateur!X111*VLOOKUP('Données projet'!$B$9,Paramètres!$A$1:$I$88,3,0)*0.475*44/12</f>
        <v>16.503501748384121</v>
      </c>
      <c r="AB111" s="23">
        <f>EXP(-LN(2)/2)*AB110+(1-EXP(-LN(2)/2))/(LN(2)/2)*V111*Y111*VLOOKUP('Données projet'!$B$9,Paramètres!$A$1:$I$88,3,0)*0.475*44/12</f>
        <v>2.2890598305769527E-6</v>
      </c>
      <c r="AC111" s="24">
        <f t="shared" si="57"/>
        <v>109.96293151345567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projet'!$B$10,Paramètres!$A$1:$I$88,3,0)*VLOOKUP('Données projet'!$B$10,Paramètres!$A$1:$I$88,5,0)</f>
        <v>-1.2414602679200471E-13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243.3456100842846</v>
      </c>
      <c r="AO111" s="62">
        <f t="shared" si="90"/>
        <v>301.6462497303628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44.752346652105331</v>
      </c>
      <c r="AV111" s="23">
        <f>EXP(-LN(2)/25)*AV110+(1-EXP(-LN(2)/25))/(LN(2)/25)*Calculateur!AQ111*Calculateur!AS111*VLOOKUP('Données projet'!$B$10,Paramètres!$A$1:$I$88,3,0)*0.475*44/12</f>
        <v>9.7132036632632293</v>
      </c>
      <c r="AW111" s="23">
        <f>EXP(-LN(2)/2)*AW110+(1-EXP(-LN(2)/2))/(LN(2)/2)*AQ111*AT111*VLOOKUP('Données projet'!$B$10,Paramètres!$A$1:$I$88,3,0)*0.475*44/12</f>
        <v>1.0037362445156836E-6</v>
      </c>
      <c r="AX111" s="23">
        <f t="shared" si="60"/>
        <v>54.465551319104804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-2.8421709430404007E-14</v>
      </c>
      <c r="BE111" s="14">
        <f>BD111*VLOOKUP('Données projet'!$B$11,Paramètres!$A$1:$I$88,3,0)*VLOOKUP('Données projet'!$B$11,Paramètres!$A$1:$I$88,5,0)</f>
        <v>-2.2612312022829431E-14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219.20272956499281</v>
      </c>
      <c r="BJ111" s="62">
        <f t="shared" si="92"/>
        <v>244.37146912604081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32.858462581302518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32.858462581302518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66.642848692525092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4.4444444444444446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16.296296296296298</v>
      </c>
      <c r="H112" s="70">
        <f t="shared" si="56"/>
        <v>191.4814814814815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415.21844537846482</v>
      </c>
      <c r="T112" s="62">
        <f t="shared" si="88"/>
        <v>491.25626166862321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91.626745107829137</v>
      </c>
      <c r="AA112" s="23">
        <f>EXP(-LN(2)/25)*AA111+(1-EXP(-LN(2)/25))/(LN(2)/25)*Calculateur!V112*Calculateur!X112*VLOOKUP('Données projet'!$B$9,Paramètres!$A$1:$I$88,3,0)*0.475*44/12</f>
        <v>16.052212625193118</v>
      </c>
      <c r="AB112" s="23">
        <f>EXP(-LN(2)/2)*AB111+(1-EXP(-LN(2)/2))/(LN(2)/2)*V112*Y112*VLOOKUP('Données projet'!$B$9,Paramètres!$A$1:$I$88,3,0)*0.475*44/12</f>
        <v>1.6186097287426929E-6</v>
      </c>
      <c r="AC112" s="24">
        <f t="shared" si="57"/>
        <v>107.67895935163199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projet'!$B$10,Paramètres!$A$1:$I$88,3,0)*VLOOKUP('Données projet'!$B$10,Paramètres!$A$1:$I$88,5,0)</f>
        <v>-1.2414602679200471E-13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243.3456100842846</v>
      </c>
      <c r="AO112" s="62">
        <f t="shared" si="90"/>
        <v>301.6462497303628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43.874780430493722</v>
      </c>
      <c r="AV112" s="23">
        <f>EXP(-LN(2)/25)*AV111+(1-EXP(-LN(2)/25))/(LN(2)/25)*Calculateur!AQ112*Calculateur!AS112*VLOOKUP('Données projet'!$B$10,Paramètres!$A$1:$I$88,3,0)*0.475*44/12</f>
        <v>9.4475955982961146</v>
      </c>
      <c r="AW112" s="23">
        <f>EXP(-LN(2)/2)*AW111+(1-EXP(-LN(2)/2))/(LN(2)/2)*AQ112*AT112*VLOOKUP('Données projet'!$B$10,Paramètres!$A$1:$I$88,3,0)*0.475*44/12</f>
        <v>7.0974870501975845E-7</v>
      </c>
      <c r="AX112" s="23">
        <f t="shared" si="60"/>
        <v>53.322376738538537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-2.8421709430404007E-14</v>
      </c>
      <c r="BE112" s="14">
        <f>BD112*VLOOKUP('Données projet'!$B$11,Paramètres!$A$1:$I$88,3,0)*VLOOKUP('Données projet'!$B$11,Paramètres!$A$1:$I$88,5,0)</f>
        <v>-2.2612312022829431E-14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219.20272956499281</v>
      </c>
      <c r="BJ112" s="62">
        <f t="shared" si="92"/>
        <v>244.37146912604081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32.214128171766397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32.214128171766397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66.701087762243858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4.4444444444444446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16.296296296296298</v>
      </c>
      <c r="H113" s="70">
        <f t="shared" si="56"/>
        <v>191.4814814814815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415.21844537846482</v>
      </c>
      <c r="T113" s="62">
        <f t="shared" si="88"/>
        <v>491.25626166862321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89.830000523060761</v>
      </c>
      <c r="AA113" s="23">
        <f>EXP(-LN(2)/25)*AA112+(1-EXP(-LN(2)/25))/(LN(2)/25)*Calculateur!V113*Calculateur!X113*VLOOKUP('Données projet'!$B$9,Paramètres!$A$1:$I$88,3,0)*0.475*44/12</f>
        <v>15.613264026808038</v>
      </c>
      <c r="AB113" s="23">
        <f>EXP(-LN(2)/2)*AB112+(1-EXP(-LN(2)/2))/(LN(2)/2)*V113*Y113*VLOOKUP('Données projet'!$B$9,Paramètres!$A$1:$I$88,3,0)*0.475*44/12</f>
        <v>1.1445299152884763E-6</v>
      </c>
      <c r="AC113" s="24">
        <f t="shared" si="57"/>
        <v>105.44326569439872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projet'!$B$10,Paramètres!$A$1:$I$88,3,0)*VLOOKUP('Données projet'!$B$10,Paramètres!$A$1:$I$88,5,0)</f>
        <v>-1.2414602679200471E-13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243.3456100842846</v>
      </c>
      <c r="AO113" s="62">
        <f t="shared" si="90"/>
        <v>301.6462497303628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43.014422747225375</v>
      </c>
      <c r="AV113" s="23">
        <f>EXP(-LN(2)/25)*AV112+(1-EXP(-LN(2)/25))/(LN(2)/25)*Calculateur!AQ113*Calculateur!AS113*VLOOKUP('Données projet'!$B$10,Paramètres!$A$1:$I$88,3,0)*0.475*44/12</f>
        <v>9.1892505998332474</v>
      </c>
      <c r="AW113" s="23">
        <f>EXP(-LN(2)/2)*AW112+(1-EXP(-LN(2)/2))/(LN(2)/2)*AQ113*AT113*VLOOKUP('Données projet'!$B$10,Paramètres!$A$1:$I$88,3,0)*0.475*44/12</f>
        <v>5.018681222578418E-7</v>
      </c>
      <c r="AX113" s="23">
        <f t="shared" si="60"/>
        <v>52.203673848926748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-2.8421709430404007E-14</v>
      </c>
      <c r="BE113" s="14">
        <f>BD113*VLOOKUP('Données projet'!$B$11,Paramètres!$A$1:$I$88,3,0)*VLOOKUP('Données projet'!$B$11,Paramètres!$A$1:$I$88,5,0)</f>
        <v>-2.2612312022829431E-14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219.20272956499281</v>
      </c>
      <c r="BJ113" s="62">
        <f t="shared" si="92"/>
        <v>244.37146912604081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31.582428766996099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31.582428766996099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66.75831651430606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4.4444444444444446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16.296296296296298</v>
      </c>
      <c r="H114" s="70">
        <f t="shared" si="56"/>
        <v>191.4814814814815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415.21844537846482</v>
      </c>
      <c r="T114" s="62">
        <f t="shared" si="88"/>
        <v>491.25626166862321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88.068489003693713</v>
      </c>
      <c r="AA114" s="23">
        <f>EXP(-LN(2)/25)*AA113+(1-EXP(-LN(2)/25))/(LN(2)/25)*Calculateur!V114*Calculateur!X114*VLOOKUP('Données projet'!$B$9,Paramètres!$A$1:$I$88,3,0)*0.475*44/12</f>
        <v>15.186318500929101</v>
      </c>
      <c r="AB114" s="23">
        <f>EXP(-LN(2)/2)*AB113+(1-EXP(-LN(2)/2))/(LN(2)/2)*V114*Y114*VLOOKUP('Données projet'!$B$9,Paramètres!$A$1:$I$88,3,0)*0.475*44/12</f>
        <v>8.0930486437134643E-7</v>
      </c>
      <c r="AC114" s="24">
        <f t="shared" si="57"/>
        <v>103.25480831392768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projet'!$B$10,Paramètres!$A$1:$I$88,3,0)*VLOOKUP('Données projet'!$B$10,Paramètres!$A$1:$I$88,5,0)</f>
        <v>-1.2414602679200471E-13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243.3456100842846</v>
      </c>
      <c r="AO114" s="62">
        <f t="shared" si="90"/>
        <v>301.6462497303628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42.170936153359548</v>
      </c>
      <c r="AV114" s="23">
        <f>EXP(-LN(2)/25)*AV113+(1-EXP(-LN(2)/25))/(LN(2)/25)*Calculateur!AQ114*Calculateur!AS114*VLOOKUP('Données projet'!$B$10,Paramètres!$A$1:$I$88,3,0)*0.475*44/12</f>
        <v>8.9379700589391202</v>
      </c>
      <c r="AW114" s="23">
        <f>EXP(-LN(2)/2)*AW113+(1-EXP(-LN(2)/2))/(LN(2)/2)*AQ114*AT114*VLOOKUP('Données projet'!$B$10,Paramètres!$A$1:$I$88,3,0)*0.475*44/12</f>
        <v>3.5487435250987922E-7</v>
      </c>
      <c r="AX114" s="23">
        <f t="shared" si="60"/>
        <v>51.108906567173022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-2.8421709430404007E-14</v>
      </c>
      <c r="BE114" s="14">
        <f>BD114*VLOOKUP('Données projet'!$B$11,Paramètres!$A$1:$I$88,3,0)*VLOOKUP('Données projet'!$B$11,Paramètres!$A$1:$I$88,5,0)</f>
        <v>-2.2612312022829431E-14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219.20272956499281</v>
      </c>
      <c r="BJ114" s="62">
        <f t="shared" si="92"/>
        <v>244.37146912604081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30.963116602254754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30.963116602254754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66.814552475464296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4.4444444444444446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16.296296296296298</v>
      </c>
      <c r="H115" s="70">
        <f t="shared" si="56"/>
        <v>191.4814814814815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415.21844537846482</v>
      </c>
      <c r="T115" s="62">
        <f t="shared" si="88"/>
        <v>491.25626166862321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86.341519650805509</v>
      </c>
      <c r="AA115" s="23">
        <f>EXP(-LN(2)/25)*AA114+(1-EXP(-LN(2)/25))/(LN(2)/25)*Calculateur!V115*Calculateur!X115*VLOOKUP('Données projet'!$B$9,Paramètres!$A$1:$I$88,3,0)*0.475*44/12</f>
        <v>14.771047822907413</v>
      </c>
      <c r="AB115" s="23">
        <f>EXP(-LN(2)/2)*AB114+(1-EXP(-LN(2)/2))/(LN(2)/2)*V115*Y115*VLOOKUP('Données projet'!$B$9,Paramètres!$A$1:$I$88,3,0)*0.475*44/12</f>
        <v>5.7226495764423817E-7</v>
      </c>
      <c r="AC115" s="24">
        <f t="shared" si="57"/>
        <v>101.11256804597787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projet'!$B$10,Paramètres!$A$1:$I$88,3,0)*VLOOKUP('Données projet'!$B$10,Paramètres!$A$1:$I$88,5,0)</f>
        <v>-1.2414602679200471E-13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243.3456100842846</v>
      </c>
      <c r="AO115" s="62">
        <f t="shared" si="90"/>
        <v>301.6462497303628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41.343989817123408</v>
      </c>
      <c r="AV115" s="23">
        <f>EXP(-LN(2)/25)*AV114+(1-EXP(-LN(2)/25))/(LN(2)/25)*Calculateur!AQ115*Calculateur!AS115*VLOOKUP('Données projet'!$B$10,Paramètres!$A$1:$I$88,3,0)*0.475*44/12</f>
        <v>8.6935607976500133</v>
      </c>
      <c r="AW115" s="23">
        <f>EXP(-LN(2)/2)*AW114+(1-EXP(-LN(2)/2))/(LN(2)/2)*AQ115*AT115*VLOOKUP('Données projet'!$B$10,Paramètres!$A$1:$I$88,3,0)*0.475*44/12</f>
        <v>2.509340611289209E-7</v>
      </c>
      <c r="AX115" s="23">
        <f t="shared" si="60"/>
        <v>50.037550865707487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-2.8421709430404007E-14</v>
      </c>
      <c r="BE115" s="14">
        <f>BD115*VLOOKUP('Données projet'!$B$11,Paramètres!$A$1:$I$88,3,0)*VLOOKUP('Données projet'!$B$11,Paramètres!$A$1:$I$88,5,0)</f>
        <v>-2.2612312022829431E-14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219.20272956499281</v>
      </c>
      <c r="BJ115" s="62">
        <f t="shared" si="92"/>
        <v>244.37146912604081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30.355948771320865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30.355948771320865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66.869812868421221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4.4444444444444446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16.296296296296298</v>
      </c>
      <c r="H116" s="70">
        <f t="shared" si="56"/>
        <v>191.4814814814815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415.21844537846482</v>
      </c>
      <c r="T116" s="62">
        <f t="shared" si="88"/>
        <v>491.25626166862321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84.648415113580143</v>
      </c>
      <c r="AA116" s="23">
        <f>EXP(-LN(2)/25)*AA115+(1-EXP(-LN(2)/25))/(LN(2)/25)*Calculateur!V116*Calculateur!X116*VLOOKUP('Données projet'!$B$9,Paramètres!$A$1:$I$88,3,0)*0.475*44/12</f>
        <v>14.367132743414365</v>
      </c>
      <c r="AB116" s="23">
        <f>EXP(-LN(2)/2)*AB115+(1-EXP(-LN(2)/2))/(LN(2)/2)*V116*Y116*VLOOKUP('Données projet'!$B$9,Paramètres!$A$1:$I$88,3,0)*0.475*44/12</f>
        <v>4.0465243218567322E-7</v>
      </c>
      <c r="AC116" s="24">
        <f t="shared" si="57"/>
        <v>99.015548261646927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projet'!$B$10,Paramètres!$A$1:$I$88,3,0)*VLOOKUP('Données projet'!$B$10,Paramètres!$A$1:$I$88,5,0)</f>
        <v>-1.2414602679200471E-13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243.3456100842846</v>
      </c>
      <c r="AO116" s="62">
        <f t="shared" si="90"/>
        <v>301.6462497303628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40.533259394153397</v>
      </c>
      <c r="AV116" s="23">
        <f>EXP(-LN(2)/25)*AV115+(1-EXP(-LN(2)/25))/(LN(2)/25)*Calculateur!AQ116*Calculateur!AS116*VLOOKUP('Données projet'!$B$10,Paramètres!$A$1:$I$88,3,0)*0.475*44/12</f>
        <v>8.455834920463781</v>
      </c>
      <c r="AW116" s="23">
        <f>EXP(-LN(2)/2)*AW115+(1-EXP(-LN(2)/2))/(LN(2)/2)*AQ116*AT116*VLOOKUP('Données projet'!$B$10,Paramètres!$A$1:$I$88,3,0)*0.475*44/12</f>
        <v>1.7743717625493961E-7</v>
      </c>
      <c r="AX116" s="23">
        <f t="shared" si="60"/>
        <v>48.989094492054356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-2.8421709430404007E-14</v>
      </c>
      <c r="BE116" s="14">
        <f>BD116*VLOOKUP('Données projet'!$B$11,Paramètres!$A$1:$I$88,3,0)*VLOOKUP('Données projet'!$B$11,Paramètres!$A$1:$I$88,5,0)</f>
        <v>-2.2612312022829431E-14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219.20272956499281</v>
      </c>
      <c r="BJ116" s="62">
        <f t="shared" si="92"/>
        <v>244.37146912604081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29.760687131215779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29.760687131215779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66.924114617104067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4.4444444444444446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16.296296296296298</v>
      </c>
      <c r="H117" s="70">
        <f t="shared" si="56"/>
        <v>191.4814814814815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415.21844537846482</v>
      </c>
      <c r="T117" s="62">
        <f t="shared" si="88"/>
        <v>491.25626166862321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82.988511323637979</v>
      </c>
      <c r="AA117" s="23">
        <f>EXP(-LN(2)/25)*AA116+(1-EXP(-LN(2)/25))/(LN(2)/25)*Calculateur!V117*Calculateur!X117*VLOOKUP('Données projet'!$B$9,Paramètres!$A$1:$I$88,3,0)*0.475*44/12</f>
        <v>13.974262743011025</v>
      </c>
      <c r="AB117" s="23">
        <f>EXP(-LN(2)/2)*AB116+(1-EXP(-LN(2)/2))/(LN(2)/2)*V117*Y117*VLOOKUP('Données projet'!$B$9,Paramètres!$A$1:$I$88,3,0)*0.475*44/12</f>
        <v>2.8613247882211909E-7</v>
      </c>
      <c r="AC117" s="24">
        <f t="shared" si="57"/>
        <v>96.96277435278148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projet'!$B$10,Paramètres!$A$1:$I$88,3,0)*VLOOKUP('Données projet'!$B$10,Paramètres!$A$1:$I$88,5,0)</f>
        <v>-1.2414602679200471E-13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243.3456100842846</v>
      </c>
      <c r="AO117" s="62">
        <f t="shared" si="90"/>
        <v>301.6462497303628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39.738426900281098</v>
      </c>
      <c r="AV117" s="23">
        <f>EXP(-LN(2)/25)*AV116+(1-EXP(-LN(2)/25))/(LN(2)/25)*Calculateur!AQ117*Calculateur!AS117*VLOOKUP('Données projet'!$B$10,Paramètres!$A$1:$I$88,3,0)*0.475*44/12</f>
        <v>8.2246096698906666</v>
      </c>
      <c r="AW117" s="23">
        <f>EXP(-LN(2)/2)*AW116+(1-EXP(-LN(2)/2))/(LN(2)/2)*AQ117*AT117*VLOOKUP('Données projet'!$B$10,Paramètres!$A$1:$I$88,3,0)*0.475*44/12</f>
        <v>1.2546703056446045E-7</v>
      </c>
      <c r="AX117" s="23">
        <f t="shared" si="60"/>
        <v>47.963036695638799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-2.8421709430404007E-14</v>
      </c>
      <c r="BE117" s="14">
        <f>BD117*VLOOKUP('Données projet'!$B$11,Paramètres!$A$1:$I$88,3,0)*VLOOKUP('Données projet'!$B$11,Paramètres!$A$1:$I$88,5,0)</f>
        <v>-2.2612312022829431E-14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219.20272956499281</v>
      </c>
      <c r="BJ117" s="62">
        <f t="shared" si="92"/>
        <v>244.37146912604081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29.177098208799404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29.177098208799404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66.977474351847789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4.4444444444444446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16.296296296296298</v>
      </c>
      <c r="H118" s="70">
        <f t="shared" si="56"/>
        <v>191.4814814814815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415.21844537846482</v>
      </c>
      <c r="T118" s="62">
        <f t="shared" si="88"/>
        <v>491.25626166862321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81.361157234575231</v>
      </c>
      <c r="AA118" s="23">
        <f>EXP(-LN(2)/25)*AA117+(1-EXP(-LN(2)/25))/(LN(2)/25)*Calculateur!V118*Calculateur!X118*VLOOKUP('Données projet'!$B$9,Paramètres!$A$1:$I$88,3,0)*0.475*44/12</f>
        <v>13.592135793428849</v>
      </c>
      <c r="AB118" s="23">
        <f>EXP(-LN(2)/2)*AB117+(1-EXP(-LN(2)/2))/(LN(2)/2)*V118*Y118*VLOOKUP('Données projet'!$B$9,Paramètres!$A$1:$I$88,3,0)*0.475*44/12</f>
        <v>2.0232621609283661E-7</v>
      </c>
      <c r="AC118" s="24">
        <f t="shared" si="57"/>
        <v>94.953293230330303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projet'!$B$10,Paramètres!$A$1:$I$88,3,0)*VLOOKUP('Données projet'!$B$10,Paramètres!$A$1:$I$88,5,0)</f>
        <v>-1.2414602679200471E-13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243.3456100842846</v>
      </c>
      <c r="AO118" s="62">
        <f t="shared" si="90"/>
        <v>301.6462497303628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38.959180586813687</v>
      </c>
      <c r="AV118" s="23">
        <f>EXP(-LN(2)/25)*AV117+(1-EXP(-LN(2)/25))/(LN(2)/25)*Calculateur!AQ118*Calculateur!AS118*VLOOKUP('Données projet'!$B$10,Paramètres!$A$1:$I$88,3,0)*0.475*44/12</f>
        <v>7.9997072859540816</v>
      </c>
      <c r="AW118" s="23">
        <f>EXP(-LN(2)/2)*AW117+(1-EXP(-LN(2)/2))/(LN(2)/2)*AQ118*AT118*VLOOKUP('Données projet'!$B$10,Paramètres!$A$1:$I$88,3,0)*0.475*44/12</f>
        <v>8.8718588127469806E-8</v>
      </c>
      <c r="AX118" s="23">
        <f t="shared" si="60"/>
        <v>46.958887961486354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-2.8421709430404007E-14</v>
      </c>
      <c r="BE118" s="14">
        <f>BD118*VLOOKUP('Données projet'!$B$11,Paramètres!$A$1:$I$88,3,0)*VLOOKUP('Données projet'!$B$11,Paramètres!$A$1:$I$88,5,0)</f>
        <v>-2.2612312022829431E-14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219.20272956499281</v>
      </c>
      <c r="BJ118" s="62">
        <f t="shared" si="92"/>
        <v>244.37146912604081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28.604953109197517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28.604953109197517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67.029908414488204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4.4444444444444446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16.296296296296298</v>
      </c>
      <c r="H119" s="70">
        <f t="shared" si="56"/>
        <v>191.4814814814815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415.21844537846482</v>
      </c>
      <c r="T119" s="62">
        <f t="shared" si="88"/>
        <v>491.25626166862321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79.765714566611024</v>
      </c>
      <c r="AA119" s="23">
        <f>EXP(-LN(2)/25)*AA118+(1-EXP(-LN(2)/25))/(LN(2)/25)*Calculateur!V119*Calculateur!X119*VLOOKUP('Données projet'!$B$9,Paramètres!$A$1:$I$88,3,0)*0.475*44/12</f>
        <v>13.220458125378181</v>
      </c>
      <c r="AB119" s="23">
        <f>EXP(-LN(2)/2)*AB118+(1-EXP(-LN(2)/2))/(LN(2)/2)*V119*Y119*VLOOKUP('Données projet'!$B$9,Paramètres!$A$1:$I$88,3,0)*0.475*44/12</f>
        <v>1.4306623941105954E-7</v>
      </c>
      <c r="AC119" s="24">
        <f t="shared" si="57"/>
        <v>92.986172835055456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projet'!$B$10,Paramètres!$A$1:$I$88,3,0)*VLOOKUP('Données projet'!$B$10,Paramètres!$A$1:$I$88,5,0)</f>
        <v>-1.2414602679200471E-13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243.3456100842846</v>
      </c>
      <c r="AO119" s="62">
        <f t="shared" si="90"/>
        <v>301.6462497303628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38.195214818260055</v>
      </c>
      <c r="AV119" s="23">
        <f>EXP(-LN(2)/25)*AV118+(1-EXP(-LN(2)/25))/(LN(2)/25)*Calculateur!AQ119*Calculateur!AS119*VLOOKUP('Données projet'!$B$10,Paramètres!$A$1:$I$88,3,0)*0.475*44/12</f>
        <v>7.7809548695333444</v>
      </c>
      <c r="AW119" s="23">
        <f>EXP(-LN(2)/2)*AW118+(1-EXP(-LN(2)/2))/(LN(2)/2)*AQ119*AT119*VLOOKUP('Données projet'!$B$10,Paramètres!$A$1:$I$88,3,0)*0.475*44/12</f>
        <v>6.2733515282230225E-8</v>
      </c>
      <c r="AX119" s="23">
        <f t="shared" si="60"/>
        <v>45.976169750526914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-2.8421709430404007E-14</v>
      </c>
      <c r="BE119" s="14">
        <f>BD119*VLOOKUP('Données projet'!$B$11,Paramètres!$A$1:$I$88,3,0)*VLOOKUP('Données projet'!$B$11,Paramètres!$A$1:$I$88,5,0)</f>
        <v>-2.2612312022829431E-14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219.20272956499281</v>
      </c>
      <c r="BJ119" s="62">
        <f t="shared" si="92"/>
        <v>244.37146912604081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28.044027426024773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28.044027426024773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67.081432863366814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4.4444444444444446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16.296296296296298</v>
      </c>
      <c r="H120" s="70">
        <f t="shared" si="56"/>
        <v>191.4814814814815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415.21844537846482</v>
      </c>
      <c r="T120" s="62">
        <f t="shared" si="88"/>
        <v>491.25626166862321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78.201557556241653</v>
      </c>
      <c r="AA120" s="23">
        <f>EXP(-LN(2)/25)*AA119+(1-EXP(-LN(2)/25))/(LN(2)/25)*Calculateur!V120*Calculateur!X120*VLOOKUP('Données projet'!$B$9,Paramètres!$A$1:$I$88,3,0)*0.475*44/12</f>
        <v>12.858944002706037</v>
      </c>
      <c r="AB120" s="23">
        <f>EXP(-LN(2)/2)*AB119+(1-EXP(-LN(2)/2))/(LN(2)/2)*V120*Y120*VLOOKUP('Données projet'!$B$9,Paramètres!$A$1:$I$88,3,0)*0.475*44/12</f>
        <v>1.011631080464183E-7</v>
      </c>
      <c r="AC120" s="24">
        <f t="shared" si="57"/>
        <v>91.060501660110802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projet'!$B$10,Paramètres!$A$1:$I$88,3,0)*VLOOKUP('Données projet'!$B$10,Paramètres!$A$1:$I$88,5,0)</f>
        <v>-1.2414602679200471E-13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243.3456100842846</v>
      </c>
      <c r="AO120" s="62">
        <f t="shared" si="90"/>
        <v>301.6462497303628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37.446229952454651</v>
      </c>
      <c r="AV120" s="23">
        <f>EXP(-LN(2)/25)*AV119+(1-EXP(-LN(2)/25))/(LN(2)/25)*Calculateur!AQ120*Calculateur!AS120*VLOOKUP('Données projet'!$B$10,Paramètres!$A$1:$I$88,3,0)*0.475*44/12</f>
        <v>7.5681842494433225</v>
      </c>
      <c r="AW120" s="23">
        <f>EXP(-LN(2)/2)*AW119+(1-EXP(-LN(2)/2))/(LN(2)/2)*AQ120*AT120*VLOOKUP('Données projet'!$B$10,Paramètres!$A$1:$I$88,3,0)*0.475*44/12</f>
        <v>4.4359294063734903E-8</v>
      </c>
      <c r="AX120" s="23">
        <f t="shared" si="60"/>
        <v>45.014414246257267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-2.8421709430404007E-14</v>
      </c>
      <c r="BE120" s="14">
        <f>BD120*VLOOKUP('Données projet'!$B$11,Paramètres!$A$1:$I$88,3,0)*VLOOKUP('Données projet'!$B$11,Paramètres!$A$1:$I$88,5,0)</f>
        <v>-2.2612312022829431E-14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219.20272956499281</v>
      </c>
      <c r="BJ120" s="62">
        <f t="shared" si="92"/>
        <v>244.37146912604081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27.494101153368163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27.494101153368163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67.132063478248796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4.4444444444444446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16.296296296296298</v>
      </c>
      <c r="H121" s="70">
        <f t="shared" si="56"/>
        <v>191.4814814814815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415.21844537846482</v>
      </c>
      <c r="T121" s="62">
        <f t="shared" si="88"/>
        <v>491.25626166862321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76.668072710804054</v>
      </c>
      <c r="AA121" s="23">
        <f>EXP(-LN(2)/25)*AA120+(1-EXP(-LN(2)/25))/(LN(2)/25)*Calculateur!V121*Calculateur!X121*VLOOKUP('Données projet'!$B$9,Paramètres!$A$1:$I$88,3,0)*0.475*44/12</f>
        <v>12.507315502729565</v>
      </c>
      <c r="AB121" s="23">
        <f>EXP(-LN(2)/2)*AB120+(1-EXP(-LN(2)/2))/(LN(2)/2)*V121*Y121*VLOOKUP('Données projet'!$B$9,Paramètres!$A$1:$I$88,3,0)*0.475*44/12</f>
        <v>7.1533119705529771E-8</v>
      </c>
      <c r="AC121" s="24">
        <f t="shared" si="57"/>
        <v>89.175388285066745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projet'!$B$10,Paramètres!$A$1:$I$88,3,0)*VLOOKUP('Données projet'!$B$10,Paramètres!$A$1:$I$88,5,0)</f>
        <v>-1.2414602679200471E-13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243.3456100842846</v>
      </c>
      <c r="AO121" s="62">
        <f t="shared" si="90"/>
        <v>301.6462497303628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36.711932223032029</v>
      </c>
      <c r="AV121" s="23">
        <f>EXP(-LN(2)/25)*AV120+(1-EXP(-LN(2)/25))/(LN(2)/25)*Calculateur!AQ121*Calculateur!AS121*VLOOKUP('Données projet'!$B$10,Paramètres!$A$1:$I$88,3,0)*0.475*44/12</f>
        <v>7.3612318531487828</v>
      </c>
      <c r="AW121" s="23">
        <f>EXP(-LN(2)/2)*AW120+(1-EXP(-LN(2)/2))/(LN(2)/2)*AQ121*AT121*VLOOKUP('Données projet'!$B$10,Paramètres!$A$1:$I$88,3,0)*0.475*44/12</f>
        <v>3.1366757641115113E-8</v>
      </c>
      <c r="AX121" s="23">
        <f t="shared" si="60"/>
        <v>44.073164107547569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-2.8421709430404007E-14</v>
      </c>
      <c r="BE121" s="14">
        <f>BD121*VLOOKUP('Données projet'!$B$11,Paramètres!$A$1:$I$88,3,0)*VLOOKUP('Données projet'!$B$11,Paramètres!$A$1:$I$88,5,0)</f>
        <v>-2.2612312022829431E-14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219.20272956499281</v>
      </c>
      <c r="BJ121" s="62">
        <f t="shared" si="92"/>
        <v>244.37146912604081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26.954958599496443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26.954958599496443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67.181815765155648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4.4444444444444446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16.296296296296298</v>
      </c>
      <c r="H122" s="70">
        <f t="shared" si="56"/>
        <v>191.4814814814815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415.21844537846482</v>
      </c>
      <c r="T122" s="62">
        <f t="shared" si="88"/>
        <v>491.25626166862321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75.164658567852086</v>
      </c>
      <c r="AA122" s="23">
        <f>EXP(-LN(2)/25)*AA121+(1-EXP(-LN(2)/25))/(LN(2)/25)*Calculateur!V122*Calculateur!X122*VLOOKUP('Données projet'!$B$9,Paramètres!$A$1:$I$88,3,0)*0.475*44/12</f>
        <v>12.165302302576288</v>
      </c>
      <c r="AB122" s="23">
        <f>EXP(-LN(2)/2)*AB121+(1-EXP(-LN(2)/2))/(LN(2)/2)*V122*Y122*VLOOKUP('Données projet'!$B$9,Paramètres!$A$1:$I$88,3,0)*0.475*44/12</f>
        <v>5.0581554023209152E-8</v>
      </c>
      <c r="AC122" s="24">
        <f t="shared" si="57"/>
        <v>87.329960921009928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projet'!$B$10,Paramètres!$A$1:$I$88,3,0)*VLOOKUP('Données projet'!$B$10,Paramètres!$A$1:$I$88,5,0)</f>
        <v>-1.2414602679200471E-13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243.3456100842846</v>
      </c>
      <c r="AO122" s="62">
        <f t="shared" si="90"/>
        <v>301.6462497303628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35.992033624205995</v>
      </c>
      <c r="AV122" s="23">
        <f>EXP(-LN(2)/25)*AV121+(1-EXP(-LN(2)/25))/(LN(2)/25)*Calculateur!AQ122*Calculateur!AS122*VLOOKUP('Données projet'!$B$10,Paramètres!$A$1:$I$88,3,0)*0.475*44/12</f>
        <v>7.1599385810140701</v>
      </c>
      <c r="AW122" s="23">
        <f>EXP(-LN(2)/2)*AW121+(1-EXP(-LN(2)/2))/(LN(2)/2)*AQ122*AT122*VLOOKUP('Données projet'!$B$10,Paramètres!$A$1:$I$88,3,0)*0.475*44/12</f>
        <v>2.2179647031867451E-8</v>
      </c>
      <c r="AX122" s="23">
        <f t="shared" si="60"/>
        <v>43.15197222739971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-2.8421709430404007E-14</v>
      </c>
      <c r="BE122" s="14">
        <f>BD122*VLOOKUP('Données projet'!$B$11,Paramètres!$A$1:$I$88,3,0)*VLOOKUP('Données projet'!$B$11,Paramètres!$A$1:$I$88,5,0)</f>
        <v>-2.2612312022829431E-14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219.20272956499281</v>
      </c>
      <c r="BJ122" s="62">
        <f t="shared" si="92"/>
        <v>244.37146912604081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26.42638830226166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26.42638830226166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67.230704961114142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4.4444444444444446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16.296296296296298</v>
      </c>
      <c r="H123" s="70">
        <f t="shared" si="56"/>
        <v>191.4814814814815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415.21844537846482</v>
      </c>
      <c r="T123" s="62">
        <f t="shared" si="88"/>
        <v>491.25626166862321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73.690725459251325</v>
      </c>
      <c r="AA123" s="23">
        <f>EXP(-LN(2)/25)*AA122+(1-EXP(-LN(2)/25))/(LN(2)/25)*Calculateur!V123*Calculateur!X123*VLOOKUP('Données projet'!$B$9,Paramètres!$A$1:$I$88,3,0)*0.475*44/12</f>
        <v>11.832641471366896</v>
      </c>
      <c r="AB123" s="23">
        <f>EXP(-LN(2)/2)*AB122+(1-EXP(-LN(2)/2))/(LN(2)/2)*V123*Y123*VLOOKUP('Données projet'!$B$9,Paramètres!$A$1:$I$88,3,0)*0.475*44/12</f>
        <v>3.5766559852764886E-8</v>
      </c>
      <c r="AC123" s="24">
        <f t="shared" si="57"/>
        <v>85.523366966384785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projet'!$B$10,Paramètres!$A$1:$I$88,3,0)*VLOOKUP('Données projet'!$B$10,Paramètres!$A$1:$I$88,5,0)</f>
        <v>-1.2414602679200471E-13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243.3456100842846</v>
      </c>
      <c r="AO123" s="62">
        <f t="shared" si="90"/>
        <v>301.6462497303628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35.286251797808148</v>
      </c>
      <c r="AV123" s="23">
        <f>EXP(-LN(2)/25)*AV122+(1-EXP(-LN(2)/25))/(LN(2)/25)*Calculateur!AQ123*Calculateur!AS123*VLOOKUP('Données projet'!$B$10,Paramètres!$A$1:$I$88,3,0)*0.475*44/12</f>
        <v>6.964149683991435</v>
      </c>
      <c r="AW123" s="23">
        <f>EXP(-LN(2)/2)*AW122+(1-EXP(-LN(2)/2))/(LN(2)/2)*AQ123*AT123*VLOOKUP('Données projet'!$B$10,Paramètres!$A$1:$I$88,3,0)*0.475*44/12</f>
        <v>1.5683378820557556E-8</v>
      </c>
      <c r="AX123" s="23">
        <f t="shared" si="60"/>
        <v>42.250401497482962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-2.8421709430404007E-14</v>
      </c>
      <c r="BE123" s="14">
        <f>BD123*VLOOKUP('Données projet'!$B$11,Paramètres!$A$1:$I$88,3,0)*VLOOKUP('Données projet'!$B$11,Paramètres!$A$1:$I$88,5,0)</f>
        <v>-2.2612312022829431E-14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219.20272956499281</v>
      </c>
      <c r="BJ123" s="62">
        <f t="shared" si="92"/>
        <v>244.37146912604081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25.908182946159602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25.908182946159602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67.278746038822618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4.4444444444444446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16.296296296296298</v>
      </c>
      <c r="H124" s="70">
        <f t="shared" si="56"/>
        <v>191.4814814814815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415.21844537846482</v>
      </c>
      <c r="T124" s="62">
        <f t="shared" si="88"/>
        <v>491.25626166862321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72.245695279899806</v>
      </c>
      <c r="AA124" s="23">
        <f>EXP(-LN(2)/25)*AA123+(1-EXP(-LN(2)/25))/(LN(2)/25)*Calculateur!V124*Calculateur!X124*VLOOKUP('Données projet'!$B$9,Paramètres!$A$1:$I$88,3,0)*0.475*44/12</f>
        <v>11.509077268080798</v>
      </c>
      <c r="AB124" s="23">
        <f>EXP(-LN(2)/2)*AB123+(1-EXP(-LN(2)/2))/(LN(2)/2)*V124*Y124*VLOOKUP('Données projet'!$B$9,Paramètres!$A$1:$I$88,3,0)*0.475*44/12</f>
        <v>2.5290777011604576E-8</v>
      </c>
      <c r="AC124" s="24">
        <f t="shared" si="57"/>
        <v>83.754772573271381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projet'!$B$10,Paramètres!$A$1:$I$88,3,0)*VLOOKUP('Données projet'!$B$10,Paramètres!$A$1:$I$88,5,0)</f>
        <v>-1.2414602679200471E-13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243.3456100842846</v>
      </c>
      <c r="AO124" s="62">
        <f t="shared" si="90"/>
        <v>301.6462497303628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34.594309922541555</v>
      </c>
      <c r="AV124" s="23">
        <f>EXP(-LN(2)/25)*AV123+(1-EXP(-LN(2)/25))/(LN(2)/25)*Calculateur!AQ124*Calculateur!AS124*VLOOKUP('Données projet'!$B$10,Paramètres!$A$1:$I$88,3,0)*0.475*44/12</f>
        <v>6.7737146446539738</v>
      </c>
      <c r="AW124" s="23">
        <f>EXP(-LN(2)/2)*AW123+(1-EXP(-LN(2)/2))/(LN(2)/2)*AQ124*AT124*VLOOKUP('Données projet'!$B$10,Paramètres!$A$1:$I$88,3,0)*0.475*44/12</f>
        <v>1.1089823515933726E-8</v>
      </c>
      <c r="AX124" s="23">
        <f t="shared" si="60"/>
        <v>41.36802457828535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-2.8421709430404007E-14</v>
      </c>
      <c r="BE124" s="14">
        <f>BD124*VLOOKUP('Données projet'!$B$11,Paramètres!$A$1:$I$88,3,0)*VLOOKUP('Données projet'!$B$11,Paramètres!$A$1:$I$88,5,0)</f>
        <v>-2.2612312022829431E-14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219.20272956499281</v>
      </c>
      <c r="BJ124" s="62">
        <f t="shared" si="92"/>
        <v>244.37146912604081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25.400139281016649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25.400139281016649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67.325953711236608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4.4444444444444446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16.296296296296298</v>
      </c>
      <c r="H125" s="70">
        <f t="shared" si="56"/>
        <v>191.4814814814815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415.21844537846482</v>
      </c>
      <c r="T125" s="62">
        <f t="shared" si="88"/>
        <v>491.25626166862321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70.829001260983986</v>
      </c>
      <c r="AA125" s="23">
        <f>EXP(-LN(2)/25)*AA124+(1-EXP(-LN(2)/25))/(LN(2)/25)*Calculateur!V125*Calculateur!X125*VLOOKUP('Données projet'!$B$9,Paramètres!$A$1:$I$88,3,0)*0.475*44/12</f>
        <v>11.194360944949059</v>
      </c>
      <c r="AB125" s="23">
        <f>EXP(-LN(2)/2)*AB124+(1-EXP(-LN(2)/2))/(LN(2)/2)*V125*Y125*VLOOKUP('Données projet'!$B$9,Paramètres!$A$1:$I$88,3,0)*0.475*44/12</f>
        <v>1.7883279926382443E-8</v>
      </c>
      <c r="AC125" s="24">
        <f t="shared" si="57"/>
        <v>82.023362223816321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projet'!$B$10,Paramètres!$A$1:$I$88,3,0)*VLOOKUP('Données projet'!$B$10,Paramètres!$A$1:$I$88,5,0)</f>
        <v>-1.2414602679200471E-13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243.3456100842846</v>
      </c>
      <c r="AO125" s="62">
        <f t="shared" si="90"/>
        <v>301.6462497303628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33.915936605406074</v>
      </c>
      <c r="AV125" s="23">
        <f>EXP(-LN(2)/25)*AV124+(1-EXP(-LN(2)/25))/(LN(2)/25)*Calculateur!AQ125*Calculateur!AS125*VLOOKUP('Données projet'!$B$10,Paramètres!$A$1:$I$88,3,0)*0.475*44/12</f>
        <v>6.5884870614817395</v>
      </c>
      <c r="AW125" s="23">
        <f>EXP(-LN(2)/2)*AW124+(1-EXP(-LN(2)/2))/(LN(2)/2)*AQ125*AT125*VLOOKUP('Données projet'!$B$10,Paramètres!$A$1:$I$88,3,0)*0.475*44/12</f>
        <v>7.8416894102787782E-9</v>
      </c>
      <c r="AX125" s="23">
        <f t="shared" si="60"/>
        <v>40.504423674729509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-2.8421709430404007E-14</v>
      </c>
      <c r="BE125" s="14">
        <f>BD125*VLOOKUP('Données projet'!$B$11,Paramètres!$A$1:$I$88,3,0)*VLOOKUP('Données projet'!$B$11,Paramètres!$A$1:$I$88,5,0)</f>
        <v>-2.2612312022829431E-14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219.20272956499281</v>
      </c>
      <c r="BJ125" s="62">
        <f t="shared" si="92"/>
        <v>244.37146912604081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24.902058042271111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24.902058042271111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67.37234243607476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4.4444444444444446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16.296296296296298</v>
      </c>
      <c r="H126" s="70">
        <f t="shared" si="56"/>
        <v>191.4814814814815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415.21844537846482</v>
      </c>
      <c r="T126" s="62">
        <f t="shared" si="88"/>
        <v>491.25626166862321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69.440087747681076</v>
      </c>
      <c r="AA126" s="23">
        <f>EXP(-LN(2)/25)*AA125+(1-EXP(-LN(2)/25))/(LN(2)/25)*Calculateur!V126*Calculateur!X126*VLOOKUP('Données projet'!$B$9,Paramètres!$A$1:$I$88,3,0)*0.475*44/12</f>
        <v>10.88825055622357</v>
      </c>
      <c r="AB126" s="23">
        <f>EXP(-LN(2)/2)*AB125+(1-EXP(-LN(2)/2))/(LN(2)/2)*V126*Y126*VLOOKUP('Données projet'!$B$9,Paramètres!$A$1:$I$88,3,0)*0.475*44/12</f>
        <v>1.2645388505802288E-8</v>
      </c>
      <c r="AC126" s="24">
        <f t="shared" si="57"/>
        <v>80.328338316550031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projet'!$B$10,Paramètres!$A$1:$I$88,3,0)*VLOOKUP('Données projet'!$B$10,Paramètres!$A$1:$I$88,5,0)</f>
        <v>-1.2414602679200471E-13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243.3456100842846</v>
      </c>
      <c r="AO126" s="62">
        <f t="shared" si="90"/>
        <v>301.6462497303628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33.250865775252748</v>
      </c>
      <c r="AV126" s="23">
        <f>EXP(-LN(2)/25)*AV125+(1-EXP(-LN(2)/25))/(LN(2)/25)*Calculateur!AQ126*Calculateur!AS126*VLOOKUP('Données projet'!$B$10,Paramètres!$A$1:$I$88,3,0)*0.475*44/12</f>
        <v>6.4083245363120449</v>
      </c>
      <c r="AW126" s="23">
        <f>EXP(-LN(2)/2)*AW125+(1-EXP(-LN(2)/2))/(LN(2)/2)*AQ126*AT126*VLOOKUP('Données projet'!$B$10,Paramètres!$A$1:$I$88,3,0)*0.475*44/12</f>
        <v>5.5449117579668629E-9</v>
      </c>
      <c r="AX126" s="23">
        <f t="shared" si="60"/>
        <v>39.659190317109704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-2.8421709430404007E-14</v>
      </c>
      <c r="BE126" s="14">
        <f>BD126*VLOOKUP('Données projet'!$B$11,Paramètres!$A$1:$I$88,3,0)*VLOOKUP('Données projet'!$B$11,Paramètres!$A$1:$I$88,5,0)</f>
        <v>-2.2612312022829431E-14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219.20272956499281</v>
      </c>
      <c r="BJ126" s="62">
        <f t="shared" si="92"/>
        <v>244.37146912604081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24.413743872817815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24.413743872817815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67.41792642024663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4.4444444444444446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16.296296296296298</v>
      </c>
      <c r="H127" s="70">
        <f t="shared" si="56"/>
        <v>191.4814814814815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415.21844537846482</v>
      </c>
      <c r="T127" s="62">
        <f t="shared" si="88"/>
        <v>491.25626166862321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68.078409981220446</v>
      </c>
      <c r="AA127" s="23">
        <f>EXP(-LN(2)/25)*AA126+(1-EXP(-LN(2)/25))/(LN(2)/25)*Calculateur!V127*Calculateur!X127*VLOOKUP('Données projet'!$B$9,Paramètres!$A$1:$I$88,3,0)*0.475*44/12</f>
        <v>10.590510772175424</v>
      </c>
      <c r="AB127" s="23">
        <f>EXP(-LN(2)/2)*AB126+(1-EXP(-LN(2)/2))/(LN(2)/2)*V127*Y127*VLOOKUP('Données projet'!$B$9,Paramètres!$A$1:$I$88,3,0)*0.475*44/12</f>
        <v>8.9416399631912214E-9</v>
      </c>
      <c r="AC127" s="24">
        <f t="shared" si="57"/>
        <v>78.668920762337507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projet'!$B$10,Paramètres!$A$1:$I$88,3,0)*VLOOKUP('Données projet'!$B$10,Paramètres!$A$1:$I$88,5,0)</f>
        <v>-1.2414602679200471E-13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243.3456100842846</v>
      </c>
      <c r="AO127" s="62">
        <f t="shared" si="90"/>
        <v>301.6462497303628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32.598836578425583</v>
      </c>
      <c r="AV127" s="23">
        <f>EXP(-LN(2)/25)*AV126+(1-EXP(-LN(2)/25))/(LN(2)/25)*Calculateur!AQ127*Calculateur!AS127*VLOOKUP('Données projet'!$B$10,Paramètres!$A$1:$I$88,3,0)*0.475*44/12</f>
        <v>6.233088564867451</v>
      </c>
      <c r="AW127" s="23">
        <f>EXP(-LN(2)/2)*AW126+(1-EXP(-LN(2)/2))/(LN(2)/2)*AQ127*AT127*VLOOKUP('Données projet'!$B$10,Paramètres!$A$1:$I$88,3,0)*0.475*44/12</f>
        <v>3.9208447051393891E-9</v>
      </c>
      <c r="AX127" s="23">
        <f t="shared" si="60"/>
        <v>38.83192514721388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-2.8421709430404007E-14</v>
      </c>
      <c r="BE127" s="14">
        <f>BD127*VLOOKUP('Données projet'!$B$11,Paramètres!$A$1:$I$88,3,0)*VLOOKUP('Données projet'!$B$11,Paramètres!$A$1:$I$88,5,0)</f>
        <v>-2.2612312022829431E-14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219.20272956499281</v>
      </c>
      <c r="BJ127" s="62">
        <f t="shared" si="92"/>
        <v>244.37146912604081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23.935005246385263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23.935005246385263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67.462719624203629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4.4444444444444446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16.296296296296298</v>
      </c>
      <c r="H128" s="70">
        <f t="shared" si="56"/>
        <v>191.4814814814815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415.21844537846482</v>
      </c>
      <c r="T128" s="62">
        <f t="shared" si="88"/>
        <v>491.25626166862321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66.743433885218678</v>
      </c>
      <c r="AA128" s="23">
        <f>EXP(-LN(2)/25)*AA127+(1-EXP(-LN(2)/25))/(LN(2)/25)*Calculateur!V128*Calculateur!X128*VLOOKUP('Données projet'!$B$9,Paramètres!$A$1:$I$88,3,0)*0.475*44/12</f>
        <v>10.30091269817953</v>
      </c>
      <c r="AB128" s="23">
        <f>EXP(-LN(2)/2)*AB127+(1-EXP(-LN(2)/2))/(LN(2)/2)*V128*Y128*VLOOKUP('Données projet'!$B$9,Paramètres!$A$1:$I$88,3,0)*0.475*44/12</f>
        <v>6.322694252901144E-9</v>
      </c>
      <c r="AC128" s="24">
        <f t="shared" si="57"/>
        <v>77.044346589720902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projet'!$B$10,Paramètres!$A$1:$I$88,3,0)*VLOOKUP('Données projet'!$B$10,Paramètres!$A$1:$I$88,5,0)</f>
        <v>-1.2414602679200471E-13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243.3456100842846</v>
      </c>
      <c r="AO128" s="62">
        <f t="shared" si="90"/>
        <v>301.6462497303628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31.959593276449656</v>
      </c>
      <c r="AV128" s="23">
        <f>EXP(-LN(2)/25)*AV127+(1-EXP(-LN(2)/25))/(LN(2)/25)*Calculateur!AQ128*Calculateur!AS128*VLOOKUP('Données projet'!$B$10,Paramètres!$A$1:$I$88,3,0)*0.475*44/12</f>
        <v>6.0626444302772686</v>
      </c>
      <c r="AW128" s="23">
        <f>EXP(-LN(2)/2)*AW127+(1-EXP(-LN(2)/2))/(LN(2)/2)*AQ128*AT128*VLOOKUP('Données projet'!$B$10,Paramètres!$A$1:$I$88,3,0)*0.475*44/12</f>
        <v>2.7724558789834314E-9</v>
      </c>
      <c r="AX128" s="23">
        <f t="shared" si="60"/>
        <v>38.022237709499379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-2.8421709430404007E-14</v>
      </c>
      <c r="BE128" s="14">
        <f>BD128*VLOOKUP('Données projet'!$B$11,Paramètres!$A$1:$I$88,3,0)*VLOOKUP('Données projet'!$B$11,Paramètres!$A$1:$I$88,5,0)</f>
        <v>-2.2612312022829431E-14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219.20272956499281</v>
      </c>
      <c r="BJ128" s="62">
        <f t="shared" si="92"/>
        <v>244.37146912604081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23.465654392415324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23.465654392415324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67.506735766214575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4.4444444444444446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16.296296296296298</v>
      </c>
      <c r="H129" s="70">
        <f t="shared" si="56"/>
        <v>191.4814814814815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415.21844537846482</v>
      </c>
      <c r="T129" s="62">
        <f t="shared" si="88"/>
        <v>491.25626166862321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65.43463585620448</v>
      </c>
      <c r="AA129" s="23">
        <f>EXP(-LN(2)/25)*AA128+(1-EXP(-LN(2)/25))/(LN(2)/25)*Calculateur!V129*Calculateur!X129*VLOOKUP('Données projet'!$B$9,Paramètres!$A$1:$I$88,3,0)*0.475*44/12</f>
        <v>10.019233698746355</v>
      </c>
      <c r="AB129" s="23">
        <f>EXP(-LN(2)/2)*AB128+(1-EXP(-LN(2)/2))/(LN(2)/2)*V129*Y129*VLOOKUP('Données projet'!$B$9,Paramètres!$A$1:$I$88,3,0)*0.475*44/12</f>
        <v>4.4708199815956107E-9</v>
      </c>
      <c r="AC129" s="24">
        <f t="shared" si="57"/>
        <v>75.453869559421662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projet'!$B$10,Paramètres!$A$1:$I$88,3,0)*VLOOKUP('Données projet'!$B$10,Paramètres!$A$1:$I$88,5,0)</f>
        <v>-1.2414602679200471E-13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243.3456100842846</v>
      </c>
      <c r="AO129" s="62">
        <f t="shared" si="90"/>
        <v>301.6462497303628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31.332885145725562</v>
      </c>
      <c r="AV129" s="23">
        <f>EXP(-LN(2)/25)*AV128+(1-EXP(-LN(2)/25))/(LN(2)/25)*Calculateur!AQ129*Calculateur!AS129*VLOOKUP('Données projet'!$B$10,Paramètres!$A$1:$I$88,3,0)*0.475*44/12</f>
        <v>5.8968610995107227</v>
      </c>
      <c r="AW129" s="23">
        <f>EXP(-LN(2)/2)*AW128+(1-EXP(-LN(2)/2))/(LN(2)/2)*AQ129*AT129*VLOOKUP('Données projet'!$B$10,Paramètres!$A$1:$I$88,3,0)*0.475*44/12</f>
        <v>1.9604223525696945E-9</v>
      </c>
      <c r="AX129" s="23">
        <f t="shared" si="60"/>
        <v>37.229746247196708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-2.8421709430404007E-14</v>
      </c>
      <c r="BE129" s="14">
        <f>BD129*VLOOKUP('Données projet'!$B$11,Paramètres!$A$1:$I$88,3,0)*VLOOKUP('Données projet'!$B$11,Paramètres!$A$1:$I$88,5,0)</f>
        <v>-2.2612312022829431E-14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219.20272956499281</v>
      </c>
      <c r="BJ129" s="62">
        <f t="shared" si="92"/>
        <v>244.37146912604081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23.005507222415982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23.005507222415982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67.549988326566989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4.4444444444444446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16.296296296296298</v>
      </c>
      <c r="H130" s="70">
        <f t="shared" si="56"/>
        <v>191.4814814814815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415.21844537846482</v>
      </c>
      <c r="T130" s="62">
        <f t="shared" si="88"/>
        <v>491.25626166862321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64.151502558251281</v>
      </c>
      <c r="AA130" s="23">
        <f>EXP(-LN(2)/25)*AA129+(1-EXP(-LN(2)/25))/(LN(2)/25)*Calculateur!V130*Calculateur!X130*VLOOKUP('Données projet'!$B$9,Paramètres!$A$1:$I$88,3,0)*0.475*44/12</f>
        <v>9.7452572263655348</v>
      </c>
      <c r="AB130" s="23">
        <f>EXP(-LN(2)/2)*AB129+(1-EXP(-LN(2)/2))/(LN(2)/2)*V130*Y130*VLOOKUP('Données projet'!$B$9,Paramètres!$A$1:$I$88,3,0)*0.475*44/12</f>
        <v>3.161347126450572E-9</v>
      </c>
      <c r="AC130" s="24">
        <f t="shared" si="57"/>
        <v>73.896759787778166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projet'!$B$10,Paramètres!$A$1:$I$88,3,0)*VLOOKUP('Données projet'!$B$10,Paramètres!$A$1:$I$88,5,0)</f>
        <v>-1.2414602679200471E-13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243.3456100842846</v>
      </c>
      <c r="AO130" s="62">
        <f t="shared" si="90"/>
        <v>301.6462497303628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30.718466379190751</v>
      </c>
      <c r="AV130" s="23">
        <f>EXP(-LN(2)/25)*AV129+(1-EXP(-LN(2)/25))/(LN(2)/25)*Calculateur!AQ130*Calculateur!AS130*VLOOKUP('Données projet'!$B$10,Paramètres!$A$1:$I$88,3,0)*0.475*44/12</f>
        <v>5.7356111226421538</v>
      </c>
      <c r="AW130" s="23">
        <f>EXP(-LN(2)/2)*AW129+(1-EXP(-LN(2)/2))/(LN(2)/2)*AQ130*AT130*VLOOKUP('Données projet'!$B$10,Paramètres!$A$1:$I$88,3,0)*0.475*44/12</f>
        <v>1.3862279394917157E-9</v>
      </c>
      <c r="AX130" s="23">
        <f t="shared" si="60"/>
        <v>36.454077503219132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-2.8421709430404007E-14</v>
      </c>
      <c r="BE130" s="14">
        <f>BD130*VLOOKUP('Données projet'!$B$11,Paramètres!$A$1:$I$88,3,0)*VLOOKUP('Données projet'!$B$11,Paramètres!$A$1:$I$88,5,0)</f>
        <v>-2.2612312022829431E-14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219.20272956499281</v>
      </c>
      <c r="BJ130" s="62">
        <f t="shared" si="92"/>
        <v>244.37146912604081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22.554383257758268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22.554383257758268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67.592490551695519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4.4444444444444446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16.296296296296298</v>
      </c>
      <c r="H131" s="70">
        <f t="shared" si="56"/>
        <v>191.4814814814815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415.21844537846482</v>
      </c>
      <c r="T131" s="62">
        <f t="shared" si="88"/>
        <v>491.25626166862321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62.893530721636907</v>
      </c>
      <c r="AA131" s="23">
        <f>EXP(-LN(2)/25)*AA130+(1-EXP(-LN(2)/25))/(LN(2)/25)*Calculateur!V131*Calculateur!X131*VLOOKUP('Données projet'!$B$9,Paramètres!$A$1:$I$88,3,0)*0.475*44/12</f>
        <v>9.4787726550297648</v>
      </c>
      <c r="AB131" s="23">
        <f>EXP(-LN(2)/2)*AB130+(1-EXP(-LN(2)/2))/(LN(2)/2)*V131*Y131*VLOOKUP('Données projet'!$B$9,Paramètres!$A$1:$I$88,3,0)*0.475*44/12</f>
        <v>2.2354099907978054E-9</v>
      </c>
      <c r="AC131" s="24">
        <f t="shared" si="57"/>
        <v>72.372303378902089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projet'!$B$10,Paramètres!$A$1:$I$88,3,0)*VLOOKUP('Données projet'!$B$10,Paramètres!$A$1:$I$88,5,0)</f>
        <v>-1.2414602679200471E-13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243.3456100842846</v>
      </c>
      <c r="AO131" s="62">
        <f t="shared" si="90"/>
        <v>301.6462497303628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30.116095989909244</v>
      </c>
      <c r="AV131" s="23">
        <f>EXP(-LN(2)/25)*AV130+(1-EXP(-LN(2)/25))/(LN(2)/25)*Calculateur!AQ131*Calculateur!AS131*VLOOKUP('Données projet'!$B$10,Paramètres!$A$1:$I$88,3,0)*0.475*44/12</f>
        <v>5.5787705348708236</v>
      </c>
      <c r="AW131" s="23">
        <f>EXP(-LN(2)/2)*AW130+(1-EXP(-LN(2)/2))/(LN(2)/2)*AQ131*AT131*VLOOKUP('Données projet'!$B$10,Paramètres!$A$1:$I$88,3,0)*0.475*44/12</f>
        <v>9.8021117628484727E-10</v>
      </c>
      <c r="AX131" s="23">
        <f t="shared" si="60"/>
        <v>35.694866525760276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-2.8421709430404007E-14</v>
      </c>
      <c r="BE131" s="14">
        <f>BD131*VLOOKUP('Données projet'!$B$11,Paramètres!$A$1:$I$88,3,0)*VLOOKUP('Données projet'!$B$11,Paramètres!$A$1:$I$88,5,0)</f>
        <v>-2.2612312022829431E-14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219.20272956499281</v>
      </c>
      <c r="BJ131" s="62">
        <f t="shared" si="92"/>
        <v>244.37146912604081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22.112105558889041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22.112105558889041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67.634255458238826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4.4444444444444446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16.296296296296298</v>
      </c>
      <c r="H132" s="70">
        <f t="shared" ref="H132:H195" si="110">(B132+E132+F132)*44/12+(C132+D132)*0.475*44/12</f>
        <v>191.4814814814815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415.21844537846482</v>
      </c>
      <c r="T132" s="62">
        <f t="shared" si="88"/>
        <v>491.25626166862321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61.660226945451484</v>
      </c>
      <c r="AA132" s="23">
        <f>EXP(-LN(2)/25)*AA131+(1-EXP(-LN(2)/25))/(LN(2)/25)*Calculateur!V132*Calculateur!X132*VLOOKUP('Données projet'!$B$9,Paramètres!$A$1:$I$88,3,0)*0.475*44/12</f>
        <v>9.2195751183109866</v>
      </c>
      <c r="AB132" s="23">
        <f>EXP(-LN(2)/2)*AB131+(1-EXP(-LN(2)/2))/(LN(2)/2)*V132*Y132*VLOOKUP('Données projet'!$B$9,Paramètres!$A$1:$I$88,3,0)*0.475*44/12</f>
        <v>1.580673563225286E-9</v>
      </c>
      <c r="AC132" s="24">
        <f t="shared" ref="AC132:AC153" si="111">SUM(Z132:AB132)</f>
        <v>70.879802065343142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projet'!$B$10,Paramètres!$A$1:$I$88,3,0)*VLOOKUP('Données projet'!$B$10,Paramètres!$A$1:$I$88,5,0)</f>
        <v>-1.2414602679200471E-13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243.3456100842846</v>
      </c>
      <c r="AO132" s="62">
        <f t="shared" si="90"/>
        <v>301.6462497303628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29.525537716551888</v>
      </c>
      <c r="AV132" s="23">
        <f>EXP(-LN(2)/25)*AV131+(1-EXP(-LN(2)/25))/(LN(2)/25)*Calculateur!AQ132*Calculateur!AS132*VLOOKUP('Données projet'!$B$10,Paramètres!$A$1:$I$88,3,0)*0.475*44/12</f>
        <v>5.4262187612199888</v>
      </c>
      <c r="AW132" s="23">
        <f>EXP(-LN(2)/2)*AW131+(1-EXP(-LN(2)/2))/(LN(2)/2)*AQ132*AT132*VLOOKUP('Données projet'!$B$10,Paramètres!$A$1:$I$88,3,0)*0.475*44/12</f>
        <v>6.9311396974585786E-10</v>
      </c>
      <c r="AX132" s="23">
        <f t="shared" ref="AX132:AX153" si="114">SUM(AU132:AW132)</f>
        <v>34.951756478464993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-2.8421709430404007E-14</v>
      </c>
      <c r="BE132" s="14">
        <f>BD132*VLOOKUP('Données projet'!$B$11,Paramètres!$A$1:$I$88,3,0)*VLOOKUP('Données projet'!$B$11,Paramètres!$A$1:$I$88,5,0)</f>
        <v>-2.2612312022829431E-14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219.20272956499281</v>
      </c>
      <c r="BJ132" s="62">
        <f t="shared" si="92"/>
        <v>244.37146912604081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21.678500655931881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21.678500655931881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67.675295837025942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4.4444444444444446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16.296296296296298</v>
      </c>
      <c r="H133" s="70">
        <f t="shared" si="110"/>
        <v>191.4814814814815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415.21844537846482</v>
      </c>
      <c r="T133" s="62">
        <f t="shared" ref="T133:T196" si="142">$T$3</f>
        <v>491.25626166862321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60.451107504076035</v>
      </c>
      <c r="AA133" s="23">
        <f>EXP(-LN(2)/25)*AA132+(1-EXP(-LN(2)/25))/(LN(2)/25)*Calculateur!V133*Calculateur!X133*VLOOKUP('Données projet'!$B$9,Paramètres!$A$1:$I$88,3,0)*0.475*44/12</f>
        <v>8.967465351864389</v>
      </c>
      <c r="AB133" s="23">
        <f>EXP(-LN(2)/2)*AB132+(1-EXP(-LN(2)/2))/(LN(2)/2)*V133*Y133*VLOOKUP('Données projet'!$B$9,Paramètres!$A$1:$I$88,3,0)*0.475*44/12</f>
        <v>1.1177049953989027E-9</v>
      </c>
      <c r="AC133" s="24">
        <f t="shared" si="111"/>
        <v>69.418572857058123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projet'!$B$10,Paramètres!$A$1:$I$88,3,0)*VLOOKUP('Données projet'!$B$10,Paramètres!$A$1:$I$88,5,0)</f>
        <v>-1.2414602679200471E-13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243.3456100842846</v>
      </c>
      <c r="AO133" s="62">
        <f t="shared" ref="AO133:AO196" si="144">$AO$3</f>
        <v>301.6462497303628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28.946559930730093</v>
      </c>
      <c r="AV133" s="23">
        <f>EXP(-LN(2)/25)*AV132+(1-EXP(-LN(2)/25))/(LN(2)/25)*Calculateur!AQ133*Calculateur!AS133*VLOOKUP('Données projet'!$B$10,Paramètres!$A$1:$I$88,3,0)*0.475*44/12</f>
        <v>5.2778385238419849</v>
      </c>
      <c r="AW133" s="23">
        <f>EXP(-LN(2)/2)*AW132+(1-EXP(-LN(2)/2))/(LN(2)/2)*AQ133*AT133*VLOOKUP('Données projet'!$B$10,Paramètres!$A$1:$I$88,3,0)*0.475*44/12</f>
        <v>4.9010558814242364E-10</v>
      </c>
      <c r="AX133" s="23">
        <f t="shared" si="114"/>
        <v>34.224398455062179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-2.8421709430404007E-14</v>
      </c>
      <c r="BE133" s="14">
        <f>BD133*VLOOKUP('Données projet'!$B$11,Paramètres!$A$1:$I$88,3,0)*VLOOKUP('Données projet'!$B$11,Paramètres!$A$1:$I$88,5,0)</f>
        <v>-2.2612312022829431E-14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219.20272956499281</v>
      </c>
      <c r="BJ133" s="62">
        <f t="shared" ref="BJ133:BJ196" si="146">$BJ$3</f>
        <v>244.37146912604081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21.253398480648837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21.253398480648837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67.715624256993635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4.4444444444444446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16.296296296296298</v>
      </c>
      <c r="H134" s="70">
        <f t="shared" si="110"/>
        <v>191.4814814814815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415.21844537846482</v>
      </c>
      <c r="T134" s="62">
        <f t="shared" si="142"/>
        <v>491.25626166862321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59.265698157455923</v>
      </c>
      <c r="AA134" s="23">
        <f>EXP(-LN(2)/25)*AA133+(1-EXP(-LN(2)/25))/(LN(2)/25)*Calculateur!V134*Calculateur!X134*VLOOKUP('Données projet'!$B$9,Paramètres!$A$1:$I$88,3,0)*0.475*44/12</f>
        <v>8.7222495402391491</v>
      </c>
      <c r="AB134" s="23">
        <f>EXP(-LN(2)/2)*AB133+(1-EXP(-LN(2)/2))/(LN(2)/2)*V134*Y134*VLOOKUP('Données projet'!$B$9,Paramètres!$A$1:$I$88,3,0)*0.475*44/12</f>
        <v>7.90336781612643E-10</v>
      </c>
      <c r="AC134" s="24">
        <f t="shared" si="111"/>
        <v>67.987947698485414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projet'!$B$10,Paramètres!$A$1:$I$88,3,0)*VLOOKUP('Données projet'!$B$10,Paramètres!$A$1:$I$88,5,0)</f>
        <v>-1.2414602679200471E-13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243.3456100842846</v>
      </c>
      <c r="AO134" s="62">
        <f t="shared" si="144"/>
        <v>301.6462497303628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28.378935546146682</v>
      </c>
      <c r="AV134" s="23">
        <f>EXP(-LN(2)/25)*AV133+(1-EXP(-LN(2)/25))/(LN(2)/25)*Calculateur!AQ134*Calculateur!AS134*VLOOKUP('Données projet'!$B$10,Paramètres!$A$1:$I$88,3,0)*0.475*44/12</f>
        <v>5.1335157518580603</v>
      </c>
      <c r="AW134" s="23">
        <f>EXP(-LN(2)/2)*AW133+(1-EXP(-LN(2)/2))/(LN(2)/2)*AQ134*AT134*VLOOKUP('Données projet'!$B$10,Paramètres!$A$1:$I$88,3,0)*0.475*44/12</f>
        <v>3.4655698487292893E-10</v>
      </c>
      <c r="AX134" s="23">
        <f t="shared" si="114"/>
        <v>33.512451298351301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-2.8421709430404007E-14</v>
      </c>
      <c r="BE134" s="14">
        <f>BD134*VLOOKUP('Données projet'!$B$11,Paramètres!$A$1:$I$88,3,0)*VLOOKUP('Données projet'!$B$11,Paramètres!$A$1:$I$88,5,0)</f>
        <v>-2.2612312022829431E-14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219.20272956499281</v>
      </c>
      <c r="BJ134" s="62">
        <f t="shared" si="146"/>
        <v>244.37146912604081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20.836632299736369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20.836632299736369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67.755253069035732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4.4444444444444446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16.296296296296298</v>
      </c>
      <c r="H135" s="70">
        <f t="shared" si="110"/>
        <v>191.4814814814815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415.21844537846482</v>
      </c>
      <c r="T135" s="62">
        <f t="shared" si="142"/>
        <v>491.25626166862321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58.103533965094719</v>
      </c>
      <c r="AA135" s="23">
        <f>EXP(-LN(2)/25)*AA134+(1-EXP(-LN(2)/25))/(LN(2)/25)*Calculateur!V135*Calculateur!X135*VLOOKUP('Données projet'!$B$9,Paramètres!$A$1:$I$88,3,0)*0.475*44/12</f>
        <v>8.4837391678781415</v>
      </c>
      <c r="AB135" s="23">
        <f>EXP(-LN(2)/2)*AB134+(1-EXP(-LN(2)/2))/(LN(2)/2)*V135*Y135*VLOOKUP('Données projet'!$B$9,Paramètres!$A$1:$I$88,3,0)*0.475*44/12</f>
        <v>5.5885249769945134E-10</v>
      </c>
      <c r="AC135" s="24">
        <f t="shared" si="111"/>
        <v>66.58727313353171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projet'!$B$10,Paramètres!$A$1:$I$88,3,0)*VLOOKUP('Données projet'!$B$10,Paramètres!$A$1:$I$88,5,0)</f>
        <v>-1.2414602679200471E-13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243.3456100842846</v>
      </c>
      <c r="AO135" s="62">
        <f t="shared" si="144"/>
        <v>301.6462497303628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27.822441929528264</v>
      </c>
      <c r="AV135" s="23">
        <f>EXP(-LN(2)/25)*AV134+(1-EXP(-LN(2)/25))/(LN(2)/25)*Calculateur!AQ135*Calculateur!AS135*VLOOKUP('Données projet'!$B$10,Paramètres!$A$1:$I$88,3,0)*0.475*44/12</f>
        <v>4.9931394936636408</v>
      </c>
      <c r="AW135" s="23">
        <f>EXP(-LN(2)/2)*AW134+(1-EXP(-LN(2)/2))/(LN(2)/2)*AQ135*AT135*VLOOKUP('Données projet'!$B$10,Paramètres!$A$1:$I$88,3,0)*0.475*44/12</f>
        <v>2.4505279407121182E-10</v>
      </c>
      <c r="AX135" s="23">
        <f t="shared" si="114"/>
        <v>32.815581423436953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-2.8421709430404007E-14</v>
      </c>
      <c r="BE135" s="14">
        <f>BD135*VLOOKUP('Données projet'!$B$11,Paramètres!$A$1:$I$88,3,0)*VLOOKUP('Données projet'!$B$11,Paramètres!$A$1:$I$88,5,0)</f>
        <v>-2.2612312022829431E-14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219.20272956499281</v>
      </c>
      <c r="BJ135" s="62">
        <f t="shared" si="146"/>
        <v>244.37146912604081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20.428038649429322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20.428038649429322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67.794194409785646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4.4444444444444446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16.296296296296298</v>
      </c>
      <c r="H136" s="70">
        <f t="shared" si="110"/>
        <v>191.4814814814815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415.21844537846482</v>
      </c>
      <c r="T136" s="62">
        <f t="shared" si="142"/>
        <v>491.25626166862321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56.964159103695557</v>
      </c>
      <c r="AA136" s="23">
        <f>EXP(-LN(2)/25)*AA135+(1-EXP(-LN(2)/25))/(LN(2)/25)*Calculateur!V136*Calculateur!X136*VLOOKUP('Données projet'!$B$9,Paramètres!$A$1:$I$88,3,0)*0.475*44/12</f>
        <v>8.2517508741920604</v>
      </c>
      <c r="AB136" s="23">
        <f>EXP(-LN(2)/2)*AB135+(1-EXP(-LN(2)/2))/(LN(2)/2)*V136*Y136*VLOOKUP('Données projet'!$B$9,Paramètres!$A$1:$I$88,3,0)*0.475*44/12</f>
        <v>3.951683908063215E-10</v>
      </c>
      <c r="AC136" s="24">
        <f t="shared" si="111"/>
        <v>65.215909978282795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projet'!$B$10,Paramètres!$A$1:$I$88,3,0)*VLOOKUP('Données projet'!$B$10,Paramètres!$A$1:$I$88,5,0)</f>
        <v>-1.2414602679200471E-13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243.3456100842846</v>
      </c>
      <c r="AO136" s="62">
        <f t="shared" si="144"/>
        <v>301.6462497303628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27.276860813304143</v>
      </c>
      <c r="AV136" s="23">
        <f>EXP(-LN(2)/25)*AV135+(1-EXP(-LN(2)/25))/(LN(2)/25)*Calculateur!AQ136*Calculateur!AS136*VLOOKUP('Données projet'!$B$10,Paramètres!$A$1:$I$88,3,0)*0.475*44/12</f>
        <v>4.8566018316316146</v>
      </c>
      <c r="AW136" s="23">
        <f>EXP(-LN(2)/2)*AW135+(1-EXP(-LN(2)/2))/(LN(2)/2)*AQ136*AT136*VLOOKUP('Données projet'!$B$10,Paramètres!$A$1:$I$88,3,0)*0.475*44/12</f>
        <v>1.7327849243646446E-10</v>
      </c>
      <c r="AX136" s="23">
        <f t="shared" si="114"/>
        <v>32.133462645109041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-2.8421709430404007E-14</v>
      </c>
      <c r="BE136" s="14">
        <f>BD136*VLOOKUP('Données projet'!$B$11,Paramètres!$A$1:$I$88,3,0)*VLOOKUP('Données projet'!$B$11,Paramètres!$A$1:$I$88,5,0)</f>
        <v>-2.2612312022829431E-14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219.20272956499281</v>
      </c>
      <c r="BJ136" s="62">
        <f t="shared" si="146"/>
        <v>244.37146912604081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20.027457271387277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20.027457271387277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67.832460205333348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4.4444444444444446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16.296296296296298</v>
      </c>
      <c r="H137" s="70">
        <f t="shared" si="110"/>
        <v>191.4814814814815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415.21844537846482</v>
      </c>
      <c r="T137" s="62">
        <f t="shared" si="142"/>
        <v>491.25626166862321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55.847126688378388</v>
      </c>
      <c r="AA137" s="23">
        <f>EXP(-LN(2)/25)*AA136+(1-EXP(-LN(2)/25))/(LN(2)/25)*Calculateur!V137*Calculateur!X137*VLOOKUP('Données projet'!$B$9,Paramètres!$A$1:$I$88,3,0)*0.475*44/12</f>
        <v>8.0261063125965588</v>
      </c>
      <c r="AB137" s="23">
        <f>EXP(-LN(2)/2)*AB136+(1-EXP(-LN(2)/2))/(LN(2)/2)*V137*Y137*VLOOKUP('Données projet'!$B$9,Paramètres!$A$1:$I$88,3,0)*0.475*44/12</f>
        <v>2.7942624884972567E-10</v>
      </c>
      <c r="AC137" s="24">
        <f t="shared" si="111"/>
        <v>63.873233001254377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projet'!$B$10,Paramètres!$A$1:$I$88,3,0)*VLOOKUP('Données projet'!$B$10,Paramètres!$A$1:$I$88,5,0)</f>
        <v>-1.2414602679200471E-13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243.3456100842846</v>
      </c>
      <c r="AO137" s="62">
        <f t="shared" si="144"/>
        <v>301.6462497303628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26.741978209997555</v>
      </c>
      <c r="AV137" s="23">
        <f>EXP(-LN(2)/25)*AV136+(1-EXP(-LN(2)/25))/(LN(2)/25)*Calculateur!AQ137*Calculateur!AS137*VLOOKUP('Données projet'!$B$10,Paramètres!$A$1:$I$88,3,0)*0.475*44/12</f>
        <v>4.7237977991480573</v>
      </c>
      <c r="AW137" s="23">
        <f>EXP(-LN(2)/2)*AW136+(1-EXP(-LN(2)/2))/(LN(2)/2)*AQ137*AT137*VLOOKUP('Données projet'!$B$10,Paramètres!$A$1:$I$88,3,0)*0.475*44/12</f>
        <v>1.2252639703560591E-10</v>
      </c>
      <c r="AX137" s="23">
        <f t="shared" si="114"/>
        <v>31.46577600926814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-2.8421709430404007E-14</v>
      </c>
      <c r="BE137" s="14">
        <f>BD137*VLOOKUP('Données projet'!$B$11,Paramètres!$A$1:$I$88,3,0)*VLOOKUP('Données projet'!$B$11,Paramètres!$A$1:$I$88,5,0)</f>
        <v>-2.2612312022829431E-14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219.20272956499281</v>
      </c>
      <c r="BJ137" s="62">
        <f t="shared" si="146"/>
        <v>244.37146912604081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19.634731049838123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19.634731049838123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67.870062174877802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4.4444444444444446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16.296296296296298</v>
      </c>
      <c r="H138" s="70">
        <f t="shared" si="110"/>
        <v>191.4814814814815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415.21844537846482</v>
      </c>
      <c r="T138" s="62">
        <f t="shared" si="142"/>
        <v>491.25626166862321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54.751998597403087</v>
      </c>
      <c r="AA138" s="23">
        <f>EXP(-LN(2)/25)*AA137+(1-EXP(-LN(2)/25))/(LN(2)/25)*Calculateur!V138*Calculateur!X138*VLOOKUP('Données projet'!$B$9,Paramètres!$A$1:$I$88,3,0)*0.475*44/12</f>
        <v>7.8066320134040188</v>
      </c>
      <c r="AB138" s="23">
        <f>EXP(-LN(2)/2)*AB137+(1-EXP(-LN(2)/2))/(LN(2)/2)*V138*Y138*VLOOKUP('Données projet'!$B$9,Paramètres!$A$1:$I$88,3,0)*0.475*44/12</f>
        <v>1.9758419540316075E-10</v>
      </c>
      <c r="AC138" s="24">
        <f t="shared" si="111"/>
        <v>62.558630611004695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projet'!$B$10,Paramètres!$A$1:$I$88,3,0)*VLOOKUP('Données projet'!$B$10,Paramètres!$A$1:$I$88,5,0)</f>
        <v>-1.2414602679200471E-13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243.3456100842846</v>
      </c>
      <c r="AO138" s="62">
        <f t="shared" si="144"/>
        <v>301.6462497303628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26.217584328295633</v>
      </c>
      <c r="AV138" s="23">
        <f>EXP(-LN(2)/25)*AV137+(1-EXP(-LN(2)/25))/(LN(2)/25)*Calculateur!AQ138*Calculateur!AS138*VLOOKUP('Données projet'!$B$10,Paramètres!$A$1:$I$88,3,0)*0.475*44/12</f>
        <v>4.5946252999166237</v>
      </c>
      <c r="AW138" s="23">
        <f>EXP(-LN(2)/2)*AW137+(1-EXP(-LN(2)/2))/(LN(2)/2)*AQ138*AT138*VLOOKUP('Données projet'!$B$10,Paramètres!$A$1:$I$88,3,0)*0.475*44/12</f>
        <v>8.6639246218232232E-11</v>
      </c>
      <c r="AX138" s="23">
        <f t="shared" si="114"/>
        <v>30.812209628298898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-2.8421709430404007E-14</v>
      </c>
      <c r="BE138" s="14">
        <f>BD138*VLOOKUP('Données projet'!$B$11,Paramètres!$A$1:$I$88,3,0)*VLOOKUP('Données projet'!$B$11,Paramètres!$A$1:$I$88,5,0)</f>
        <v>-2.2612312022829431E-14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219.20272956499281</v>
      </c>
      <c r="BJ138" s="62">
        <f t="shared" si="146"/>
        <v>244.37146912604081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19.249705949954205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19.249705949954205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67.907011834316066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4.4444444444444446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16.296296296296298</v>
      </c>
      <c r="H139" s="70">
        <f t="shared" si="110"/>
        <v>191.4814814814815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415.21844537846482</v>
      </c>
      <c r="T139" s="62">
        <f t="shared" si="142"/>
        <v>491.25626166862321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53.678345300329632</v>
      </c>
      <c r="AA139" s="23">
        <f>EXP(-LN(2)/25)*AA138+(1-EXP(-LN(2)/25))/(LN(2)/25)*Calculateur!V139*Calculateur!X139*VLOOKUP('Données projet'!$B$9,Paramètres!$A$1:$I$88,3,0)*0.475*44/12</f>
        <v>7.5931592504645504</v>
      </c>
      <c r="AB139" s="23">
        <f>EXP(-LN(2)/2)*AB138+(1-EXP(-LN(2)/2))/(LN(2)/2)*V139*Y139*VLOOKUP('Données projet'!$B$9,Paramètres!$A$1:$I$88,3,0)*0.475*44/12</f>
        <v>1.3971312442486283E-10</v>
      </c>
      <c r="AC139" s="24">
        <f t="shared" si="111"/>
        <v>61.271504550933898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projet'!$B$10,Paramètres!$A$1:$I$88,3,0)*VLOOKUP('Données projet'!$B$10,Paramètres!$A$1:$I$88,5,0)</f>
        <v>-1.2414602679200471E-13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243.3456100842846</v>
      </c>
      <c r="AO139" s="62">
        <f t="shared" si="144"/>
        <v>301.6462497303628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25.703473490765202</v>
      </c>
      <c r="AV139" s="23">
        <f>EXP(-LN(2)/25)*AV138+(1-EXP(-LN(2)/25))/(LN(2)/25)*Calculateur!AQ139*Calculateur!AS139*VLOOKUP('Données projet'!$B$10,Paramètres!$A$1:$I$88,3,0)*0.475*44/12</f>
        <v>4.4689850294695601</v>
      </c>
      <c r="AW139" s="23">
        <f>EXP(-LN(2)/2)*AW138+(1-EXP(-LN(2)/2))/(LN(2)/2)*AQ139*AT139*VLOOKUP('Données projet'!$B$10,Paramètres!$A$1:$I$88,3,0)*0.475*44/12</f>
        <v>6.1263198517802954E-11</v>
      </c>
      <c r="AX139" s="23">
        <f t="shared" si="114"/>
        <v>30.172458520296026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-2.8421709430404007E-14</v>
      </c>
      <c r="BE139" s="14">
        <f>BD139*VLOOKUP('Données projet'!$B$11,Paramètres!$A$1:$I$88,3,0)*VLOOKUP('Données projet'!$B$11,Paramètres!$A$1:$I$88,5,0)</f>
        <v>-2.2612312022829431E-14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219.20272956499281</v>
      </c>
      <c r="BJ139" s="62">
        <f t="shared" si="146"/>
        <v>244.37146912604081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18.872230957436887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18.872230957436887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67.943320499770152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4.4444444444444446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16.296296296296298</v>
      </c>
      <c r="H140" s="70">
        <f t="shared" si="110"/>
        <v>191.4814814814815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415.21844537846482</v>
      </c>
      <c r="T140" s="62">
        <f t="shared" si="142"/>
        <v>491.25626166862321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52.625745689547941</v>
      </c>
      <c r="AA140" s="23">
        <f>EXP(-LN(2)/25)*AA139+(1-EXP(-LN(2)/25))/(LN(2)/25)*Calculateur!V140*Calculateur!X140*VLOOKUP('Données projet'!$B$9,Paramètres!$A$1:$I$88,3,0)*0.475*44/12</f>
        <v>7.3855239114537063</v>
      </c>
      <c r="AB140" s="23">
        <f>EXP(-LN(2)/2)*AB139+(1-EXP(-LN(2)/2))/(LN(2)/2)*V140*Y140*VLOOKUP('Données projet'!$B$9,Paramètres!$A$1:$I$88,3,0)*0.475*44/12</f>
        <v>9.8792097701580375E-11</v>
      </c>
      <c r="AC140" s="24">
        <f t="shared" si="111"/>
        <v>60.011269601100437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projet'!$B$10,Paramètres!$A$1:$I$88,3,0)*VLOOKUP('Données projet'!$B$10,Paramètres!$A$1:$I$88,5,0)</f>
        <v>-1.2414602679200471E-13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243.3456100842846</v>
      </c>
      <c r="AO140" s="62">
        <f t="shared" si="144"/>
        <v>301.6462497303628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25.199444053182095</v>
      </c>
      <c r="AV140" s="23">
        <f>EXP(-LN(2)/25)*AV139+(1-EXP(-LN(2)/25))/(LN(2)/25)*Calculateur!AQ140*Calculateur!AS140*VLOOKUP('Données projet'!$B$10,Paramètres!$A$1:$I$88,3,0)*0.475*44/12</f>
        <v>4.3467803988250067</v>
      </c>
      <c r="AW140" s="23">
        <f>EXP(-LN(2)/2)*AW139+(1-EXP(-LN(2)/2))/(LN(2)/2)*AQ140*AT140*VLOOKUP('Données projet'!$B$10,Paramètres!$A$1:$I$88,3,0)*0.475*44/12</f>
        <v>4.3319623109116116E-11</v>
      </c>
      <c r="AX140" s="23">
        <f t="shared" si="114"/>
        <v>29.546224452050421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-2.8421709430404007E-14</v>
      </c>
      <c r="BE140" s="14">
        <f>BD140*VLOOKUP('Données projet'!$B$11,Paramètres!$A$1:$I$88,3,0)*VLOOKUP('Données projet'!$B$11,Paramètres!$A$1:$I$88,5,0)</f>
        <v>-2.2612312022829431E-14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219.20272956499281</v>
      </c>
      <c r="BJ140" s="62">
        <f t="shared" si="146"/>
        <v>244.37146912604081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18.502158019285826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18.502158019285826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67.978999291052602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4.4444444444444446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16.296296296296298</v>
      </c>
      <c r="H141" s="70">
        <f t="shared" si="110"/>
        <v>191.4814814814815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415.21844537846482</v>
      </c>
      <c r="T141" s="62">
        <f t="shared" si="142"/>
        <v>491.25626166862321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51.593786915111309</v>
      </c>
      <c r="AA141" s="23">
        <f>EXP(-LN(2)/25)*AA140+(1-EXP(-LN(2)/25))/(LN(2)/25)*Calculateur!V141*Calculateur!X141*VLOOKUP('Données projet'!$B$9,Paramètres!$A$1:$I$88,3,0)*0.475*44/12</f>
        <v>7.1835663717071823</v>
      </c>
      <c r="AB141" s="23">
        <f>EXP(-LN(2)/2)*AB140+(1-EXP(-LN(2)/2))/(LN(2)/2)*V141*Y141*VLOOKUP('Données projet'!$B$9,Paramètres!$A$1:$I$88,3,0)*0.475*44/12</f>
        <v>6.9856562212431417E-11</v>
      </c>
      <c r="AC141" s="24">
        <f t="shared" si="111"/>
        <v>58.777353286888342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projet'!$B$10,Paramètres!$A$1:$I$88,3,0)*VLOOKUP('Données projet'!$B$10,Paramètres!$A$1:$I$88,5,0)</f>
        <v>-1.2414602679200471E-13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243.3456100842846</v>
      </c>
      <c r="AO141" s="62">
        <f t="shared" si="144"/>
        <v>301.6462497303628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24.705298325442392</v>
      </c>
      <c r="AV141" s="23">
        <f>EXP(-LN(2)/25)*AV140+(1-EXP(-LN(2)/25))/(LN(2)/25)*Calculateur!AQ141*Calculateur!AS141*VLOOKUP('Données projet'!$B$10,Paramètres!$A$1:$I$88,3,0)*0.475*44/12</f>
        <v>4.2279174602318905</v>
      </c>
      <c r="AW141" s="23">
        <f>EXP(-LN(2)/2)*AW140+(1-EXP(-LN(2)/2))/(LN(2)/2)*AQ141*AT141*VLOOKUP('Données projet'!$B$10,Paramètres!$A$1:$I$88,3,0)*0.475*44/12</f>
        <v>3.0631599258901477E-11</v>
      </c>
      <c r="AX141" s="23">
        <f t="shared" si="114"/>
        <v>28.933215785704913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-2.8421709430404007E-14</v>
      </c>
      <c r="BE141" s="14">
        <f>BD141*VLOOKUP('Données projet'!$B$11,Paramètres!$A$1:$I$88,3,0)*VLOOKUP('Données projet'!$B$11,Paramètres!$A$1:$I$88,5,0)</f>
        <v>-2.2612312022829431E-14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219.20272956499281</v>
      </c>
      <c r="BJ141" s="62">
        <f t="shared" si="146"/>
        <v>244.37146912604081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18.1393419857297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18.1393419857297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68.014059135072145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4.4444444444444446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16.296296296296298</v>
      </c>
      <c r="H142" s="70">
        <f t="shared" si="110"/>
        <v>191.4814814814815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415.21844537846482</v>
      </c>
      <c r="T142" s="62">
        <f t="shared" si="142"/>
        <v>491.25626166862321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50.582064222808675</v>
      </c>
      <c r="AA142" s="23">
        <f>EXP(-LN(2)/25)*AA141+(1-EXP(-LN(2)/25))/(LN(2)/25)*Calculateur!V142*Calculateur!X142*VLOOKUP('Données projet'!$B$9,Paramètres!$A$1:$I$88,3,0)*0.475*44/12</f>
        <v>6.9871313715055123</v>
      </c>
      <c r="AB142" s="23">
        <f>EXP(-LN(2)/2)*AB141+(1-EXP(-LN(2)/2))/(LN(2)/2)*V142*Y142*VLOOKUP('Données projet'!$B$9,Paramètres!$A$1:$I$88,3,0)*0.475*44/12</f>
        <v>4.9396048850790188E-11</v>
      </c>
      <c r="AC142" s="24">
        <f t="shared" si="111"/>
        <v>57.569195594363585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projet'!$B$10,Paramètres!$A$1:$I$88,3,0)*VLOOKUP('Données projet'!$B$10,Paramètres!$A$1:$I$88,5,0)</f>
        <v>-1.2414602679200471E-13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243.3456100842846</v>
      </c>
      <c r="AO142" s="62">
        <f t="shared" si="144"/>
        <v>301.6462497303628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24.220842494024531</v>
      </c>
      <c r="AV142" s="23">
        <f>EXP(-LN(2)/25)*AV141+(1-EXP(-LN(2)/25))/(LN(2)/25)*Calculateur!AQ142*Calculateur!AS142*VLOOKUP('Données projet'!$B$10,Paramètres!$A$1:$I$88,3,0)*0.475*44/12</f>
        <v>4.1123048349453333</v>
      </c>
      <c r="AW142" s="23">
        <f>EXP(-LN(2)/2)*AW141+(1-EXP(-LN(2)/2))/(LN(2)/2)*AQ142*AT142*VLOOKUP('Données projet'!$B$10,Paramètres!$A$1:$I$88,3,0)*0.475*44/12</f>
        <v>2.1659811554558058E-11</v>
      </c>
      <c r="AX142" s="23">
        <f t="shared" si="114"/>
        <v>28.333147328991526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-2.8421709430404007E-14</v>
      </c>
      <c r="BE142" s="14">
        <f>BD142*VLOOKUP('Données projet'!$B$11,Paramètres!$A$1:$I$88,3,0)*VLOOKUP('Données projet'!$B$11,Paramètres!$A$1:$I$88,5,0)</f>
        <v>-2.2612312022829431E-14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219.20272956499281</v>
      </c>
      <c r="BJ142" s="62">
        <f t="shared" si="146"/>
        <v>244.37146912604081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17.783640553295683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17.783640553295683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68.048510769180012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4.4444444444444446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16.296296296296298</v>
      </c>
      <c r="H143" s="70">
        <f t="shared" si="110"/>
        <v>191.4814814814815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415.21844537846482</v>
      </c>
      <c r="T143" s="62">
        <f t="shared" si="142"/>
        <v>491.25626166862321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49.590180795412188</v>
      </c>
      <c r="AA143" s="23">
        <f>EXP(-LN(2)/25)*AA142+(1-EXP(-LN(2)/25))/(LN(2)/25)*Calculateur!V143*Calculateur!X143*VLOOKUP('Données projet'!$B$9,Paramètres!$A$1:$I$88,3,0)*0.475*44/12</f>
        <v>6.7960678967144244</v>
      </c>
      <c r="AB143" s="23">
        <f>EXP(-LN(2)/2)*AB142+(1-EXP(-LN(2)/2))/(LN(2)/2)*V143*Y143*VLOOKUP('Données projet'!$B$9,Paramètres!$A$1:$I$88,3,0)*0.475*44/12</f>
        <v>3.4928281106215709E-11</v>
      </c>
      <c r="AC143" s="24">
        <f t="shared" si="111"/>
        <v>56.386248692161544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projet'!$B$10,Paramètres!$A$1:$I$88,3,0)*VLOOKUP('Données projet'!$B$10,Paramètres!$A$1:$I$88,5,0)</f>
        <v>-1.2414602679200471E-13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243.3456100842846</v>
      </c>
      <c r="AO143" s="62">
        <f t="shared" si="144"/>
        <v>301.6462497303628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23.745886545971892</v>
      </c>
      <c r="AV143" s="23">
        <f>EXP(-LN(2)/25)*AV142+(1-EXP(-LN(2)/25))/(LN(2)/25)*Calculateur!AQ143*Calculateur!AS143*VLOOKUP('Données projet'!$B$10,Paramètres!$A$1:$I$88,3,0)*0.475*44/12</f>
        <v>3.9998536429770408</v>
      </c>
      <c r="AW143" s="23">
        <f>EXP(-LN(2)/2)*AW142+(1-EXP(-LN(2)/2))/(LN(2)/2)*AQ143*AT143*VLOOKUP('Données projet'!$B$10,Paramètres!$A$1:$I$88,3,0)*0.475*44/12</f>
        <v>1.5315799629450739E-11</v>
      </c>
      <c r="AX143" s="23">
        <f t="shared" si="114"/>
        <v>27.745740188964248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-2.8421709430404007E-14</v>
      </c>
      <c r="BE143" s="14">
        <f>BD143*VLOOKUP('Données projet'!$B$11,Paramètres!$A$1:$I$88,3,0)*VLOOKUP('Données projet'!$B$11,Paramètres!$A$1:$I$88,5,0)</f>
        <v>-2.2612312022829431E-14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219.20272956499281</v>
      </c>
      <c r="BJ143" s="62">
        <f t="shared" si="146"/>
        <v>244.37146912604081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17.434914208995245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17.434914208995245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68.082364744458431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4.4444444444444446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16.296296296296298</v>
      </c>
      <c r="H144" s="70">
        <f t="shared" si="110"/>
        <v>191.4814814814815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415.21844537846482</v>
      </c>
      <c r="T144" s="62">
        <f t="shared" si="142"/>
        <v>491.25626166862321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48.617747597037791</v>
      </c>
      <c r="AA144" s="23">
        <f>EXP(-LN(2)/25)*AA143+(1-EXP(-LN(2)/25))/(LN(2)/25)*Calculateur!V144*Calculateur!X144*VLOOKUP('Données projet'!$B$9,Paramètres!$A$1:$I$88,3,0)*0.475*44/12</f>
        <v>6.6102290626890907</v>
      </c>
      <c r="AB144" s="23">
        <f>EXP(-LN(2)/2)*AB143+(1-EXP(-LN(2)/2))/(LN(2)/2)*V144*Y144*VLOOKUP('Données projet'!$B$9,Paramètres!$A$1:$I$88,3,0)*0.475*44/12</f>
        <v>2.4698024425395094E-11</v>
      </c>
      <c r="AC144" s="24">
        <f t="shared" si="111"/>
        <v>55.227976659751583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projet'!$B$10,Paramètres!$A$1:$I$88,3,0)*VLOOKUP('Données projet'!$B$10,Paramètres!$A$1:$I$88,5,0)</f>
        <v>-1.2414602679200471E-13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243.3456100842846</v>
      </c>
      <c r="AO144" s="62">
        <f t="shared" si="144"/>
        <v>301.6462497303628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23.280244194366045</v>
      </c>
      <c r="AV144" s="23">
        <f>EXP(-LN(2)/25)*AV143+(1-EXP(-LN(2)/25))/(LN(2)/25)*Calculateur!AQ144*Calculateur!AS144*VLOOKUP('Données projet'!$B$10,Paramètres!$A$1:$I$88,3,0)*0.475*44/12</f>
        <v>3.8904774347666722</v>
      </c>
      <c r="AW144" s="23">
        <f>EXP(-LN(2)/2)*AW143+(1-EXP(-LN(2)/2))/(LN(2)/2)*AQ144*AT144*VLOOKUP('Données projet'!$B$10,Paramètres!$A$1:$I$88,3,0)*0.475*44/12</f>
        <v>1.0829905777279029E-11</v>
      </c>
      <c r="AX144" s="23">
        <f t="shared" si="114"/>
        <v>27.170721629143546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-2.8421709430404007E-14</v>
      </c>
      <c r="BE144" s="14">
        <f>BD144*VLOOKUP('Données projet'!$B$11,Paramètres!$A$1:$I$88,3,0)*VLOOKUP('Données projet'!$B$11,Paramètres!$A$1:$I$88,5,0)</f>
        <v>-2.2612312022829431E-14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219.20272956499281</v>
      </c>
      <c r="BJ144" s="62">
        <f t="shared" si="146"/>
        <v>244.37146912604081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17.093026175604471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17.093026175604471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68.115631428951914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4.4444444444444446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16.296296296296298</v>
      </c>
      <c r="H145" s="70">
        <f t="shared" si="110"/>
        <v>191.4814814814815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415.21844537846482</v>
      </c>
      <c r="T145" s="62">
        <f t="shared" si="142"/>
        <v>491.25626166862321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47.664383220557838</v>
      </c>
      <c r="AA145" s="23">
        <f>EXP(-LN(2)/25)*AA144+(1-EXP(-LN(2)/25))/(LN(2)/25)*Calculateur!V145*Calculateur!X145*VLOOKUP('Données projet'!$B$9,Paramètres!$A$1:$I$88,3,0)*0.475*44/12</f>
        <v>6.4294720013530187</v>
      </c>
      <c r="AB145" s="23">
        <f>EXP(-LN(2)/2)*AB144+(1-EXP(-LN(2)/2))/(LN(2)/2)*V145*Y145*VLOOKUP('Données projet'!$B$9,Paramètres!$A$1:$I$88,3,0)*0.475*44/12</f>
        <v>1.7464140553107854E-11</v>
      </c>
      <c r="AC145" s="24">
        <f t="shared" si="111"/>
        <v>54.093855221928322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projet'!$B$10,Paramètres!$A$1:$I$88,3,0)*VLOOKUP('Données projet'!$B$10,Paramètres!$A$1:$I$88,5,0)</f>
        <v>-1.2414602679200471E-13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243.3456100842846</v>
      </c>
      <c r="AO145" s="62">
        <f t="shared" si="144"/>
        <v>301.6462497303628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22.823732805261397</v>
      </c>
      <c r="AV145" s="23">
        <f>EXP(-LN(2)/25)*AV144+(1-EXP(-LN(2)/25))/(LN(2)/25)*Calculateur!AQ145*Calculateur!AS145*VLOOKUP('Données projet'!$B$10,Paramètres!$A$1:$I$88,3,0)*0.475*44/12</f>
        <v>3.7840921247216612</v>
      </c>
      <c r="AW145" s="23">
        <f>EXP(-LN(2)/2)*AW144+(1-EXP(-LN(2)/2))/(LN(2)/2)*AQ145*AT145*VLOOKUP('Données projet'!$B$10,Paramètres!$A$1:$I$88,3,0)*0.475*44/12</f>
        <v>7.6578998147253693E-12</v>
      </c>
      <c r="AX145" s="23">
        <f t="shared" si="114"/>
        <v>26.607824929990716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-2.8421709430404007E-14</v>
      </c>
      <c r="BE145" s="14">
        <f>BD145*VLOOKUP('Données projet'!$B$11,Paramètres!$A$1:$I$88,3,0)*VLOOKUP('Données projet'!$B$11,Paramètres!$A$1:$I$88,5,0)</f>
        <v>-2.2612312022829431E-14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219.20272956499281</v>
      </c>
      <c r="BJ145" s="62">
        <f t="shared" si="146"/>
        <v>244.37146912604081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16.757842358017381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16.757842358017381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68.148321010842594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4.4444444444444446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16.296296296296298</v>
      </c>
      <c r="H146" s="70">
        <f t="shared" si="110"/>
        <v>191.4814814814815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415.21844537846482</v>
      </c>
      <c r="T146" s="62">
        <f t="shared" si="142"/>
        <v>491.25626166862321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46.729713738005799</v>
      </c>
      <c r="AA146" s="23">
        <f>EXP(-LN(2)/25)*AA145+(1-EXP(-LN(2)/25))/(LN(2)/25)*Calculateur!V146*Calculateur!X146*VLOOKUP('Données projet'!$B$9,Paramètres!$A$1:$I$88,3,0)*0.475*44/12</f>
        <v>6.2536577513647824</v>
      </c>
      <c r="AB146" s="23">
        <f>EXP(-LN(2)/2)*AB145+(1-EXP(-LN(2)/2))/(LN(2)/2)*V146*Y146*VLOOKUP('Données projet'!$B$9,Paramètres!$A$1:$I$88,3,0)*0.475*44/12</f>
        <v>1.2349012212697547E-11</v>
      </c>
      <c r="AC146" s="24">
        <f t="shared" si="111"/>
        <v>52.983371489382932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projet'!$B$10,Paramètres!$A$1:$I$88,3,0)*VLOOKUP('Données projet'!$B$10,Paramètres!$A$1:$I$88,5,0)</f>
        <v>-1.2414602679200471E-13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243.3456100842846</v>
      </c>
      <c r="AO146" s="62">
        <f t="shared" si="144"/>
        <v>301.6462497303628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22.376173326052637</v>
      </c>
      <c r="AV146" s="23">
        <f>EXP(-LN(2)/25)*AV145+(1-EXP(-LN(2)/25))/(LN(2)/25)*Calculateur!AQ146*Calculateur!AS146*VLOOKUP('Données projet'!$B$10,Paramètres!$A$1:$I$88,3,0)*0.475*44/12</f>
        <v>3.6806159265743914</v>
      </c>
      <c r="AW146" s="23">
        <f>EXP(-LN(2)/2)*AW145+(1-EXP(-LN(2)/2))/(LN(2)/2)*AQ146*AT146*VLOOKUP('Données projet'!$B$10,Paramètres!$A$1:$I$88,3,0)*0.475*44/12</f>
        <v>5.4149528886395145E-12</v>
      </c>
      <c r="AX146" s="23">
        <f t="shared" si="114"/>
        <v>26.056789252632441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-2.8421709430404007E-14</v>
      </c>
      <c r="BE146" s="14">
        <f>BD146*VLOOKUP('Données projet'!$B$11,Paramètres!$A$1:$I$88,3,0)*VLOOKUP('Données projet'!$B$11,Paramètres!$A$1:$I$88,5,0)</f>
        <v>-2.2612312022829431E-14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219.20272956499281</v>
      </c>
      <c r="BJ146" s="62">
        <f t="shared" si="146"/>
        <v>244.37146912604081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16.429231290651231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16.429231290651231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68.180443501570437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4.4444444444444446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16.296296296296298</v>
      </c>
      <c r="H147" s="70">
        <f t="shared" si="110"/>
        <v>191.4814814814815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415.21844537846482</v>
      </c>
      <c r="T147" s="62">
        <f t="shared" si="142"/>
        <v>491.25626166862321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45.813372553914519</v>
      </c>
      <c r="AA147" s="23">
        <f>EXP(-LN(2)/25)*AA146+(1-EXP(-LN(2)/25))/(LN(2)/25)*Calculateur!V147*Calculateur!X147*VLOOKUP('Données projet'!$B$9,Paramètres!$A$1:$I$88,3,0)*0.475*44/12</f>
        <v>6.082651151288144</v>
      </c>
      <c r="AB147" s="23">
        <f>EXP(-LN(2)/2)*AB146+(1-EXP(-LN(2)/2))/(LN(2)/2)*V147*Y147*VLOOKUP('Données projet'!$B$9,Paramètres!$A$1:$I$88,3,0)*0.475*44/12</f>
        <v>8.7320702765539272E-12</v>
      </c>
      <c r="AC147" s="24">
        <f t="shared" si="111"/>
        <v>51.896023705211398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projet'!$B$10,Paramètres!$A$1:$I$88,3,0)*VLOOKUP('Données projet'!$B$10,Paramètres!$A$1:$I$88,5,0)</f>
        <v>-1.2414602679200471E-13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243.3456100842846</v>
      </c>
      <c r="AO147" s="62">
        <f t="shared" si="144"/>
        <v>301.6462497303628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21.937390215246833</v>
      </c>
      <c r="AV147" s="23">
        <f>EXP(-LN(2)/25)*AV146+(1-EXP(-LN(2)/25))/(LN(2)/25)*Calculateur!AQ147*Calculateur!AS147*VLOOKUP('Données projet'!$B$10,Paramètres!$A$1:$I$88,3,0)*0.475*44/12</f>
        <v>3.5799692905070351</v>
      </c>
      <c r="AW147" s="23">
        <f>EXP(-LN(2)/2)*AW146+(1-EXP(-LN(2)/2))/(LN(2)/2)*AQ147*AT147*VLOOKUP('Données projet'!$B$10,Paramètres!$A$1:$I$88,3,0)*0.475*44/12</f>
        <v>3.8289499073626847E-12</v>
      </c>
      <c r="AX147" s="23">
        <f t="shared" si="114"/>
        <v>25.517359505757696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-2.8421709430404007E-14</v>
      </c>
      <c r="BE147" s="14">
        <f>BD147*VLOOKUP('Données projet'!$B$11,Paramètres!$A$1:$I$88,3,0)*VLOOKUP('Données projet'!$B$11,Paramètres!$A$1:$I$88,5,0)</f>
        <v>-2.2612312022829431E-14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219.20272956499281</v>
      </c>
      <c r="BJ147" s="62">
        <f t="shared" si="146"/>
        <v>244.37146912604081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16.10706408588317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16.10706408588317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68.212008738899272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4.4444444444444446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16.296296296296298</v>
      </c>
      <c r="H148" s="70">
        <f t="shared" si="110"/>
        <v>191.4814814814815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415.21844537846482</v>
      </c>
      <c r="T148" s="62">
        <f t="shared" si="142"/>
        <v>491.25626166862321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44.915000261530331</v>
      </c>
      <c r="AA148" s="23">
        <f>EXP(-LN(2)/25)*AA147+(1-EXP(-LN(2)/25))/(LN(2)/25)*Calculateur!V148*Calculateur!X148*VLOOKUP('Données projet'!$B$9,Paramètres!$A$1:$I$88,3,0)*0.475*44/12</f>
        <v>5.9163207356834482</v>
      </c>
      <c r="AB148" s="23">
        <f>EXP(-LN(2)/2)*AB147+(1-EXP(-LN(2)/2))/(LN(2)/2)*V148*Y148*VLOOKUP('Données projet'!$B$9,Paramètres!$A$1:$I$88,3,0)*0.475*44/12</f>
        <v>6.1745061063487734E-12</v>
      </c>
      <c r="AC148" s="24">
        <f t="shared" si="111"/>
        <v>50.831320997219954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projet'!$B$10,Paramètres!$A$1:$I$88,3,0)*VLOOKUP('Données projet'!$B$10,Paramètres!$A$1:$I$88,5,0)</f>
        <v>-1.2414602679200471E-13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243.3456100842846</v>
      </c>
      <c r="AO148" s="62">
        <f t="shared" si="144"/>
        <v>301.6462497303628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21.507211373612659</v>
      </c>
      <c r="AV148" s="23">
        <f>EXP(-LN(2)/25)*AV147+(1-EXP(-LN(2)/25))/(LN(2)/25)*Calculateur!AQ148*Calculateur!AS148*VLOOKUP('Données projet'!$B$10,Paramètres!$A$1:$I$88,3,0)*0.475*44/12</f>
        <v>3.4820748419957175</v>
      </c>
      <c r="AW148" s="23">
        <f>EXP(-LN(2)/2)*AW147+(1-EXP(-LN(2)/2))/(LN(2)/2)*AQ148*AT148*VLOOKUP('Données projet'!$B$10,Paramètres!$A$1:$I$88,3,0)*0.475*44/12</f>
        <v>2.7074764443197573E-12</v>
      </c>
      <c r="AX148" s="23">
        <f t="shared" si="114"/>
        <v>24.989286215611084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-2.8421709430404007E-14</v>
      </c>
      <c r="BE148" s="14">
        <f>BD148*VLOOKUP('Données projet'!$B$11,Paramètres!$A$1:$I$88,3,0)*VLOOKUP('Données projet'!$B$11,Paramètres!$A$1:$I$88,5,0)</f>
        <v>-2.2612312022829431E-14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219.20272956499281</v>
      </c>
      <c r="BJ148" s="62">
        <f t="shared" si="146"/>
        <v>244.37146912604081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15.791214383498021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15.791214383498021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68.243026389929753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4.4444444444444446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16.296296296296298</v>
      </c>
      <c r="H149" s="70">
        <f t="shared" si="110"/>
        <v>191.4814814814815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415.21844537846482</v>
      </c>
      <c r="T149" s="62">
        <f t="shared" si="142"/>
        <v>491.25626166862321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44.034244501846807</v>
      </c>
      <c r="AA149" s="23">
        <f>EXP(-LN(2)/25)*AA148+(1-EXP(-LN(2)/25))/(LN(2)/25)*Calculateur!V149*Calculateur!X149*VLOOKUP('Données projet'!$B$9,Paramètres!$A$1:$I$88,3,0)*0.475*44/12</f>
        <v>5.754538634040399</v>
      </c>
      <c r="AB149" s="23">
        <f>EXP(-LN(2)/2)*AB148+(1-EXP(-LN(2)/2))/(LN(2)/2)*V149*Y149*VLOOKUP('Données projet'!$B$9,Paramètres!$A$1:$I$88,3,0)*0.475*44/12</f>
        <v>4.3660351382769636E-12</v>
      </c>
      <c r="AC149" s="24">
        <f t="shared" si="111"/>
        <v>49.78878313589157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projet'!$B$10,Paramètres!$A$1:$I$88,3,0)*VLOOKUP('Données projet'!$B$10,Paramètres!$A$1:$I$88,5,0)</f>
        <v>-1.2414602679200471E-13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243.3456100842846</v>
      </c>
      <c r="AO149" s="62">
        <f t="shared" si="144"/>
        <v>301.6462497303628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21.085468076679746</v>
      </c>
      <c r="AV149" s="23">
        <f>EXP(-LN(2)/25)*AV148+(1-EXP(-LN(2)/25))/(LN(2)/25)*Calculateur!AQ149*Calculateur!AS149*VLOOKUP('Données projet'!$B$10,Paramètres!$A$1:$I$88,3,0)*0.475*44/12</f>
        <v>3.3868573223269869</v>
      </c>
      <c r="AW149" s="23">
        <f>EXP(-LN(2)/2)*AW148+(1-EXP(-LN(2)/2))/(LN(2)/2)*AQ149*AT149*VLOOKUP('Données projet'!$B$10,Paramètres!$A$1:$I$88,3,0)*0.475*44/12</f>
        <v>1.9144749536813423E-12</v>
      </c>
      <c r="AX149" s="23">
        <f t="shared" si="114"/>
        <v>24.472325399008646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-2.8421709430404007E-14</v>
      </c>
      <c r="BE149" s="14">
        <f>BD149*VLOOKUP('Données projet'!$B$11,Paramètres!$A$1:$I$88,3,0)*VLOOKUP('Données projet'!$B$11,Paramètres!$A$1:$I$88,5,0)</f>
        <v>-2.2612312022829431E-14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219.20272956499281</v>
      </c>
      <c r="BJ149" s="62">
        <f t="shared" si="146"/>
        <v>244.37146912604081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15.481558301127349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15.481558301127349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68.273505954059942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4.4444444444444446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16.296296296296298</v>
      </c>
      <c r="H150" s="70">
        <f t="shared" si="110"/>
        <v>191.4814814814815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415.21844537846482</v>
      </c>
      <c r="T150" s="62">
        <f t="shared" si="142"/>
        <v>491.25626166862321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43.170759825402705</v>
      </c>
      <c r="AA150" s="23">
        <f>EXP(-LN(2)/25)*AA149+(1-EXP(-LN(2)/25))/(LN(2)/25)*Calculateur!V150*Calculateur!X150*VLOOKUP('Données projet'!$B$9,Paramètres!$A$1:$I$88,3,0)*0.475*44/12</f>
        <v>5.5971804724745295</v>
      </c>
      <c r="AB150" s="23">
        <f>EXP(-LN(2)/2)*AB149+(1-EXP(-LN(2)/2))/(LN(2)/2)*V150*Y150*VLOOKUP('Données projet'!$B$9,Paramètres!$A$1:$I$88,3,0)*0.475*44/12</f>
        <v>3.0872530531743867E-12</v>
      </c>
      <c r="AC150" s="24">
        <f t="shared" si="111"/>
        <v>48.767940297880315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projet'!$B$10,Paramètres!$A$1:$I$88,3,0)*VLOOKUP('Données projet'!$B$10,Paramètres!$A$1:$I$88,5,0)</f>
        <v>-1.2414602679200471E-13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243.3456100842846</v>
      </c>
      <c r="AO150" s="62">
        <f t="shared" si="144"/>
        <v>301.6462497303628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20.671994908561679</v>
      </c>
      <c r="AV150" s="23">
        <f>EXP(-LN(2)/25)*AV149+(1-EXP(-LN(2)/25))/(LN(2)/25)*Calculateur!AQ150*Calculateur!AS150*VLOOKUP('Données projet'!$B$10,Paramètres!$A$1:$I$88,3,0)*0.475*44/12</f>
        <v>3.2942435307408697</v>
      </c>
      <c r="AW150" s="23">
        <f>EXP(-LN(2)/2)*AW149+(1-EXP(-LN(2)/2))/(LN(2)/2)*AQ150*AT150*VLOOKUP('Données projet'!$B$10,Paramètres!$A$1:$I$88,3,0)*0.475*44/12</f>
        <v>1.3537382221598786E-12</v>
      </c>
      <c r="AX150" s="23">
        <f t="shared" si="114"/>
        <v>23.966238439303904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-2.8421709430404007E-14</v>
      </c>
      <c r="BE150" s="14">
        <f>BD150*VLOOKUP('Données projet'!$B$11,Paramètres!$A$1:$I$88,3,0)*VLOOKUP('Données projet'!$B$11,Paramètres!$A$1:$I$88,5,0)</f>
        <v>-2.2612312022829431E-14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219.20272956499281</v>
      </c>
      <c r="BJ150" s="62">
        <f t="shared" si="146"/>
        <v>244.37146912604081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15.177974385660404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15.177974385660404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68.303456765894566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4.4444444444444446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16.296296296296298</v>
      </c>
      <c r="H151" s="70">
        <f t="shared" si="110"/>
        <v>191.4814814814815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415.21844537846482</v>
      </c>
      <c r="T151" s="62">
        <f t="shared" si="142"/>
        <v>491.25626166862321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42.324207556790029</v>
      </c>
      <c r="AA151" s="23">
        <f>EXP(-LN(2)/25)*AA150+(1-EXP(-LN(2)/25))/(LN(2)/25)*Calculateur!V151*Calculateur!X151*VLOOKUP('Données projet'!$B$9,Paramètres!$A$1:$I$88,3,0)*0.475*44/12</f>
        <v>5.4441252781117848</v>
      </c>
      <c r="AB151" s="23">
        <f>EXP(-LN(2)/2)*AB150+(1-EXP(-LN(2)/2))/(LN(2)/2)*V151*Y151*VLOOKUP('Données projet'!$B$9,Paramètres!$A$1:$I$88,3,0)*0.475*44/12</f>
        <v>2.1830175691384818E-12</v>
      </c>
      <c r="AC151" s="24">
        <f t="shared" si="111"/>
        <v>47.768332834903994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projet'!$B$10,Paramètres!$A$1:$I$88,3,0)*VLOOKUP('Données projet'!$B$10,Paramètres!$A$1:$I$88,5,0)</f>
        <v>-1.2414602679200471E-13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243.3456100842846</v>
      </c>
      <c r="AO151" s="62">
        <f t="shared" si="144"/>
        <v>301.6462497303628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20.266629697076677</v>
      </c>
      <c r="AV151" s="23">
        <f>EXP(-LN(2)/25)*AV150+(1-EXP(-LN(2)/25))/(LN(2)/25)*Calculateur!AQ151*Calculateur!AS151*VLOOKUP('Données projet'!$B$10,Paramètres!$A$1:$I$88,3,0)*0.475*44/12</f>
        <v>3.2041622681560225</v>
      </c>
      <c r="AW151" s="23">
        <f>EXP(-LN(2)/2)*AW150+(1-EXP(-LN(2)/2))/(LN(2)/2)*AQ151*AT151*VLOOKUP('Données projet'!$B$10,Paramètres!$A$1:$I$88,3,0)*0.475*44/12</f>
        <v>9.5723747684067116E-13</v>
      </c>
      <c r="AX151" s="23">
        <f t="shared" si="114"/>
        <v>23.470791965233655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-2.8421709430404007E-14</v>
      </c>
      <c r="BE151" s="14">
        <f>BD151*VLOOKUP('Données projet'!$B$11,Paramètres!$A$1:$I$88,3,0)*VLOOKUP('Données projet'!$B$11,Paramètres!$A$1:$I$88,5,0)</f>
        <v>-2.2612312022829431E-14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219.20272956499281</v>
      </c>
      <c r="BJ151" s="62">
        <f t="shared" si="146"/>
        <v>244.37146912604081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14.880343565607861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14.880343565607861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68.332887998103843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4.4444444444444446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16.296296296296298</v>
      </c>
      <c r="H152" s="70">
        <f t="shared" si="110"/>
        <v>191.4814814814815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415.21844537846482</v>
      </c>
      <c r="T152" s="62">
        <f t="shared" si="142"/>
        <v>491.25626166862321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41.494255661818947</v>
      </c>
      <c r="AA152" s="23">
        <f>EXP(-LN(2)/25)*AA151+(1-EXP(-LN(2)/25))/(LN(2)/25)*Calculateur!V152*Calculateur!X152*VLOOKUP('Données projet'!$B$9,Paramètres!$A$1:$I$88,3,0)*0.475*44/12</f>
        <v>5.2952553860877121</v>
      </c>
      <c r="AB152" s="23">
        <f>EXP(-LN(2)/2)*AB151+(1-EXP(-LN(2)/2))/(LN(2)/2)*V152*Y152*VLOOKUP('Données projet'!$B$9,Paramètres!$A$1:$I$88,3,0)*0.475*44/12</f>
        <v>1.5436265265871934E-12</v>
      </c>
      <c r="AC152" s="24">
        <f t="shared" si="111"/>
        <v>46.789511047908199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projet'!$B$10,Paramètres!$A$1:$I$88,3,0)*VLOOKUP('Données projet'!$B$10,Paramètres!$A$1:$I$88,5,0)</f>
        <v>-1.2414602679200471E-13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243.3456100842846</v>
      </c>
      <c r="AO152" s="62">
        <f t="shared" si="144"/>
        <v>301.6462497303628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19.869213450140531</v>
      </c>
      <c r="AV152" s="23">
        <f>EXP(-LN(2)/25)*AV151+(1-EXP(-LN(2)/25))/(LN(2)/25)*Calculateur!AQ152*Calculateur!AS152*VLOOKUP('Données projet'!$B$10,Paramètres!$A$1:$I$88,3,0)*0.475*44/12</f>
        <v>3.1165442824337255</v>
      </c>
      <c r="AW152" s="23">
        <f>EXP(-LN(2)/2)*AW151+(1-EXP(-LN(2)/2))/(LN(2)/2)*AQ152*AT152*VLOOKUP('Données projet'!$B$10,Paramètres!$A$1:$I$88,3,0)*0.475*44/12</f>
        <v>6.7686911107993931E-13</v>
      </c>
      <c r="AX152" s="23">
        <f t="shared" si="114"/>
        <v>22.985757732574935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-2.8421709430404007E-14</v>
      </c>
      <c r="BE152" s="14">
        <f>BD152*VLOOKUP('Données projet'!$B$11,Paramètres!$A$1:$I$88,3,0)*VLOOKUP('Données projet'!$B$11,Paramètres!$A$1:$I$88,5,0)</f>
        <v>-2.2612312022829431E-14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219.20272956499281</v>
      </c>
      <c r="BJ152" s="62">
        <f t="shared" si="146"/>
        <v>244.37146912604081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14.588549104399673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14.588549104399673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68.361808664232655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4.4444444444444446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16.296296296296298</v>
      </c>
      <c r="H153" s="70">
        <f t="shared" si="110"/>
        <v>191.4814814814815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415.21844537846482</v>
      </c>
      <c r="T153" s="62">
        <f t="shared" si="142"/>
        <v>491.25626166862321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40.680578617287573</v>
      </c>
      <c r="AA153" s="23">
        <f>EXP(-LN(2)/25)*AA152+(1-EXP(-LN(2)/25))/(LN(2)/25)*Calculateur!V153*Calculateur!X153*VLOOKUP('Données projet'!$B$9,Paramètres!$A$1:$I$88,3,0)*0.475*44/12</f>
        <v>5.1504563490897652</v>
      </c>
      <c r="AB153" s="23">
        <f>EXP(-LN(2)/2)*AB152+(1-EXP(-LN(2)/2))/(LN(2)/2)*V153*Y153*VLOOKUP('Données projet'!$B$9,Paramètres!$A$1:$I$88,3,0)*0.475*44/12</f>
        <v>1.0915087845692409E-12</v>
      </c>
      <c r="AC153" s="24">
        <f t="shared" si="111"/>
        <v>45.831034966378432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projet'!$B$10,Paramètres!$A$1:$I$88,3,0)*VLOOKUP('Données projet'!$B$10,Paramètres!$A$1:$I$88,5,0)</f>
        <v>-1.2414602679200471E-13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243.3456100842846</v>
      </c>
      <c r="AO153" s="62">
        <f t="shared" si="144"/>
        <v>301.6462497303628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19.479590293406826</v>
      </c>
      <c r="AV153" s="23">
        <f>EXP(-LN(2)/25)*AV152+(1-EXP(-LN(2)/25))/(LN(2)/25)*Calculateur!AQ153*Calculateur!AS153*VLOOKUP('Données projet'!$B$10,Paramètres!$A$1:$I$88,3,0)*0.475*44/12</f>
        <v>3.0313222151386343</v>
      </c>
      <c r="AW153" s="23">
        <f>EXP(-LN(2)/2)*AW152+(1-EXP(-LN(2)/2))/(LN(2)/2)*AQ153*AT153*VLOOKUP('Données projet'!$B$10,Paramètres!$A$1:$I$88,3,0)*0.475*44/12</f>
        <v>4.7861873842033558E-13</v>
      </c>
      <c r="AX153" s="23">
        <f t="shared" si="114"/>
        <v>22.510912508545939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-2.8421709430404007E-14</v>
      </c>
      <c r="BE153" s="14">
        <f>BD153*VLOOKUP('Données projet'!$B$11,Paramètres!$A$1:$I$88,3,0)*VLOOKUP('Données projet'!$B$11,Paramètres!$A$1:$I$88,5,0)</f>
        <v>-2.2612312022829431E-14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219.20272956499281</v>
      </c>
      <c r="BJ153" s="62">
        <f t="shared" si="146"/>
        <v>244.37146912604081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14.302476554598732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14.302476554598732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68.390227621461079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4.4444444444444446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16.296296296296298</v>
      </c>
      <c r="H154" s="70">
        <f t="shared" si="110"/>
        <v>191.4814814814815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415.21844537846482</v>
      </c>
      <c r="T154" s="62">
        <f t="shared" si="142"/>
        <v>491.25626166862321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39.882857283305469</v>
      </c>
      <c r="AA154" s="23">
        <f>EXP(-LN(2)/25)*AA153+(1-EXP(-LN(2)/25))/(LN(2)/25)*Calculateur!V154*Calculateur!X154*VLOOKUP('Données projet'!$B$9,Paramètres!$A$1:$I$88,3,0)*0.475*44/12</f>
        <v>5.0096168493731774</v>
      </c>
      <c r="AB154" s="23">
        <f>EXP(-LN(2)/2)*AB153+(1-EXP(-LN(2)/2))/(LN(2)/2)*V154*Y154*VLOOKUP('Données projet'!$B$9,Paramètres!$A$1:$I$88,3,0)*0.475*44/12</f>
        <v>7.7181326329359668E-13</v>
      </c>
      <c r="AC154" s="24">
        <f t="shared" ref="AC154:AC203" si="163">SUM(Z154:AB154)</f>
        <v>44.892474132679418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projet'!$B$10,Paramètres!$A$1:$I$88,3,0)*VLOOKUP('Données projet'!$B$10,Paramètres!$A$1:$I$88,5,0)</f>
        <v>-1.2414602679200471E-13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243.3456100842846</v>
      </c>
      <c r="AO154" s="62">
        <f t="shared" si="144"/>
        <v>301.6462497303628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19.09760740913001</v>
      </c>
      <c r="AV154" s="23">
        <f>EXP(-LN(2)/25)*AV153+(1-EXP(-LN(2)/25))/(LN(2)/25)*Calculateur!AQ154*Calculateur!AS154*VLOOKUP('Données projet'!$B$10,Paramètres!$A$1:$I$88,3,0)*0.475*44/12</f>
        <v>2.9484305497553613</v>
      </c>
      <c r="AW154" s="23">
        <f>EXP(-LN(2)/2)*AW153+(1-EXP(-LN(2)/2))/(LN(2)/2)*AQ154*AT154*VLOOKUP('Données projet'!$B$10,Paramètres!$A$1:$I$88,3,0)*0.475*44/12</f>
        <v>3.3843455553996966E-13</v>
      </c>
      <c r="AX154" s="23">
        <f t="shared" ref="AX154:AX203" si="166">SUM(AU154:AW154)</f>
        <v>22.046037958885709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-2.8421709430404007E-14</v>
      </c>
      <c r="BE154" s="14">
        <f>BD154*VLOOKUP('Données projet'!$B$11,Paramètres!$A$1:$I$88,3,0)*VLOOKUP('Données projet'!$B$11,Paramètres!$A$1:$I$88,5,0)</f>
        <v>-2.2612312022829431E-14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219.20272956499281</v>
      </c>
      <c r="BJ154" s="62">
        <f t="shared" si="146"/>
        <v>244.37146912604081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14.02201371301236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14.02201371301236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68.418153573316843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4.4444444444444446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16.296296296296298</v>
      </c>
      <c r="H155" s="70">
        <f t="shared" si="110"/>
        <v>191.4814814814815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415.21844537846482</v>
      </c>
      <c r="T155" s="62">
        <f t="shared" si="142"/>
        <v>491.25626166862321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39.100778778120784</v>
      </c>
      <c r="AA155" s="23">
        <f>EXP(-LN(2)/25)*AA154+(1-EXP(-LN(2)/25))/(LN(2)/25)*Calculateur!V155*Calculateur!X155*VLOOKUP('Données projet'!$B$9,Paramètres!$A$1:$I$88,3,0)*0.475*44/12</f>
        <v>4.8726286131827674</v>
      </c>
      <c r="AB155" s="23">
        <f>EXP(-LN(2)/2)*AB154+(1-EXP(-LN(2)/2))/(LN(2)/2)*V155*Y155*VLOOKUP('Données projet'!$B$9,Paramètres!$A$1:$I$88,3,0)*0.475*44/12</f>
        <v>5.4575439228462045E-13</v>
      </c>
      <c r="AC155" s="24">
        <f t="shared" si="163"/>
        <v>43.9734073913041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projet'!$B$10,Paramètres!$A$1:$I$88,3,0)*VLOOKUP('Données projet'!$B$10,Paramètres!$A$1:$I$88,5,0)</f>
        <v>-1.2414602679200471E-13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243.3456100842846</v>
      </c>
      <c r="AO155" s="62">
        <f t="shared" si="144"/>
        <v>301.6462497303628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18.723114976227308</v>
      </c>
      <c r="AV155" s="23">
        <f>EXP(-LN(2)/25)*AV154+(1-EXP(-LN(2)/25))/(LN(2)/25)*Calculateur!AQ155*Calculateur!AS155*VLOOKUP('Données projet'!$B$10,Paramètres!$A$1:$I$88,3,0)*0.475*44/12</f>
        <v>2.8678055613210769</v>
      </c>
      <c r="AW155" s="23">
        <f>EXP(-LN(2)/2)*AW154+(1-EXP(-LN(2)/2))/(LN(2)/2)*AQ155*AT155*VLOOKUP('Données projet'!$B$10,Paramètres!$A$1:$I$88,3,0)*0.475*44/12</f>
        <v>2.3930936921016779E-13</v>
      </c>
      <c r="AX155" s="23">
        <f t="shared" si="166"/>
        <v>21.590920537548623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-2.8421709430404007E-14</v>
      </c>
      <c r="BE155" s="14">
        <f>BD155*VLOOKUP('Données projet'!$B$11,Paramètres!$A$1:$I$88,3,0)*VLOOKUP('Données projet'!$B$11,Paramètres!$A$1:$I$88,5,0)</f>
        <v>-2.2612312022829431E-14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219.20272956499281</v>
      </c>
      <c r="BJ155" s="62">
        <f t="shared" si="146"/>
        <v>244.37146912604081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13.747050576684055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13.747050576684055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68.445595072340993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4.4444444444444446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16.296296296296298</v>
      </c>
      <c r="H156" s="70">
        <f t="shared" si="110"/>
        <v>191.4814814814815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415.21844537846482</v>
      </c>
      <c r="T156" s="62">
        <f t="shared" si="142"/>
        <v>491.25626166862321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38.334036355401985</v>
      </c>
      <c r="AA156" s="23">
        <f>EXP(-LN(2)/25)*AA155+(1-EXP(-LN(2)/25))/(LN(2)/25)*Calculateur!V156*Calculateur!X156*VLOOKUP('Données projet'!$B$9,Paramètres!$A$1:$I$88,3,0)*0.475*44/12</f>
        <v>4.7393863275148824</v>
      </c>
      <c r="AB156" s="23">
        <f>EXP(-LN(2)/2)*AB155+(1-EXP(-LN(2)/2))/(LN(2)/2)*V156*Y156*VLOOKUP('Données projet'!$B$9,Paramètres!$A$1:$I$88,3,0)*0.475*44/12</f>
        <v>3.8590663164679834E-13</v>
      </c>
      <c r="AC156" s="24">
        <f t="shared" si="163"/>
        <v>43.073422682917254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projet'!$B$10,Paramètres!$A$1:$I$88,3,0)*VLOOKUP('Données projet'!$B$10,Paramètres!$A$1:$I$88,5,0)</f>
        <v>-1.2414602679200471E-13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243.3456100842846</v>
      </c>
      <c r="AO156" s="62">
        <f t="shared" si="144"/>
        <v>301.6462497303628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18.355966111515997</v>
      </c>
      <c r="AV156" s="23">
        <f>EXP(-LN(2)/25)*AV155+(1-EXP(-LN(2)/25))/(LN(2)/25)*Calculateur!AQ156*Calculateur!AS156*VLOOKUP('Données projet'!$B$10,Paramètres!$A$1:$I$88,3,0)*0.475*44/12</f>
        <v>2.7893852674354118</v>
      </c>
      <c r="AW156" s="23">
        <f>EXP(-LN(2)/2)*AW155+(1-EXP(-LN(2)/2))/(LN(2)/2)*AQ156*AT156*VLOOKUP('Données projet'!$B$10,Paramètres!$A$1:$I$88,3,0)*0.475*44/12</f>
        <v>1.6921727776998483E-13</v>
      </c>
      <c r="AX156" s="23">
        <f t="shared" si="166"/>
        <v>21.145351378951581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-2.8421709430404007E-14</v>
      </c>
      <c r="BE156" s="14">
        <f>BD156*VLOOKUP('Données projet'!$B$11,Paramètres!$A$1:$I$88,3,0)*VLOOKUP('Données projet'!$B$11,Paramètres!$A$1:$I$88,5,0)</f>
        <v>-2.2612312022829431E-14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219.20272956499281</v>
      </c>
      <c r="BJ156" s="62">
        <f t="shared" si="146"/>
        <v>244.37146912604081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13.477479299748195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13.477479299748195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68.47256052270707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4.4444444444444446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16.296296296296298</v>
      </c>
      <c r="H157" s="70">
        <f t="shared" si="110"/>
        <v>191.4814814814815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415.21844537846482</v>
      </c>
      <c r="T157" s="62">
        <f t="shared" si="142"/>
        <v>491.25626166862321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37.582329283926001</v>
      </c>
      <c r="AA157" s="23">
        <f>EXP(-LN(2)/25)*AA156+(1-EXP(-LN(2)/25))/(LN(2)/25)*Calculateur!V157*Calculateur!X157*VLOOKUP('Données projet'!$B$9,Paramètres!$A$1:$I$88,3,0)*0.475*44/12</f>
        <v>4.6097875591554933</v>
      </c>
      <c r="AB157" s="23">
        <f>EXP(-LN(2)/2)*AB156+(1-EXP(-LN(2)/2))/(LN(2)/2)*V157*Y157*VLOOKUP('Données projet'!$B$9,Paramètres!$A$1:$I$88,3,0)*0.475*44/12</f>
        <v>2.7287719614231022E-13</v>
      </c>
      <c r="AC157" s="24">
        <f t="shared" si="163"/>
        <v>42.192116843081763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projet'!$B$10,Paramètres!$A$1:$I$88,3,0)*VLOOKUP('Données projet'!$B$10,Paramètres!$A$1:$I$88,5,0)</f>
        <v>-1.2414602679200471E-13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243.3456100842846</v>
      </c>
      <c r="AO157" s="62">
        <f t="shared" si="144"/>
        <v>301.6462497303628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17.99601681210298</v>
      </c>
      <c r="AV157" s="23">
        <f>EXP(-LN(2)/25)*AV156+(1-EXP(-LN(2)/25))/(LN(2)/25)*Calculateur!AQ157*Calculateur!AS157*VLOOKUP('Données projet'!$B$10,Paramètres!$A$1:$I$88,3,0)*0.475*44/12</f>
        <v>2.7131093806099944</v>
      </c>
      <c r="AW157" s="23">
        <f>EXP(-LN(2)/2)*AW156+(1-EXP(-LN(2)/2))/(LN(2)/2)*AQ157*AT157*VLOOKUP('Données projet'!$B$10,Paramètres!$A$1:$I$88,3,0)*0.475*44/12</f>
        <v>1.196546846050839E-13</v>
      </c>
      <c r="AX157" s="23">
        <f t="shared" si="166"/>
        <v>20.709126192713093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-2.8421709430404007E-14</v>
      </c>
      <c r="BE157" s="14">
        <f>BD157*VLOOKUP('Données projet'!$B$11,Paramètres!$A$1:$I$88,3,0)*VLOOKUP('Données projet'!$B$11,Paramètres!$A$1:$I$88,5,0)</f>
        <v>-2.2612312022829431E-14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219.20272956499281</v>
      </c>
      <c r="BJ157" s="62">
        <f t="shared" si="146"/>
        <v>244.37146912604081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13.213194151130804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13.213194151130804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68.499058182795011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4.4444444444444446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16.296296296296298</v>
      </c>
      <c r="H158" s="70">
        <f t="shared" si="110"/>
        <v>191.4814814814815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415.21844537846482</v>
      </c>
      <c r="T158" s="62">
        <f t="shared" si="142"/>
        <v>491.25626166862321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36.84536272962562</v>
      </c>
      <c r="AA158" s="23">
        <f>EXP(-LN(2)/25)*AA157+(1-EXP(-LN(2)/25))/(LN(2)/25)*Calculateur!V158*Calculateur!X158*VLOOKUP('Données projet'!$B$9,Paramètres!$A$1:$I$88,3,0)*0.475*44/12</f>
        <v>4.4837326759321945</v>
      </c>
      <c r="AB158" s="23">
        <f>EXP(-LN(2)/2)*AB157+(1-EXP(-LN(2)/2))/(LN(2)/2)*V158*Y158*VLOOKUP('Données projet'!$B$9,Paramètres!$A$1:$I$88,3,0)*0.475*44/12</f>
        <v>1.9295331582339917E-13</v>
      </c>
      <c r="AC158" s="24">
        <f t="shared" si="163"/>
        <v>41.329095405558007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projet'!$B$10,Paramètres!$A$1:$I$88,3,0)*VLOOKUP('Données projet'!$B$10,Paramètres!$A$1:$I$88,5,0)</f>
        <v>-1.2414602679200471E-13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243.3456100842846</v>
      </c>
      <c r="AO158" s="62">
        <f t="shared" si="144"/>
        <v>301.6462497303628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17.643125898904056</v>
      </c>
      <c r="AV158" s="23">
        <f>EXP(-LN(2)/25)*AV157+(1-EXP(-LN(2)/25))/(LN(2)/25)*Calculateur!AQ158*Calculateur!AS158*VLOOKUP('Données projet'!$B$10,Paramètres!$A$1:$I$88,3,0)*0.475*44/12</f>
        <v>2.6389192619209925</v>
      </c>
      <c r="AW158" s="23">
        <f>EXP(-LN(2)/2)*AW157+(1-EXP(-LN(2)/2))/(LN(2)/2)*AQ158*AT158*VLOOKUP('Données projet'!$B$10,Paramètres!$A$1:$I$88,3,0)*0.475*44/12</f>
        <v>8.4608638884992414E-14</v>
      </c>
      <c r="AX158" s="23">
        <f t="shared" si="166"/>
        <v>20.282045160825135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-2.8421709430404007E-14</v>
      </c>
      <c r="BE158" s="14">
        <f>BD158*VLOOKUP('Données projet'!$B$11,Paramètres!$A$1:$I$88,3,0)*VLOOKUP('Données projet'!$B$11,Paramètres!$A$1:$I$88,5,0)</f>
        <v>-2.2612312022829431E-14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219.20272956499281</v>
      </c>
      <c r="BJ158" s="62">
        <f t="shared" si="146"/>
        <v>244.37146912604081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12.954091473079776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12.954091473079776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68.525096167720321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4.4444444444444446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16.296296296296298</v>
      </c>
      <c r="H159" s="70">
        <f t="shared" si="110"/>
        <v>191.4814814814815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415.21844537846482</v>
      </c>
      <c r="T159" s="62">
        <f t="shared" si="142"/>
        <v>491.25626166862321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36.12284763994986</v>
      </c>
      <c r="AA159" s="23">
        <f>EXP(-LN(2)/25)*AA158+(1-EXP(-LN(2)/25))/(LN(2)/25)*Calculateur!V159*Calculateur!X159*VLOOKUP('Données projet'!$B$9,Paramètres!$A$1:$I$88,3,0)*0.475*44/12</f>
        <v>4.3611247701195746</v>
      </c>
      <c r="AB159" s="23">
        <f>EXP(-LN(2)/2)*AB158+(1-EXP(-LN(2)/2))/(LN(2)/2)*V159*Y159*VLOOKUP('Données projet'!$B$9,Paramètres!$A$1:$I$88,3,0)*0.475*44/12</f>
        <v>1.3643859807115511E-13</v>
      </c>
      <c r="AC159" s="24">
        <f t="shared" si="163"/>
        <v>40.483972410069569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projet'!$B$10,Paramètres!$A$1:$I$88,3,0)*VLOOKUP('Données projet'!$B$10,Paramètres!$A$1:$I$88,5,0)</f>
        <v>-1.2414602679200471E-13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243.3456100842846</v>
      </c>
      <c r="AO159" s="62">
        <f t="shared" si="144"/>
        <v>301.6462497303628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17.297154961270763</v>
      </c>
      <c r="AV159" s="23">
        <f>EXP(-LN(2)/25)*AV158+(1-EXP(-LN(2)/25))/(LN(2)/25)*Calculateur!AQ159*Calculateur!AS159*VLOOKUP('Données projet'!$B$10,Paramètres!$A$1:$I$88,3,0)*0.475*44/12</f>
        <v>2.5667578759290302</v>
      </c>
      <c r="AW159" s="23">
        <f>EXP(-LN(2)/2)*AW158+(1-EXP(-LN(2)/2))/(LN(2)/2)*AQ159*AT159*VLOOKUP('Données projet'!$B$10,Paramètres!$A$1:$I$88,3,0)*0.475*44/12</f>
        <v>5.9827342302541948E-14</v>
      </c>
      <c r="AX159" s="23">
        <f t="shared" si="166"/>
        <v>19.863912837199855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-2.8421709430404007E-14</v>
      </c>
      <c r="BE159" s="14">
        <f>BD159*VLOOKUP('Données projet'!$B$11,Paramètres!$A$1:$I$88,3,0)*VLOOKUP('Données projet'!$B$11,Paramètres!$A$1:$I$88,5,0)</f>
        <v>-2.2612312022829431E-14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219.20272956499281</v>
      </c>
      <c r="BJ159" s="62">
        <f t="shared" si="146"/>
        <v>244.37146912604081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12.7000696405083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12.7000696405083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68.550682451819384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4.4444444444444446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16.296296296296298</v>
      </c>
      <c r="H160" s="70">
        <f t="shared" si="110"/>
        <v>191.4814814814815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415.21844537846482</v>
      </c>
      <c r="T160" s="62">
        <f t="shared" si="142"/>
        <v>491.25626166862321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35.414500630491951</v>
      </c>
      <c r="AA160" s="23">
        <f>EXP(-LN(2)/25)*AA159+(1-EXP(-LN(2)/25))/(LN(2)/25)*Calculateur!V160*Calculateur!X160*VLOOKUP('Données projet'!$B$9,Paramètres!$A$1:$I$88,3,0)*0.475*44/12</f>
        <v>4.2418695839390708</v>
      </c>
      <c r="AB160" s="23">
        <f>EXP(-LN(2)/2)*AB159+(1-EXP(-LN(2)/2))/(LN(2)/2)*V160*Y160*VLOOKUP('Données projet'!$B$9,Paramètres!$A$1:$I$88,3,0)*0.475*44/12</f>
        <v>9.6476657911699585E-14</v>
      </c>
      <c r="AC160" s="24">
        <f t="shared" si="163"/>
        <v>39.656370214431121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projet'!$B$10,Paramètres!$A$1:$I$88,3,0)*VLOOKUP('Données projet'!$B$10,Paramètres!$A$1:$I$88,5,0)</f>
        <v>-1.2414602679200471E-13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243.3456100842846</v>
      </c>
      <c r="AO160" s="62">
        <f t="shared" si="144"/>
        <v>301.6462497303628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16.957968302703023</v>
      </c>
      <c r="AV160" s="23">
        <f>EXP(-LN(2)/25)*AV159+(1-EXP(-LN(2)/25))/(LN(2)/25)*Calculateur!AQ160*Calculateur!AS160*VLOOKUP('Données projet'!$B$10,Paramètres!$A$1:$I$88,3,0)*0.475*44/12</f>
        <v>2.4965697468318204</v>
      </c>
      <c r="AW160" s="23">
        <f>EXP(-LN(2)/2)*AW159+(1-EXP(-LN(2)/2))/(LN(2)/2)*AQ160*AT160*VLOOKUP('Données projet'!$B$10,Paramètres!$A$1:$I$88,3,0)*0.475*44/12</f>
        <v>4.2304319442496207E-14</v>
      </c>
      <c r="AX160" s="23">
        <f t="shared" si="166"/>
        <v>19.454538049534886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-2.8421709430404007E-14</v>
      </c>
      <c r="BE160" s="14">
        <f>BD160*VLOOKUP('Données projet'!$B$11,Paramètres!$A$1:$I$88,3,0)*VLOOKUP('Données projet'!$B$11,Paramètres!$A$1:$I$88,5,0)</f>
        <v>-2.2612312022829431E-14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219.20272956499281</v>
      </c>
      <c r="BJ160" s="62">
        <f t="shared" si="146"/>
        <v>244.37146912604081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12.451029021135531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12.451029021135531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68.575824871091697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4.4444444444444446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16.296296296296298</v>
      </c>
      <c r="H161" s="70">
        <f t="shared" si="110"/>
        <v>191.4814814814815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415.21844537846482</v>
      </c>
      <c r="T161" s="62">
        <f t="shared" si="142"/>
        <v>491.25626166862321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34.720043873840496</v>
      </c>
      <c r="AA161" s="23">
        <f>EXP(-LN(2)/25)*AA160+(1-EXP(-LN(2)/25))/(LN(2)/25)*Calculateur!V161*Calculateur!X161*VLOOKUP('Données projet'!$B$9,Paramètres!$A$1:$I$88,3,0)*0.475*44/12</f>
        <v>4.1258754370960302</v>
      </c>
      <c r="AB161" s="23">
        <f>EXP(-LN(2)/2)*AB160+(1-EXP(-LN(2)/2))/(LN(2)/2)*V161*Y161*VLOOKUP('Données projet'!$B$9,Paramètres!$A$1:$I$88,3,0)*0.475*44/12</f>
        <v>6.8219299035577556E-14</v>
      </c>
      <c r="AC161" s="24">
        <f t="shared" si="163"/>
        <v>38.845919310936594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projet'!$B$10,Paramètres!$A$1:$I$88,3,0)*VLOOKUP('Données projet'!$B$10,Paramètres!$A$1:$I$88,5,0)</f>
        <v>-1.2414602679200471E-13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243.3456100842846</v>
      </c>
      <c r="AO161" s="62">
        <f t="shared" si="144"/>
        <v>301.6462497303628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16.62543288762636</v>
      </c>
      <c r="AV161" s="23">
        <f>EXP(-LN(2)/25)*AV160+(1-EXP(-LN(2)/25))/(LN(2)/25)*Calculateur!AQ161*Calculateur!AS161*VLOOKUP('Données projet'!$B$10,Paramètres!$A$1:$I$88,3,0)*0.475*44/12</f>
        <v>2.4283009158158073</v>
      </c>
      <c r="AW161" s="23">
        <f>EXP(-LN(2)/2)*AW160+(1-EXP(-LN(2)/2))/(LN(2)/2)*AQ161*AT161*VLOOKUP('Données projet'!$B$10,Paramètres!$A$1:$I$88,3,0)*0.475*44/12</f>
        <v>2.9913671151270974E-14</v>
      </c>
      <c r="AX161" s="23">
        <f t="shared" si="166"/>
        <v>19.053733803442196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-2.8421709430404007E-14</v>
      </c>
      <c r="BE161" s="14">
        <f>BD161*VLOOKUP('Données projet'!$B$11,Paramètres!$A$1:$I$88,3,0)*VLOOKUP('Données projet'!$B$11,Paramètres!$A$1:$I$88,5,0)</f>
        <v>-2.2612312022829431E-14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219.20272956499281</v>
      </c>
      <c r="BJ161" s="62">
        <f t="shared" si="146"/>
        <v>244.37146912604081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12.206871936408884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12.206871936408884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68.600531125599673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4.4444444444444446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16.296296296296298</v>
      </c>
      <c r="H162" s="70">
        <f t="shared" si="110"/>
        <v>191.4814814814815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415.21844537846482</v>
      </c>
      <c r="T162" s="62">
        <f t="shared" si="142"/>
        <v>491.25626166862321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34.03920499061018</v>
      </c>
      <c r="AA162" s="23">
        <f>EXP(-LN(2)/25)*AA161+(1-EXP(-LN(2)/25))/(LN(2)/25)*Calculateur!V162*Calculateur!X162*VLOOKUP('Données projet'!$B$9,Paramètres!$A$1:$I$88,3,0)*0.475*44/12</f>
        <v>4.0130531562982794</v>
      </c>
      <c r="AB162" s="23">
        <f>EXP(-LN(2)/2)*AB161+(1-EXP(-LN(2)/2))/(LN(2)/2)*V162*Y162*VLOOKUP('Données projet'!$B$9,Paramètres!$A$1:$I$88,3,0)*0.475*44/12</f>
        <v>4.8238328955849793E-14</v>
      </c>
      <c r="AC162" s="24">
        <f t="shared" si="163"/>
        <v>38.052258146908507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projet'!$B$10,Paramètres!$A$1:$I$88,3,0)*VLOOKUP('Données projet'!$B$10,Paramètres!$A$1:$I$88,5,0)</f>
        <v>-1.2414602679200471E-13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243.3456100842846</v>
      </c>
      <c r="AO162" s="62">
        <f t="shared" si="144"/>
        <v>301.6462497303628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16.299418289212777</v>
      </c>
      <c r="AV162" s="23">
        <f>EXP(-LN(2)/25)*AV161+(1-EXP(-LN(2)/25))/(LN(2)/25)*Calculateur!AQ162*Calculateur!AS162*VLOOKUP('Données projet'!$B$10,Paramètres!$A$1:$I$88,3,0)*0.475*44/12</f>
        <v>2.3618988995740287</v>
      </c>
      <c r="AW162" s="23">
        <f>EXP(-LN(2)/2)*AW161+(1-EXP(-LN(2)/2))/(LN(2)/2)*AQ162*AT162*VLOOKUP('Données projet'!$B$10,Paramètres!$A$1:$I$88,3,0)*0.475*44/12</f>
        <v>2.1152159721248104E-14</v>
      </c>
      <c r="AX162" s="23">
        <f t="shared" si="166"/>
        <v>18.661317188786828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-2.8421709430404007E-14</v>
      </c>
      <c r="BE162" s="14">
        <f>BD162*VLOOKUP('Données projet'!$B$11,Paramètres!$A$1:$I$88,3,0)*VLOOKUP('Données projet'!$B$11,Paramètres!$A$1:$I$88,5,0)</f>
        <v>-2.2612312022829431E-14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219.20272956499281</v>
      </c>
      <c r="BJ162" s="62">
        <f t="shared" si="146"/>
        <v>244.37146912604081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11.96750262319261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11.96750262319261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68.624808781826815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4.4444444444444446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16.296296296296298</v>
      </c>
      <c r="H163" s="70">
        <f t="shared" si="110"/>
        <v>191.4814814814815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415.21844537846482</v>
      </c>
      <c r="T163" s="62">
        <f t="shared" si="142"/>
        <v>491.25626166862321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33.371716942609297</v>
      </c>
      <c r="AA163" s="23">
        <f>EXP(-LN(2)/25)*AA162+(1-EXP(-LN(2)/25))/(LN(2)/25)*Calculateur!V163*Calculateur!X163*VLOOKUP('Données projet'!$B$9,Paramètres!$A$1:$I$88,3,0)*0.475*44/12</f>
        <v>3.9033160067020094</v>
      </c>
      <c r="AB163" s="23">
        <f>EXP(-LN(2)/2)*AB162+(1-EXP(-LN(2)/2))/(LN(2)/2)*V163*Y163*VLOOKUP('Données projet'!$B$9,Paramètres!$A$1:$I$88,3,0)*0.475*44/12</f>
        <v>3.4109649517788778E-14</v>
      </c>
      <c r="AC163" s="24">
        <f t="shared" si="163"/>
        <v>37.275032949311338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projet'!$B$10,Paramètres!$A$1:$I$88,3,0)*VLOOKUP('Données projet'!$B$10,Paramètres!$A$1:$I$88,5,0)</f>
        <v>-1.2414602679200471E-13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243.3456100842846</v>
      </c>
      <c r="AO163" s="62">
        <f t="shared" si="144"/>
        <v>301.6462497303628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15.979796638224814</v>
      </c>
      <c r="AV163" s="23">
        <f>EXP(-LN(2)/25)*AV162+(1-EXP(-LN(2)/25))/(LN(2)/25)*Calculateur!AQ163*Calculateur!AS163*VLOOKUP('Données projet'!$B$10,Paramètres!$A$1:$I$88,3,0)*0.475*44/12</f>
        <v>2.2973126499583119</v>
      </c>
      <c r="AW163" s="23">
        <f>EXP(-LN(2)/2)*AW162+(1-EXP(-LN(2)/2))/(LN(2)/2)*AQ163*AT163*VLOOKUP('Données projet'!$B$10,Paramètres!$A$1:$I$88,3,0)*0.475*44/12</f>
        <v>1.4956835575635487E-14</v>
      </c>
      <c r="AX163" s="23">
        <f t="shared" si="166"/>
        <v>18.277109288183141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-2.8421709430404007E-14</v>
      </c>
      <c r="BE163" s="14">
        <f>BD163*VLOOKUP('Données projet'!$B$11,Paramètres!$A$1:$I$88,3,0)*VLOOKUP('Données projet'!$B$11,Paramètres!$A$1:$I$88,5,0)</f>
        <v>-2.2612312022829431E-14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219.20272956499281</v>
      </c>
      <c r="BJ163" s="62">
        <f t="shared" si="146"/>
        <v>244.37146912604081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11.732827196207642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11.732827196207642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68.648665274995153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4.4444444444444446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16.296296296296298</v>
      </c>
      <c r="H164" s="70">
        <f t="shared" si="110"/>
        <v>191.4814814814815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415.21844537846482</v>
      </c>
      <c r="T164" s="62">
        <f t="shared" si="142"/>
        <v>491.25626166862321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32.717317928102197</v>
      </c>
      <c r="AA164" s="23">
        <f>EXP(-LN(2)/25)*AA163+(1-EXP(-LN(2)/25))/(LN(2)/25)*Calculateur!V164*Calculateur!X164*VLOOKUP('Données projet'!$B$9,Paramètres!$A$1:$I$88,3,0)*0.475*44/12</f>
        <v>3.7965796252322752</v>
      </c>
      <c r="AB164" s="23">
        <f>EXP(-LN(2)/2)*AB163+(1-EXP(-LN(2)/2))/(LN(2)/2)*V164*Y164*VLOOKUP('Données projet'!$B$9,Paramètres!$A$1:$I$88,3,0)*0.475*44/12</f>
        <v>2.4119164477924896E-14</v>
      </c>
      <c r="AC164" s="24">
        <f t="shared" si="163"/>
        <v>36.513897553334495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projet'!$B$10,Paramètres!$A$1:$I$88,3,0)*VLOOKUP('Données projet'!$B$10,Paramètres!$A$1:$I$88,5,0)</f>
        <v>-1.2414602679200471E-13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243.3456100842846</v>
      </c>
      <c r="AO164" s="62">
        <f t="shared" si="144"/>
        <v>301.6462497303628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15.666442572862767</v>
      </c>
      <c r="AV164" s="23">
        <f>EXP(-LN(2)/25)*AV163+(1-EXP(-LN(2)/25))/(LN(2)/25)*Calculateur!AQ164*Calculateur!AS164*VLOOKUP('Données projet'!$B$10,Paramètres!$A$1:$I$88,3,0)*0.475*44/12</f>
        <v>2.2344925147347801</v>
      </c>
      <c r="AW164" s="23">
        <f>EXP(-LN(2)/2)*AW163+(1-EXP(-LN(2)/2))/(LN(2)/2)*AQ164*AT164*VLOOKUP('Données projet'!$B$10,Paramètres!$A$1:$I$88,3,0)*0.475*44/12</f>
        <v>1.0576079860624052E-14</v>
      </c>
      <c r="AX164" s="23">
        <f t="shared" si="166"/>
        <v>17.900935087597556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-2.8421709430404007E-14</v>
      </c>
      <c r="BE164" s="14">
        <f>BD164*VLOOKUP('Données projet'!$B$11,Paramètres!$A$1:$I$88,3,0)*VLOOKUP('Données projet'!$B$11,Paramètres!$A$1:$I$88,5,0)</f>
        <v>-2.2612312022829431E-14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219.20272956499281</v>
      </c>
      <c r="BJ164" s="62">
        <f t="shared" si="146"/>
        <v>244.37146912604081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11.502753611207973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11.502753611207973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68.672107911342138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4.4444444444444446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16.296296296296298</v>
      </c>
      <c r="H165" s="70">
        <f t="shared" si="110"/>
        <v>191.4814814814815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415.21844537846482</v>
      </c>
      <c r="T165" s="62">
        <f t="shared" si="142"/>
        <v>491.25626166862321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32.075751279125598</v>
      </c>
      <c r="AA165" s="23">
        <f>EXP(-LN(2)/25)*AA164+(1-EXP(-LN(2)/25))/(LN(2)/25)*Calculateur!V165*Calculateur!X165*VLOOKUP('Données projet'!$B$9,Paramètres!$A$1:$I$88,3,0)*0.475*44/12</f>
        <v>3.6927619557268532</v>
      </c>
      <c r="AB165" s="23">
        <f>EXP(-LN(2)/2)*AB164+(1-EXP(-LN(2)/2))/(LN(2)/2)*V165*Y165*VLOOKUP('Données projet'!$B$9,Paramètres!$A$1:$I$88,3,0)*0.475*44/12</f>
        <v>1.7054824758894389E-14</v>
      </c>
      <c r="AC165" s="24">
        <f t="shared" si="163"/>
        <v>35.768513234852463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projet'!$B$10,Paramètres!$A$1:$I$88,3,0)*VLOOKUP('Données projet'!$B$10,Paramètres!$A$1:$I$88,5,0)</f>
        <v>-1.2414602679200471E-13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243.3456100842846</v>
      </c>
      <c r="AO165" s="62">
        <f t="shared" si="144"/>
        <v>301.6462497303628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15.359233189595361</v>
      </c>
      <c r="AV165" s="23">
        <f>EXP(-LN(2)/25)*AV164+(1-EXP(-LN(2)/25))/(LN(2)/25)*Calculateur!AQ165*Calculateur!AS165*VLOOKUP('Données projet'!$B$10,Paramètres!$A$1:$I$88,3,0)*0.475*44/12</f>
        <v>2.1733901994125033</v>
      </c>
      <c r="AW165" s="23">
        <f>EXP(-LN(2)/2)*AW164+(1-EXP(-LN(2)/2))/(LN(2)/2)*AQ165*AT165*VLOOKUP('Données projet'!$B$10,Paramètres!$A$1:$I$88,3,0)*0.475*44/12</f>
        <v>7.4784177878177435E-15</v>
      </c>
      <c r="AX165" s="23">
        <f t="shared" si="166"/>
        <v>17.53262338900787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-2.8421709430404007E-14</v>
      </c>
      <c r="BE165" s="14">
        <f>BD165*VLOOKUP('Données projet'!$B$11,Paramètres!$A$1:$I$88,3,0)*VLOOKUP('Données projet'!$B$11,Paramètres!$A$1:$I$88,5,0)</f>
        <v>-2.2612312022829431E-14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219.20272956499281</v>
      </c>
      <c r="BJ165" s="62">
        <f t="shared" si="146"/>
        <v>244.37146912604081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11.277191628879116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11.277191628879116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68.695143870358379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4.4444444444444446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16.296296296296298</v>
      </c>
      <c r="H166" s="70">
        <f t="shared" si="110"/>
        <v>191.4814814814815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415.21844537846482</v>
      </c>
      <c r="T166" s="62">
        <f t="shared" si="142"/>
        <v>491.25626166862321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31.446765360818414</v>
      </c>
      <c r="AA166" s="23">
        <f>EXP(-LN(2)/25)*AA165+(1-EXP(-LN(2)/25))/(LN(2)/25)*Calculateur!V166*Calculateur!X166*VLOOKUP('Données projet'!$B$9,Paramètres!$A$1:$I$88,3,0)*0.475*44/12</f>
        <v>3.5917831858535911</v>
      </c>
      <c r="AB166" s="23">
        <f>EXP(-LN(2)/2)*AB165+(1-EXP(-LN(2)/2))/(LN(2)/2)*V166*Y166*VLOOKUP('Données projet'!$B$9,Paramètres!$A$1:$I$88,3,0)*0.475*44/12</f>
        <v>1.2059582238962448E-14</v>
      </c>
      <c r="AC166" s="24">
        <f t="shared" si="163"/>
        <v>35.038548546672018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projet'!$B$10,Paramètres!$A$1:$I$88,3,0)*VLOOKUP('Données projet'!$B$10,Paramètres!$A$1:$I$88,5,0)</f>
        <v>-1.2414602679200471E-13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243.3456100842846</v>
      </c>
      <c r="AO166" s="62">
        <f t="shared" si="144"/>
        <v>301.6462497303628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15.058047994954608</v>
      </c>
      <c r="AV166" s="23">
        <f>EXP(-LN(2)/25)*AV165+(1-EXP(-LN(2)/25))/(LN(2)/25)*Calculateur!AQ166*Calculateur!AS166*VLOOKUP('Données projet'!$B$10,Paramètres!$A$1:$I$88,3,0)*0.475*44/12</f>
        <v>2.1139587301159453</v>
      </c>
      <c r="AW166" s="23">
        <f>EXP(-LN(2)/2)*AW165+(1-EXP(-LN(2)/2))/(LN(2)/2)*AQ166*AT166*VLOOKUP('Données projet'!$B$10,Paramètres!$A$1:$I$88,3,0)*0.475*44/12</f>
        <v>5.2880399303120259E-15</v>
      </c>
      <c r="AX166" s="23">
        <f t="shared" si="166"/>
        <v>17.172006725070556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-2.8421709430404007E-14</v>
      </c>
      <c r="BE166" s="14">
        <f>BD166*VLOOKUP('Données projet'!$B$11,Paramètres!$A$1:$I$88,3,0)*VLOOKUP('Données projet'!$B$11,Paramètres!$A$1:$I$88,5,0)</f>
        <v>-2.2612312022829431E-14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219.20272956499281</v>
      </c>
      <c r="BJ166" s="62">
        <f t="shared" si="146"/>
        <v>244.37146912604081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11.056052779444505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11.056052779444505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68.71778020698639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4.4444444444444446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16.296296296296298</v>
      </c>
      <c r="H167" s="70">
        <f t="shared" si="110"/>
        <v>191.4814814814815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415.21844537846482</v>
      </c>
      <c r="T167" s="62">
        <f t="shared" si="142"/>
        <v>491.25626166862321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30.830113472725706</v>
      </c>
      <c r="AA167" s="23">
        <f>EXP(-LN(2)/25)*AA166+(1-EXP(-LN(2)/25))/(LN(2)/25)*Calculateur!V167*Calculateur!X167*VLOOKUP('Données projet'!$B$9,Paramètres!$A$1:$I$88,3,0)*0.475*44/12</f>
        <v>3.4935656857527562</v>
      </c>
      <c r="AB167" s="23">
        <f>EXP(-LN(2)/2)*AB166+(1-EXP(-LN(2)/2))/(LN(2)/2)*V167*Y167*VLOOKUP('Données projet'!$B$9,Paramètres!$A$1:$I$88,3,0)*0.475*44/12</f>
        <v>8.5274123794471945E-15</v>
      </c>
      <c r="AC167" s="24">
        <f t="shared" si="163"/>
        <v>34.32367915847847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projet'!$B$10,Paramètres!$A$1:$I$88,3,0)*VLOOKUP('Données projet'!$B$10,Paramètres!$A$1:$I$88,5,0)</f>
        <v>-1.2414602679200471E-13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243.3456100842846</v>
      </c>
      <c r="AO167" s="62">
        <f t="shared" si="144"/>
        <v>301.6462497303628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14.76276885827593</v>
      </c>
      <c r="AV167" s="23">
        <f>EXP(-LN(2)/25)*AV166+(1-EXP(-LN(2)/25))/(LN(2)/25)*Calculateur!AQ167*Calculateur!AS167*VLOOKUP('Données projet'!$B$10,Paramètres!$A$1:$I$88,3,0)*0.475*44/12</f>
        <v>2.0561524174726666</v>
      </c>
      <c r="AW167" s="23">
        <f>EXP(-LN(2)/2)*AW166+(1-EXP(-LN(2)/2))/(LN(2)/2)*AQ167*AT167*VLOOKUP('Données projet'!$B$10,Paramètres!$A$1:$I$88,3,0)*0.475*44/12</f>
        <v>3.7392088939088717E-15</v>
      </c>
      <c r="AX167" s="23">
        <f t="shared" si="166"/>
        <v>16.8189212757486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-2.8421709430404007E-14</v>
      </c>
      <c r="BE167" s="14">
        <f>BD167*VLOOKUP('Données projet'!$B$11,Paramètres!$A$1:$I$88,3,0)*VLOOKUP('Données projet'!$B$11,Paramètres!$A$1:$I$88,5,0)</f>
        <v>-2.2612312022829431E-14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219.20272956499281</v>
      </c>
      <c r="BJ167" s="62">
        <f t="shared" si="146"/>
        <v>244.37146912604081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10.839250327965926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10.839250327965926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68.740023853781167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4.4444444444444446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16.296296296296298</v>
      </c>
      <c r="H168" s="70">
        <f t="shared" si="110"/>
        <v>191.4814814814815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415.21844537846482</v>
      </c>
      <c r="T168" s="62">
        <f t="shared" si="142"/>
        <v>491.25626166862321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30.225553752037982</v>
      </c>
      <c r="AA168" s="23">
        <f>EXP(-LN(2)/25)*AA167+(1-EXP(-LN(2)/25))/(LN(2)/25)*Calculateur!V168*Calculateur!X168*VLOOKUP('Données projet'!$B$9,Paramètres!$A$1:$I$88,3,0)*0.475*44/12</f>
        <v>3.3980339483572122</v>
      </c>
      <c r="AB168" s="23">
        <f>EXP(-LN(2)/2)*AB167+(1-EXP(-LN(2)/2))/(LN(2)/2)*V168*Y168*VLOOKUP('Données projet'!$B$9,Paramètres!$A$1:$I$88,3,0)*0.475*44/12</f>
        <v>6.0297911194812241E-15</v>
      </c>
      <c r="AC168" s="24">
        <f t="shared" si="163"/>
        <v>33.623587700395198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projet'!$B$10,Paramètres!$A$1:$I$88,3,0)*VLOOKUP('Données projet'!$B$10,Paramètres!$A$1:$I$88,5,0)</f>
        <v>-1.2414602679200471E-13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243.3456100842846</v>
      </c>
      <c r="AO168" s="62">
        <f t="shared" si="144"/>
        <v>301.6462497303628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14.473279965365032</v>
      </c>
      <c r="AV168" s="23">
        <f>EXP(-LN(2)/25)*AV167+(1-EXP(-LN(2)/25))/(LN(2)/25)*Calculateur!AQ168*Calculateur!AS168*VLOOKUP('Données projet'!$B$10,Paramètres!$A$1:$I$88,3,0)*0.475*44/12</f>
        <v>1.9999268214885204</v>
      </c>
      <c r="AW168" s="23">
        <f>EXP(-LN(2)/2)*AW167+(1-EXP(-LN(2)/2))/(LN(2)/2)*AQ168*AT168*VLOOKUP('Données projet'!$B$10,Paramètres!$A$1:$I$88,3,0)*0.475*44/12</f>
        <v>2.6440199651560129E-15</v>
      </c>
      <c r="AX168" s="23">
        <f t="shared" si="166"/>
        <v>16.473206786853556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-2.8421709430404007E-14</v>
      </c>
      <c r="BE168" s="14">
        <f>BD168*VLOOKUP('Données projet'!$B$11,Paramètres!$A$1:$I$88,3,0)*VLOOKUP('Données projet'!$B$11,Paramètres!$A$1:$I$88,5,0)</f>
        <v>-2.2612312022829431E-14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219.20272956499281</v>
      </c>
      <c r="BJ168" s="62">
        <f t="shared" si="146"/>
        <v>244.37146912604081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10.626699240324404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10.626699240324404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68.761881623033403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4.4444444444444446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16.296296296296298</v>
      </c>
      <c r="H169" s="70">
        <f t="shared" si="110"/>
        <v>191.4814814814815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415.21844537846482</v>
      </c>
      <c r="T169" s="62">
        <f t="shared" si="142"/>
        <v>491.25626166862321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29.632849078727926</v>
      </c>
      <c r="AA169" s="23">
        <f>EXP(-LN(2)/25)*AA168+(1-EXP(-LN(2)/25))/(LN(2)/25)*Calculateur!V169*Calculateur!X169*VLOOKUP('Données projet'!$B$9,Paramètres!$A$1:$I$88,3,0)*0.475*44/12</f>
        <v>3.3051145313445454</v>
      </c>
      <c r="AB169" s="23">
        <f>EXP(-LN(2)/2)*AB168+(1-EXP(-LN(2)/2))/(LN(2)/2)*V169*Y169*VLOOKUP('Données projet'!$B$9,Paramètres!$A$1:$I$88,3,0)*0.475*44/12</f>
        <v>4.2637061897235973E-15</v>
      </c>
      <c r="AC169" s="24">
        <f t="shared" si="163"/>
        <v>32.93796361007248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projet'!$B$10,Paramètres!$A$1:$I$88,3,0)*VLOOKUP('Données projet'!$B$10,Paramètres!$A$1:$I$88,5,0)</f>
        <v>-1.2414602679200471E-13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243.3456100842846</v>
      </c>
      <c r="AO169" s="62">
        <f t="shared" si="144"/>
        <v>301.6462497303628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14.189467773073327</v>
      </c>
      <c r="AV169" s="23">
        <f>EXP(-LN(2)/25)*AV168+(1-EXP(-LN(2)/25))/(LN(2)/25)*Calculateur!AQ169*Calculateur!AS169*VLOOKUP('Données projet'!$B$10,Paramètres!$A$1:$I$88,3,0)*0.475*44/12</f>
        <v>1.9452387173833361</v>
      </c>
      <c r="AW169" s="23">
        <f>EXP(-LN(2)/2)*AW168+(1-EXP(-LN(2)/2))/(LN(2)/2)*AQ169*AT169*VLOOKUP('Données projet'!$B$10,Paramètres!$A$1:$I$88,3,0)*0.475*44/12</f>
        <v>1.8696044469544359E-15</v>
      </c>
      <c r="AX169" s="23">
        <f t="shared" si="166"/>
        <v>16.134706490456665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-2.8421709430404007E-14</v>
      </c>
      <c r="BE169" s="14">
        <f>BD169*VLOOKUP('Données projet'!$B$11,Paramètres!$A$1:$I$88,3,0)*VLOOKUP('Données projet'!$B$11,Paramètres!$A$1:$I$88,5,0)</f>
        <v>-2.2612312022829431E-14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219.20272956499281</v>
      </c>
      <c r="BJ169" s="62">
        <f t="shared" si="146"/>
        <v>244.37146912604081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10.41831614986817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10.41831614986817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68.783360208855768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4.4444444444444446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16.296296296296298</v>
      </c>
      <c r="H170" s="70">
        <f t="shared" si="110"/>
        <v>191.4814814814815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415.21844537846482</v>
      </c>
      <c r="T170" s="62">
        <f t="shared" si="142"/>
        <v>491.25626166862321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29.051766982547324</v>
      </c>
      <c r="AA170" s="23">
        <f>EXP(-LN(2)/25)*AA169+(1-EXP(-LN(2)/25))/(LN(2)/25)*Calculateur!V170*Calculateur!X170*VLOOKUP('Données projet'!$B$9,Paramètres!$A$1:$I$88,3,0)*0.475*44/12</f>
        <v>3.2147360006765093</v>
      </c>
      <c r="AB170" s="23">
        <f>EXP(-LN(2)/2)*AB169+(1-EXP(-LN(2)/2))/(LN(2)/2)*V170*Y170*VLOOKUP('Données projet'!$B$9,Paramètres!$A$1:$I$88,3,0)*0.475*44/12</f>
        <v>3.014895559740612E-15</v>
      </c>
      <c r="AC170" s="24">
        <f t="shared" si="163"/>
        <v>32.26650298322383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projet'!$B$10,Paramètres!$A$1:$I$88,3,0)*VLOOKUP('Données projet'!$B$10,Paramètres!$A$1:$I$88,5,0)</f>
        <v>-1.2414602679200471E-13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243.3456100842846</v>
      </c>
      <c r="AO170" s="62">
        <f t="shared" si="144"/>
        <v>301.6462497303628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13.911220964764118</v>
      </c>
      <c r="AV170" s="23">
        <f>EXP(-LN(2)/25)*AV169+(1-EXP(-LN(2)/25))/(LN(2)/25)*Calculateur!AQ170*Calculateur!AS170*VLOOKUP('Données projet'!$B$10,Paramètres!$A$1:$I$88,3,0)*0.475*44/12</f>
        <v>1.8920460623608306</v>
      </c>
      <c r="AW170" s="23">
        <f>EXP(-LN(2)/2)*AW169+(1-EXP(-LN(2)/2))/(LN(2)/2)*AQ170*AT170*VLOOKUP('Données projet'!$B$10,Paramètres!$A$1:$I$88,3,0)*0.475*44/12</f>
        <v>1.3220099825780065E-15</v>
      </c>
      <c r="AX170" s="23">
        <f t="shared" si="166"/>
        <v>15.803267027124949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-2.8421709430404007E-14</v>
      </c>
      <c r="BE170" s="14">
        <f>BD170*VLOOKUP('Données projet'!$B$11,Paramètres!$A$1:$I$88,3,0)*VLOOKUP('Données projet'!$B$11,Paramètres!$A$1:$I$88,5,0)</f>
        <v>-2.2612312022829431E-14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219.20272956499281</v>
      </c>
      <c r="BJ170" s="62">
        <f t="shared" si="146"/>
        <v>244.37146912604081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10.214019324714648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10.214019324714648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68.80446618923304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4.4444444444444446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16.296296296296298</v>
      </c>
      <c r="H171" s="70">
        <f t="shared" si="110"/>
        <v>191.4814814814815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415.21844537846482</v>
      </c>
      <c r="T171" s="62">
        <f t="shared" si="142"/>
        <v>491.25626166862321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28.482079551847743</v>
      </c>
      <c r="AA171" s="23">
        <f>EXP(-LN(2)/25)*AA170+(1-EXP(-LN(2)/25))/(LN(2)/25)*Calculateur!V171*Calculateur!X171*VLOOKUP('Données projet'!$B$9,Paramètres!$A$1:$I$88,3,0)*0.475*44/12</f>
        <v>3.1268288756823912</v>
      </c>
      <c r="AB171" s="23">
        <f>EXP(-LN(2)/2)*AB170+(1-EXP(-LN(2)/2))/(LN(2)/2)*V171*Y171*VLOOKUP('Données projet'!$B$9,Paramètres!$A$1:$I$88,3,0)*0.475*44/12</f>
        <v>2.1318530948617986E-15</v>
      </c>
      <c r="AC171" s="24">
        <f t="shared" si="163"/>
        <v>31.608908427530139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projet'!$B$10,Paramètres!$A$1:$I$88,3,0)*VLOOKUP('Données projet'!$B$10,Paramètres!$A$1:$I$88,5,0)</f>
        <v>-1.2414602679200471E-13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243.3456100842846</v>
      </c>
      <c r="AO171" s="62">
        <f t="shared" si="144"/>
        <v>301.6462497303628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13.638430406652057</v>
      </c>
      <c r="AV171" s="23">
        <f>EXP(-LN(2)/25)*AV170+(1-EXP(-LN(2)/25))/(LN(2)/25)*Calculateur!AQ171*Calculateur!AS171*VLOOKUP('Données projet'!$B$10,Paramètres!$A$1:$I$88,3,0)*0.475*44/12</f>
        <v>1.8403079632871957</v>
      </c>
      <c r="AW171" s="23">
        <f>EXP(-LN(2)/2)*AW170+(1-EXP(-LN(2)/2))/(LN(2)/2)*AQ171*AT171*VLOOKUP('Données projet'!$B$10,Paramètres!$A$1:$I$88,3,0)*0.475*44/12</f>
        <v>9.3480222347721793E-16</v>
      </c>
      <c r="AX171" s="23">
        <f t="shared" si="166"/>
        <v>15.478738369939254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-2.8421709430404007E-14</v>
      </c>
      <c r="BE171" s="14">
        <f>BD171*VLOOKUP('Données projet'!$B$11,Paramètres!$A$1:$I$88,3,0)*VLOOKUP('Données projet'!$B$11,Paramètres!$A$1:$I$88,5,0)</f>
        <v>-2.2612312022829431E-14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219.20272956499281</v>
      </c>
      <c r="BJ171" s="62">
        <f t="shared" si="146"/>
        <v>244.37146912604081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10.013728635693628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10.013728635693628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68.825206028036646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4.4444444444444446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16.296296296296298</v>
      </c>
      <c r="H172" s="70">
        <f t="shared" si="110"/>
        <v>191.4814814814815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415.21844537846482</v>
      </c>
      <c r="T172" s="62">
        <f t="shared" si="142"/>
        <v>491.25626166862321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27.923563344189159</v>
      </c>
      <c r="AA172" s="23">
        <f>EXP(-LN(2)/25)*AA171+(1-EXP(-LN(2)/25))/(LN(2)/25)*Calculateur!V172*Calculateur!X172*VLOOKUP('Données projet'!$B$9,Paramètres!$A$1:$I$88,3,0)*0.475*44/12</f>
        <v>3.041325575644072</v>
      </c>
      <c r="AB172" s="23">
        <f>EXP(-LN(2)/2)*AB171+(1-EXP(-LN(2)/2))/(LN(2)/2)*V172*Y172*VLOOKUP('Données projet'!$B$9,Paramètres!$A$1:$I$88,3,0)*0.475*44/12</f>
        <v>1.507447779870306E-15</v>
      </c>
      <c r="AC172" s="24">
        <f t="shared" si="163"/>
        <v>30.964888919833232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projet'!$B$10,Paramètres!$A$1:$I$88,3,0)*VLOOKUP('Données projet'!$B$10,Paramètres!$A$1:$I$88,5,0)</f>
        <v>-1.2414602679200471E-13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243.3456100842846</v>
      </c>
      <c r="AO172" s="62">
        <f t="shared" si="144"/>
        <v>301.6462497303628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13.370989104998763</v>
      </c>
      <c r="AV172" s="23">
        <f>EXP(-LN(2)/25)*AV171+(1-EXP(-LN(2)/25))/(LN(2)/25)*Calculateur!AQ172*Calculateur!AS172*VLOOKUP('Données projet'!$B$10,Paramètres!$A$1:$I$88,3,0)*0.475*44/12</f>
        <v>1.7899846452535175</v>
      </c>
      <c r="AW172" s="23">
        <f>EXP(-LN(2)/2)*AW171+(1-EXP(-LN(2)/2))/(LN(2)/2)*AQ172*AT172*VLOOKUP('Données projet'!$B$10,Paramètres!$A$1:$I$88,3,0)*0.475*44/12</f>
        <v>6.6100499128900324E-16</v>
      </c>
      <c r="AX172" s="23">
        <f t="shared" si="166"/>
        <v>15.16097375025228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-2.8421709430404007E-14</v>
      </c>
      <c r="BE172" s="14">
        <f>BD172*VLOOKUP('Données projet'!$B$11,Paramètres!$A$1:$I$88,3,0)*VLOOKUP('Données projet'!$B$11,Paramètres!$A$1:$I$88,5,0)</f>
        <v>-2.2612312022829431E-14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219.20272956499281</v>
      </c>
      <c r="BJ172" s="62">
        <f t="shared" si="146"/>
        <v>244.37146912604081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9.817365524919051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9.817365524919051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68.84558607700437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4.4444444444444446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16.296296296296298</v>
      </c>
      <c r="H173" s="70">
        <f t="shared" si="110"/>
        <v>191.4814814814815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415.21844537846482</v>
      </c>
      <c r="T173" s="62">
        <f t="shared" si="142"/>
        <v>491.25626166862321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27.375999298701508</v>
      </c>
      <c r="AA173" s="23">
        <f>EXP(-LN(2)/25)*AA172+(1-EXP(-LN(2)/25))/(LN(2)/25)*Calculateur!V173*Calculateur!X173*VLOOKUP('Données projet'!$B$9,Paramètres!$A$1:$I$88,3,0)*0.475*44/12</f>
        <v>2.9581603678417241</v>
      </c>
      <c r="AB173" s="23">
        <f>EXP(-LN(2)/2)*AB172+(1-EXP(-LN(2)/2))/(LN(2)/2)*V173*Y173*VLOOKUP('Données projet'!$B$9,Paramètres!$A$1:$I$88,3,0)*0.475*44/12</f>
        <v>1.0659265474308993E-15</v>
      </c>
      <c r="AC173" s="24">
        <f t="shared" si="163"/>
        <v>30.334159666543233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projet'!$B$10,Paramètres!$A$1:$I$88,3,0)*VLOOKUP('Données projet'!$B$10,Paramètres!$A$1:$I$88,5,0)</f>
        <v>-1.2414602679200471E-13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243.3456100842846</v>
      </c>
      <c r="AO173" s="62">
        <f t="shared" si="144"/>
        <v>301.6462497303628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13.108792164147802</v>
      </c>
      <c r="AV173" s="23">
        <f>EXP(-LN(2)/25)*AV172+(1-EXP(-LN(2)/25))/(LN(2)/25)*Calculateur!AQ173*Calculateur!AS173*VLOOKUP('Données projet'!$B$10,Paramètres!$A$1:$I$88,3,0)*0.475*44/12</f>
        <v>1.7410374209978587</v>
      </c>
      <c r="AW173" s="23">
        <f>EXP(-LN(2)/2)*AW172+(1-EXP(-LN(2)/2))/(LN(2)/2)*AQ173*AT173*VLOOKUP('Données projet'!$B$10,Paramètres!$A$1:$I$88,3,0)*0.475*44/12</f>
        <v>4.6740111173860897E-16</v>
      </c>
      <c r="AX173" s="23">
        <f t="shared" si="166"/>
        <v>14.849829585145661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-2.8421709430404007E-14</v>
      </c>
      <c r="BE173" s="14">
        <f>BD173*VLOOKUP('Données projet'!$B$11,Paramètres!$A$1:$I$88,3,0)*VLOOKUP('Données projet'!$B$11,Paramètres!$A$1:$I$88,5,0)</f>
        <v>-2.2612312022829431E-14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219.20272956499281</v>
      </c>
      <c r="BJ173" s="62">
        <f t="shared" si="146"/>
        <v>244.37146912604081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9.6248529749770917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9.6248529749770917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68.865612577685454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4.4444444444444446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16.296296296296298</v>
      </c>
      <c r="H174" s="70">
        <f t="shared" si="110"/>
        <v>191.4814814814815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415.21844537846482</v>
      </c>
      <c r="T174" s="62">
        <f t="shared" si="142"/>
        <v>491.25626166862321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26.83917265016478</v>
      </c>
      <c r="AA174" s="23">
        <f>EXP(-LN(2)/25)*AA173+(1-EXP(-LN(2)/25))/(LN(2)/25)*Calculateur!V174*Calculateur!X174*VLOOKUP('Données projet'!$B$9,Paramètres!$A$1:$I$88,3,0)*0.475*44/12</f>
        <v>2.8772693170201995</v>
      </c>
      <c r="AB174" s="23">
        <f>EXP(-LN(2)/2)*AB173+(1-EXP(-LN(2)/2))/(LN(2)/2)*V174*Y174*VLOOKUP('Données projet'!$B$9,Paramètres!$A$1:$I$88,3,0)*0.475*44/12</f>
        <v>7.5372388993515301E-16</v>
      </c>
      <c r="AC174" s="24">
        <f t="shared" si="163"/>
        <v>29.716441967184981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projet'!$B$10,Paramètres!$A$1:$I$88,3,0)*VLOOKUP('Données projet'!$B$10,Paramètres!$A$1:$I$88,5,0)</f>
        <v>-1.2414602679200471E-13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243.3456100842846</v>
      </c>
      <c r="AO174" s="62">
        <f t="shared" si="144"/>
        <v>301.6462497303628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12.851736745382587</v>
      </c>
      <c r="AV174" s="23">
        <f>EXP(-LN(2)/25)*AV173+(1-EXP(-LN(2)/25))/(LN(2)/25)*Calculateur!AQ174*Calculateur!AS174*VLOOKUP('Données projet'!$B$10,Paramètres!$A$1:$I$88,3,0)*0.475*44/12</f>
        <v>1.6934286611634934</v>
      </c>
      <c r="AW174" s="23">
        <f>EXP(-LN(2)/2)*AW173+(1-EXP(-LN(2)/2))/(LN(2)/2)*AQ174*AT174*VLOOKUP('Données projet'!$B$10,Paramètres!$A$1:$I$88,3,0)*0.475*44/12</f>
        <v>3.3050249564450162E-16</v>
      </c>
      <c r="AX174" s="23">
        <f t="shared" si="166"/>
        <v>14.545165406546079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-2.8421709430404007E-14</v>
      </c>
      <c r="BE174" s="14">
        <f>BD174*VLOOKUP('Données projet'!$B$11,Paramètres!$A$1:$I$88,3,0)*VLOOKUP('Données projet'!$B$11,Paramètres!$A$1:$I$88,5,0)</f>
        <v>-2.2612312022829431E-14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219.20272956499281</v>
      </c>
      <c r="BJ174" s="62">
        <f t="shared" si="146"/>
        <v>244.37146912604081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9.4361154787184347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9.4361154787184347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68.885291663352277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4.4444444444444446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16.296296296296298</v>
      </c>
      <c r="H175" s="70">
        <f t="shared" si="110"/>
        <v>191.4814814814815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415.21844537846482</v>
      </c>
      <c r="T175" s="62">
        <f t="shared" si="142"/>
        <v>491.25626166862321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26.312872844773935</v>
      </c>
      <c r="AA175" s="23">
        <f>EXP(-LN(2)/25)*AA174+(1-EXP(-LN(2)/25))/(LN(2)/25)*Calculateur!V175*Calculateur!X175*VLOOKUP('Données projet'!$B$9,Paramètres!$A$1:$I$88,3,0)*0.475*44/12</f>
        <v>2.7985902362372648</v>
      </c>
      <c r="AB175" s="23">
        <f>EXP(-LN(2)/2)*AB174+(1-EXP(-LN(2)/2))/(LN(2)/2)*V175*Y175*VLOOKUP('Données projet'!$B$9,Paramètres!$A$1:$I$88,3,0)*0.475*44/12</f>
        <v>5.3296327371544966E-16</v>
      </c>
      <c r="AC175" s="24">
        <f t="shared" si="163"/>
        <v>29.111463081011198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projet'!$B$10,Paramètres!$A$1:$I$88,3,0)*VLOOKUP('Données projet'!$B$10,Paramètres!$A$1:$I$88,5,0)</f>
        <v>-1.2414602679200471E-13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243.3456100842846</v>
      </c>
      <c r="AO175" s="62">
        <f t="shared" si="144"/>
        <v>301.6462497303628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12.599722026591033</v>
      </c>
      <c r="AV175" s="23">
        <f>EXP(-LN(2)/25)*AV174+(1-EXP(-LN(2)/25))/(LN(2)/25)*Calculateur!AQ175*Calculateur!AS175*VLOOKUP('Données projet'!$B$10,Paramètres!$A$1:$I$88,3,0)*0.475*44/12</f>
        <v>1.6471217653704349</v>
      </c>
      <c r="AW175" s="23">
        <f>EXP(-LN(2)/2)*AW174+(1-EXP(-LN(2)/2))/(LN(2)/2)*AQ175*AT175*VLOOKUP('Données projet'!$B$10,Paramètres!$A$1:$I$88,3,0)*0.475*44/12</f>
        <v>2.3370055586930448E-16</v>
      </c>
      <c r="AX175" s="23">
        <f t="shared" si="166"/>
        <v>14.246843791961467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-2.8421709430404007E-14</v>
      </c>
      <c r="BE175" s="14">
        <f>BD175*VLOOKUP('Données projet'!$B$11,Paramètres!$A$1:$I$88,3,0)*VLOOKUP('Données projet'!$B$11,Paramètres!$A$1:$I$88,5,0)</f>
        <v>-2.2612312022829431E-14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219.20272956499281</v>
      </c>
      <c r="BJ175" s="62">
        <f t="shared" si="146"/>
        <v>244.37146912604081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9.2510790096429041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9.2510790096429041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68.904629360878616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4.4444444444444446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16.296296296296298</v>
      </c>
      <c r="H176" s="70">
        <f t="shared" si="110"/>
        <v>191.4814814814815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415.21844537846482</v>
      </c>
      <c r="T176" s="62">
        <f t="shared" si="142"/>
        <v>491.25626166862321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25.796893457555619</v>
      </c>
      <c r="AA176" s="23">
        <f>EXP(-LN(2)/25)*AA175+(1-EXP(-LN(2)/25))/(LN(2)/25)*Calculateur!V176*Calculateur!X176*VLOOKUP('Données projet'!$B$9,Paramètres!$A$1:$I$88,3,0)*0.475*44/12</f>
        <v>2.7220626390558924</v>
      </c>
      <c r="AB176" s="23">
        <f>EXP(-LN(2)/2)*AB175+(1-EXP(-LN(2)/2))/(LN(2)/2)*V176*Y176*VLOOKUP('Données projet'!$B$9,Paramètres!$A$1:$I$88,3,0)*0.475*44/12</f>
        <v>3.768619449675765E-16</v>
      </c>
      <c r="AC176" s="24">
        <f t="shared" si="163"/>
        <v>28.518956096611511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projet'!$B$10,Paramètres!$A$1:$I$88,3,0)*VLOOKUP('Données projet'!$B$10,Paramètres!$A$1:$I$88,5,0)</f>
        <v>-1.2414602679200471E-13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243.3456100842846</v>
      </c>
      <c r="AO176" s="62">
        <f t="shared" si="144"/>
        <v>301.6462497303628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12.352649162721182</v>
      </c>
      <c r="AV176" s="23">
        <f>EXP(-LN(2)/25)*AV175+(1-EXP(-LN(2)/25))/(LN(2)/25)*Calculateur!AQ176*Calculateur!AS176*VLOOKUP('Données projet'!$B$10,Paramètres!$A$1:$I$88,3,0)*0.475*44/12</f>
        <v>1.6020811340780112</v>
      </c>
      <c r="AW176" s="23">
        <f>EXP(-LN(2)/2)*AW175+(1-EXP(-LN(2)/2))/(LN(2)/2)*AQ176*AT176*VLOOKUP('Données projet'!$B$10,Paramètres!$A$1:$I$88,3,0)*0.475*44/12</f>
        <v>1.6525124782225081E-16</v>
      </c>
      <c r="AX176" s="23">
        <f t="shared" si="166"/>
        <v>13.954730296799193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-2.8421709430404007E-14</v>
      </c>
      <c r="BE176" s="14">
        <f>BD176*VLOOKUP('Données projet'!$B$11,Paramètres!$A$1:$I$88,3,0)*VLOOKUP('Données projet'!$B$11,Paramètres!$A$1:$I$88,5,0)</f>
        <v>-2.2612312022829431E-14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219.20272956499281</v>
      </c>
      <c r="BJ176" s="62">
        <f t="shared" si="146"/>
        <v>244.37146912604081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9.0696709928648414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9.0696709928648414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68.92363159258548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4.4444444444444446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16.296296296296298</v>
      </c>
      <c r="H177" s="70">
        <f t="shared" si="110"/>
        <v>191.4814814814815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415.21844537846482</v>
      </c>
      <c r="T177" s="62">
        <f t="shared" si="142"/>
        <v>491.25626166862321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25.291032111404306</v>
      </c>
      <c r="AA177" s="23">
        <f>EXP(-LN(2)/25)*AA176+(1-EXP(-LN(2)/25))/(LN(2)/25)*Calculateur!V177*Calculateur!X177*VLOOKUP('Données projet'!$B$9,Paramètres!$A$1:$I$88,3,0)*0.475*44/12</f>
        <v>2.647627693043856</v>
      </c>
      <c r="AB177" s="23">
        <f>EXP(-LN(2)/2)*AB176+(1-EXP(-LN(2)/2))/(LN(2)/2)*V177*Y177*VLOOKUP('Données projet'!$B$9,Paramètres!$A$1:$I$88,3,0)*0.475*44/12</f>
        <v>2.6648163685772483E-16</v>
      </c>
      <c r="AC177" s="24">
        <f t="shared" si="163"/>
        <v>27.938659804448161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projet'!$B$10,Paramètres!$A$1:$I$88,3,0)*VLOOKUP('Données projet'!$B$10,Paramètres!$A$1:$I$88,5,0)</f>
        <v>-1.2414602679200471E-13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243.3456100842846</v>
      </c>
      <c r="AO177" s="62">
        <f t="shared" si="144"/>
        <v>301.6462497303628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12.110421247012251</v>
      </c>
      <c r="AV177" s="23">
        <f>EXP(-LN(2)/25)*AV176+(1-EXP(-LN(2)/25))/(LN(2)/25)*Calculateur!AQ177*Calculateur!AS177*VLOOKUP('Données projet'!$B$10,Paramètres!$A$1:$I$88,3,0)*0.475*44/12</f>
        <v>1.5582721412168627</v>
      </c>
      <c r="AW177" s="23">
        <f>EXP(-LN(2)/2)*AW176+(1-EXP(-LN(2)/2))/(LN(2)/2)*AQ177*AT177*VLOOKUP('Données projet'!$B$10,Paramètres!$A$1:$I$88,3,0)*0.475*44/12</f>
        <v>1.1685027793465224E-16</v>
      </c>
      <c r="AX177" s="23">
        <f t="shared" si="166"/>
        <v>13.668693388229114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-2.8421709430404007E-14</v>
      </c>
      <c r="BE177" s="14">
        <f>BD177*VLOOKUP('Données projet'!$B$11,Paramètres!$A$1:$I$88,3,0)*VLOOKUP('Données projet'!$B$11,Paramètres!$A$1:$I$88,5,0)</f>
        <v>-2.2612312022829431E-14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219.20272956499281</v>
      </c>
      <c r="BJ177" s="62">
        <f t="shared" si="146"/>
        <v>244.37146912604081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8.8918202766478327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8.8918202766478327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68.942304178054883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4.4444444444444446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16.296296296296298</v>
      </c>
      <c r="H178" s="70">
        <f t="shared" si="110"/>
        <v>191.4814814814815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415.21844537846482</v>
      </c>
      <c r="T178" s="62">
        <f t="shared" si="142"/>
        <v>491.25626166862321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24.795090397706062</v>
      </c>
      <c r="AA178" s="23">
        <f>EXP(-LN(2)/25)*AA177+(1-EXP(-LN(2)/25))/(LN(2)/25)*Calculateur!V178*Calculateur!X178*VLOOKUP('Données projet'!$B$9,Paramètres!$A$1:$I$88,3,0)*0.475*44/12</f>
        <v>2.5752281745448826</v>
      </c>
      <c r="AB178" s="23">
        <f>EXP(-LN(2)/2)*AB177+(1-EXP(-LN(2)/2))/(LN(2)/2)*V178*Y178*VLOOKUP('Données projet'!$B$9,Paramètres!$A$1:$I$88,3,0)*0.475*44/12</f>
        <v>1.8843097248378825E-16</v>
      </c>
      <c r="AC178" s="24">
        <f t="shared" si="163"/>
        <v>27.370318572250945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projet'!$B$10,Paramètres!$A$1:$I$88,3,0)*VLOOKUP('Données projet'!$B$10,Paramètres!$A$1:$I$88,5,0)</f>
        <v>-1.2414602679200471E-13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243.3456100842846</v>
      </c>
      <c r="AO178" s="62">
        <f t="shared" si="144"/>
        <v>301.6462497303628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11.872943272985932</v>
      </c>
      <c r="AV178" s="23">
        <f>EXP(-LN(2)/25)*AV177+(1-EXP(-LN(2)/25))/(LN(2)/25)*Calculateur!AQ178*Calculateur!AS178*VLOOKUP('Données projet'!$B$10,Paramètres!$A$1:$I$88,3,0)*0.475*44/12</f>
        <v>1.5156611075693172</v>
      </c>
      <c r="AW178" s="23">
        <f>EXP(-LN(2)/2)*AW177+(1-EXP(-LN(2)/2))/(LN(2)/2)*AQ178*AT178*VLOOKUP('Données projet'!$B$10,Paramètres!$A$1:$I$88,3,0)*0.475*44/12</f>
        <v>8.2625623911125405E-17</v>
      </c>
      <c r="AX178" s="23">
        <f t="shared" si="166"/>
        <v>13.388604380555249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-2.8421709430404007E-14</v>
      </c>
      <c r="BE178" s="14">
        <f>BD178*VLOOKUP('Données projet'!$B$11,Paramètres!$A$1:$I$88,3,0)*VLOOKUP('Données projet'!$B$11,Paramètres!$A$1:$I$88,5,0)</f>
        <v>-2.2612312022829431E-14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219.20272956499281</v>
      </c>
      <c r="BJ178" s="62">
        <f t="shared" si="146"/>
        <v>244.37146912604081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8.7174571044976137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8.7174571044976137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68.960652835912015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4.4444444444444446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16.296296296296298</v>
      </c>
      <c r="H179" s="70">
        <f t="shared" si="110"/>
        <v>191.4814814814815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415.21844537846482</v>
      </c>
      <c r="T179" s="62">
        <f t="shared" si="142"/>
        <v>491.25626166862321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24.308873798518867</v>
      </c>
      <c r="AA179" s="23">
        <f>EXP(-LN(2)/25)*AA178+(1-EXP(-LN(2)/25))/(LN(2)/25)*Calculateur!V179*Calculateur!X179*VLOOKUP('Données projet'!$B$9,Paramètres!$A$1:$I$88,3,0)*0.475*44/12</f>
        <v>2.5048084246865887</v>
      </c>
      <c r="AB179" s="23">
        <f>EXP(-LN(2)/2)*AB178+(1-EXP(-LN(2)/2))/(LN(2)/2)*V179*Y179*VLOOKUP('Données projet'!$B$9,Paramètres!$A$1:$I$88,3,0)*0.475*44/12</f>
        <v>1.3324081842886241E-16</v>
      </c>
      <c r="AC179" s="24">
        <f t="shared" si="163"/>
        <v>26.813682223205454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projet'!$B$10,Paramètres!$A$1:$I$88,3,0)*VLOOKUP('Données projet'!$B$10,Paramètres!$A$1:$I$88,5,0)</f>
        <v>-1.2414602679200471E-13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243.3456100842846</v>
      </c>
      <c r="AO179" s="62">
        <f t="shared" si="144"/>
        <v>301.6462497303628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11.640122097183008</v>
      </c>
      <c r="AV179" s="23">
        <f>EXP(-LN(2)/25)*AV178+(1-EXP(-LN(2)/25))/(LN(2)/25)*Calculateur!AQ179*Calculateur!AS179*VLOOKUP('Données projet'!$B$10,Paramètres!$A$1:$I$88,3,0)*0.475*44/12</f>
        <v>1.4742152748776807</v>
      </c>
      <c r="AW179" s="23">
        <f>EXP(-LN(2)/2)*AW178+(1-EXP(-LN(2)/2))/(LN(2)/2)*AQ179*AT179*VLOOKUP('Données projet'!$B$10,Paramètres!$A$1:$I$88,3,0)*0.475*44/12</f>
        <v>5.8425138967326121E-17</v>
      </c>
      <c r="AX179" s="23">
        <f t="shared" si="166"/>
        <v>13.114337372060689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-2.8421709430404007E-14</v>
      </c>
      <c r="BE179" s="14">
        <f>BD179*VLOOKUP('Données projet'!$B$11,Paramètres!$A$1:$I$88,3,0)*VLOOKUP('Données projet'!$B$11,Paramètres!$A$1:$I$88,5,0)</f>
        <v>-2.2612312022829431E-14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219.20272956499281</v>
      </c>
      <c r="BJ179" s="62">
        <f t="shared" si="146"/>
        <v>244.37146912604081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8.5465130878022268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8.5465130878022268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68.978683185576784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4.4444444444444446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16.296296296296298</v>
      </c>
      <c r="H180" s="70">
        <f t="shared" si="110"/>
        <v>191.4814814814815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415.21844537846482</v>
      </c>
      <c r="T180" s="62">
        <f t="shared" si="142"/>
        <v>491.25626166862321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23.83219161027889</v>
      </c>
      <c r="AA180" s="23">
        <f>EXP(-LN(2)/25)*AA179+(1-EXP(-LN(2)/25))/(LN(2)/25)*Calculateur!V180*Calculateur!X180*VLOOKUP('Données projet'!$B$9,Paramètres!$A$1:$I$88,3,0)*0.475*44/12</f>
        <v>2.4363143065913837</v>
      </c>
      <c r="AB180" s="23">
        <f>EXP(-LN(2)/2)*AB179+(1-EXP(-LN(2)/2))/(LN(2)/2)*V180*Y180*VLOOKUP('Données projet'!$B$9,Paramètres!$A$1:$I$88,3,0)*0.475*44/12</f>
        <v>9.4215486241894126E-17</v>
      </c>
      <c r="AC180" s="24">
        <f t="shared" si="163"/>
        <v>26.268505916870275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projet'!$B$10,Paramètres!$A$1:$I$88,3,0)*VLOOKUP('Données projet'!$B$10,Paramètres!$A$1:$I$88,5,0)</f>
        <v>-1.2414602679200471E-13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243.3456100842846</v>
      </c>
      <c r="AO180" s="62">
        <f t="shared" si="144"/>
        <v>301.6462497303628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11.411866402630684</v>
      </c>
      <c r="AV180" s="23">
        <f>EXP(-LN(2)/25)*AV179+(1-EXP(-LN(2)/25))/(LN(2)/25)*Calculateur!AQ180*Calculateur!AS180*VLOOKUP('Données projet'!$B$10,Paramètres!$A$1:$I$88,3,0)*0.475*44/12</f>
        <v>1.4339027806605384</v>
      </c>
      <c r="AW180" s="23">
        <f>EXP(-LN(2)/2)*AW179+(1-EXP(-LN(2)/2))/(LN(2)/2)*AQ180*AT180*VLOOKUP('Données projet'!$B$10,Paramètres!$A$1:$I$88,3,0)*0.475*44/12</f>
        <v>4.1312811955562702E-17</v>
      </c>
      <c r="AX180" s="23">
        <f t="shared" si="166"/>
        <v>12.845769183291223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-2.8421709430404007E-14</v>
      </c>
      <c r="BE180" s="14">
        <f>BD180*VLOOKUP('Données projet'!$B$11,Paramètres!$A$1:$I$88,3,0)*VLOOKUP('Données projet'!$B$11,Paramètres!$A$1:$I$88,5,0)</f>
        <v>-2.2612312022829431E-14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219.20272956499281</v>
      </c>
      <c r="BJ180" s="62">
        <f t="shared" si="146"/>
        <v>244.37146912604081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8.3789211790086817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8.3789211790086817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68.996400748984698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4.4444444444444446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16.296296296296298</v>
      </c>
      <c r="H181" s="70">
        <f t="shared" si="110"/>
        <v>191.4814814814815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415.21844537846482</v>
      </c>
      <c r="T181" s="62">
        <f t="shared" si="142"/>
        <v>491.25626166862321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23.364856869002875</v>
      </c>
      <c r="AA181" s="23">
        <f>EXP(-LN(2)/25)*AA180+(1-EXP(-LN(2)/25))/(LN(2)/25)*Calculateur!V181*Calculateur!X181*VLOOKUP('Données projet'!$B$9,Paramètres!$A$1:$I$88,3,0)*0.475*44/12</f>
        <v>2.3696931637574412</v>
      </c>
      <c r="AB181" s="23">
        <f>EXP(-LN(2)/2)*AB180+(1-EXP(-LN(2)/2))/(LN(2)/2)*V181*Y181*VLOOKUP('Données projet'!$B$9,Paramètres!$A$1:$I$88,3,0)*0.475*44/12</f>
        <v>6.6620409214431207E-17</v>
      </c>
      <c r="AC181" s="24">
        <f t="shared" si="163"/>
        <v>25.734550032760318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projet'!$B$10,Paramètres!$A$1:$I$88,3,0)*VLOOKUP('Données projet'!$B$10,Paramètres!$A$1:$I$88,5,0)</f>
        <v>-1.2414602679200471E-13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243.3456100842846</v>
      </c>
      <c r="AO181" s="62">
        <f t="shared" si="144"/>
        <v>301.6462497303628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11.188086663026304</v>
      </c>
      <c r="AV181" s="23">
        <f>EXP(-LN(2)/25)*AV180+(1-EXP(-LN(2)/25))/(LN(2)/25)*Calculateur!AQ181*Calculateur!AS181*VLOOKUP('Données projet'!$B$10,Paramètres!$A$1:$I$88,3,0)*0.475*44/12</f>
        <v>1.3946926337177059</v>
      </c>
      <c r="AW181" s="23">
        <f>EXP(-LN(2)/2)*AW180+(1-EXP(-LN(2)/2))/(LN(2)/2)*AQ181*AT181*VLOOKUP('Données projet'!$B$10,Paramètres!$A$1:$I$88,3,0)*0.475*44/12</f>
        <v>2.921256948366306E-17</v>
      </c>
      <c r="AX181" s="23">
        <f t="shared" si="166"/>
        <v>12.582779296744011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-2.8421709430404007E-14</v>
      </c>
      <c r="BE181" s="14">
        <f>BD181*VLOOKUP('Données projet'!$B$11,Paramètres!$A$1:$I$88,3,0)*VLOOKUP('Données projet'!$B$11,Paramètres!$A$1:$I$88,5,0)</f>
        <v>-2.2612312022829431E-14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219.20272956499281</v>
      </c>
      <c r="BJ181" s="62">
        <f t="shared" si="146"/>
        <v>244.37146912604081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8.2146156453256065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8.2146156453256065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69.013810952278021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4.4444444444444446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16.296296296296298</v>
      </c>
      <c r="H182" s="70">
        <f t="shared" si="110"/>
        <v>191.4814814814815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415.21844537846482</v>
      </c>
      <c r="T182" s="62">
        <f t="shared" si="142"/>
        <v>491.25626166862321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22.906686276957235</v>
      </c>
      <c r="AA182" s="23">
        <f>EXP(-LN(2)/25)*AA181+(1-EXP(-LN(2)/25))/(LN(2)/25)*Calculateur!V182*Calculateur!X182*VLOOKUP('Données projet'!$B$9,Paramètres!$A$1:$I$88,3,0)*0.475*44/12</f>
        <v>2.3048937795777467</v>
      </c>
      <c r="AB182" s="23">
        <f>EXP(-LN(2)/2)*AB181+(1-EXP(-LN(2)/2))/(LN(2)/2)*V182*Y182*VLOOKUP('Données projet'!$B$9,Paramètres!$A$1:$I$88,3,0)*0.475*44/12</f>
        <v>4.7107743120947063E-17</v>
      </c>
      <c r="AC182" s="24">
        <f t="shared" si="163"/>
        <v>25.211580056534981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projet'!$B$10,Paramètres!$A$1:$I$88,3,0)*VLOOKUP('Données projet'!$B$10,Paramètres!$A$1:$I$88,5,0)</f>
        <v>-1.2414602679200471E-13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243.3456100842846</v>
      </c>
      <c r="AO182" s="62">
        <f t="shared" si="144"/>
        <v>301.6462497303628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10.968695107623404</v>
      </c>
      <c r="AV182" s="23">
        <f>EXP(-LN(2)/25)*AV181+(1-EXP(-LN(2)/25))/(LN(2)/25)*Calculateur!AQ182*Calculateur!AS182*VLOOKUP('Données projet'!$B$10,Paramètres!$A$1:$I$88,3,0)*0.475*44/12</f>
        <v>1.3565546903049972</v>
      </c>
      <c r="AW182" s="23">
        <f>EXP(-LN(2)/2)*AW181+(1-EXP(-LN(2)/2))/(LN(2)/2)*AQ182*AT182*VLOOKUP('Données projet'!$B$10,Paramètres!$A$1:$I$88,3,0)*0.475*44/12</f>
        <v>2.0656405977781351E-17</v>
      </c>
      <c r="AX182" s="23">
        <f t="shared" si="166"/>
        <v>12.3252497979284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-2.8421709430404007E-14</v>
      </c>
      <c r="BE182" s="14">
        <f>BD182*VLOOKUP('Données projet'!$B$11,Paramètres!$A$1:$I$88,3,0)*VLOOKUP('Données projet'!$B$11,Paramètres!$A$1:$I$88,5,0)</f>
        <v>-2.2612312022829431E-14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219.20272956499281</v>
      </c>
      <c r="BJ182" s="62">
        <f t="shared" si="146"/>
        <v>244.37146912604081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8.0535320429415762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8.0535320429415762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69.030919127467584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4.4444444444444446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16.296296296296298</v>
      </c>
      <c r="H183" s="70">
        <f t="shared" si="110"/>
        <v>191.4814814814815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415.21844537846482</v>
      </c>
      <c r="T183" s="62">
        <f t="shared" si="142"/>
        <v>491.25626166862321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22.457500130765141</v>
      </c>
      <c r="AA183" s="23">
        <f>EXP(-LN(2)/25)*AA182+(1-EXP(-LN(2)/25))/(LN(2)/25)*Calculateur!V183*Calculateur!X183*VLOOKUP('Données projet'!$B$9,Paramètres!$A$1:$I$88,3,0)*0.475*44/12</f>
        <v>2.2418663379660972</v>
      </c>
      <c r="AB183" s="23">
        <f>EXP(-LN(2)/2)*AB182+(1-EXP(-LN(2)/2))/(LN(2)/2)*V183*Y183*VLOOKUP('Données projet'!$B$9,Paramètres!$A$1:$I$88,3,0)*0.475*44/12</f>
        <v>3.3310204607215604E-17</v>
      </c>
      <c r="AC183" s="24">
        <f t="shared" si="163"/>
        <v>24.699366468731238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projet'!$B$10,Paramètres!$A$1:$I$88,3,0)*VLOOKUP('Données projet'!$B$10,Paramètres!$A$1:$I$88,5,0)</f>
        <v>-1.2414602679200471E-13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243.3456100842846</v>
      </c>
      <c r="AO183" s="62">
        <f t="shared" si="144"/>
        <v>301.6462497303628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10.753605686806317</v>
      </c>
      <c r="AV183" s="23">
        <f>EXP(-LN(2)/25)*AV182+(1-EXP(-LN(2)/25))/(LN(2)/25)*Calculateur!AQ183*Calculateur!AS183*VLOOKUP('Données projet'!$B$10,Paramètres!$A$1:$I$88,3,0)*0.475*44/12</f>
        <v>1.3194596309604962</v>
      </c>
      <c r="AW183" s="23">
        <f>EXP(-LN(2)/2)*AW182+(1-EXP(-LN(2)/2))/(LN(2)/2)*AQ183*AT183*VLOOKUP('Données projet'!$B$10,Paramètres!$A$1:$I$88,3,0)*0.475*44/12</f>
        <v>1.460628474183153E-17</v>
      </c>
      <c r="AX183" s="23">
        <f t="shared" si="166"/>
        <v>12.073065317766813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-2.8421709430404007E-14</v>
      </c>
      <c r="BE183" s="14">
        <f>BD183*VLOOKUP('Données projet'!$B$11,Paramètres!$A$1:$I$88,3,0)*VLOOKUP('Données projet'!$B$11,Paramètres!$A$1:$I$88,5,0)</f>
        <v>-2.2612312022829431E-14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219.20272956499281</v>
      </c>
      <c r="BJ183" s="62">
        <f t="shared" si="146"/>
        <v>244.37146912604081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7.8956071917490016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7.8956071917490016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69.047730514065762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4.4444444444444446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16.296296296296298</v>
      </c>
      <c r="H184" s="70">
        <f t="shared" si="110"/>
        <v>191.4814814814815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415.21844537846482</v>
      </c>
      <c r="T184" s="62">
        <f t="shared" si="142"/>
        <v>491.25626166862321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22.017122250923379</v>
      </c>
      <c r="AA184" s="23">
        <f>EXP(-LN(2)/25)*AA183+(1-EXP(-LN(2)/25))/(LN(2)/25)*Calculateur!V184*Calculateur!X184*VLOOKUP('Données projet'!$B$9,Paramètres!$A$1:$I$88,3,0)*0.475*44/12</f>
        <v>2.1805623850597873</v>
      </c>
      <c r="AB184" s="23">
        <f>EXP(-LN(2)/2)*AB183+(1-EXP(-LN(2)/2))/(LN(2)/2)*V184*Y184*VLOOKUP('Données projet'!$B$9,Paramètres!$A$1:$I$88,3,0)*0.475*44/12</f>
        <v>2.3553871560473532E-17</v>
      </c>
      <c r="AC184" s="24">
        <f t="shared" si="163"/>
        <v>24.197684635983165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projet'!$B$10,Paramètres!$A$1:$I$88,3,0)*VLOOKUP('Données projet'!$B$10,Paramètres!$A$1:$I$88,5,0)</f>
        <v>-1.2414602679200471E-13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243.3456100842846</v>
      </c>
      <c r="AO184" s="62">
        <f t="shared" si="144"/>
        <v>301.6462497303628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10.542734038339862</v>
      </c>
      <c r="AV184" s="23">
        <f>EXP(-LN(2)/25)*AV183+(1-EXP(-LN(2)/25))/(LN(2)/25)*Calculateur!AQ184*Calculateur!AS184*VLOOKUP('Données projet'!$B$10,Paramètres!$A$1:$I$88,3,0)*0.475*44/12</f>
        <v>1.2833789379645151</v>
      </c>
      <c r="AW184" s="23">
        <f>EXP(-LN(2)/2)*AW183+(1-EXP(-LN(2)/2))/(LN(2)/2)*AQ184*AT184*VLOOKUP('Données projet'!$B$10,Paramètres!$A$1:$I$88,3,0)*0.475*44/12</f>
        <v>1.0328202988890676E-17</v>
      </c>
      <c r="AX184" s="23">
        <f t="shared" si="166"/>
        <v>11.826112976304378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-2.8421709430404007E-14</v>
      </c>
      <c r="BE184" s="14">
        <f>BD184*VLOOKUP('Données projet'!$B$11,Paramètres!$A$1:$I$88,3,0)*VLOOKUP('Données projet'!$B$11,Paramètres!$A$1:$I$88,5,0)</f>
        <v>-2.2612312022829431E-14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219.20272956499281</v>
      </c>
      <c r="BJ184" s="62">
        <f t="shared" si="146"/>
        <v>244.37146912604081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7.7407791505636654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7.7407791505636654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69.064250260691097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4.4444444444444446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16.296296296296298</v>
      </c>
      <c r="H185" s="70">
        <f t="shared" si="110"/>
        <v>191.4814814814815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415.21844537846482</v>
      </c>
      <c r="T185" s="62">
        <f t="shared" si="142"/>
        <v>491.25626166862321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21.585379912701327</v>
      </c>
      <c r="AA185" s="23">
        <f>EXP(-LN(2)/25)*AA184+(1-EXP(-LN(2)/25))/(LN(2)/25)*Calculateur!V185*Calculateur!X185*VLOOKUP('Données projet'!$B$9,Paramètres!$A$1:$I$88,3,0)*0.475*44/12</f>
        <v>2.1209347919695354</v>
      </c>
      <c r="AB185" s="23">
        <f>EXP(-LN(2)/2)*AB184+(1-EXP(-LN(2)/2))/(LN(2)/2)*V185*Y185*VLOOKUP('Données projet'!$B$9,Paramètres!$A$1:$I$88,3,0)*0.475*44/12</f>
        <v>1.6655102303607802E-17</v>
      </c>
      <c r="AC185" s="24">
        <f t="shared" si="163"/>
        <v>23.706314704670863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projet'!$B$10,Paramètres!$A$1:$I$88,3,0)*VLOOKUP('Données projet'!$B$10,Paramètres!$A$1:$I$88,5,0)</f>
        <v>-1.2414602679200471E-13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243.3456100842846</v>
      </c>
      <c r="AO185" s="62">
        <f t="shared" si="144"/>
        <v>301.6462497303628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10.335997454280829</v>
      </c>
      <c r="AV185" s="23">
        <f>EXP(-LN(2)/25)*AV184+(1-EXP(-LN(2)/25))/(LN(2)/25)*Calculateur!AQ185*Calculateur!AS185*VLOOKUP('Données projet'!$B$10,Paramètres!$A$1:$I$88,3,0)*0.475*44/12</f>
        <v>1.2482848734159102</v>
      </c>
      <c r="AW185" s="23">
        <f>EXP(-LN(2)/2)*AW184+(1-EXP(-LN(2)/2))/(LN(2)/2)*AQ185*AT185*VLOOKUP('Données projet'!$B$10,Paramètres!$A$1:$I$88,3,0)*0.475*44/12</f>
        <v>7.3031423709157651E-18</v>
      </c>
      <c r="AX185" s="23">
        <f t="shared" si="166"/>
        <v>11.584282327696739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-2.8421709430404007E-14</v>
      </c>
      <c r="BE185" s="14">
        <f>BD185*VLOOKUP('Données projet'!$B$11,Paramètres!$A$1:$I$88,3,0)*VLOOKUP('Données projet'!$B$11,Paramètres!$A$1:$I$88,5,0)</f>
        <v>-2.2612312022829431E-14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219.20272956499281</v>
      </c>
      <c r="BJ185" s="62">
        <f t="shared" si="146"/>
        <v>244.37146912604081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7.5889871928301931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7.5889871928301931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69.080483426645102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4.4444444444444446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16.296296296296298</v>
      </c>
      <c r="H186" s="70">
        <f t="shared" si="110"/>
        <v>191.4814814814815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415.21844537846482</v>
      </c>
      <c r="T186" s="62">
        <f t="shared" si="142"/>
        <v>491.25626166862321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21.162103778394989</v>
      </c>
      <c r="AA186" s="23">
        <f>EXP(-LN(2)/25)*AA185+(1-EXP(-LN(2)/25))/(LN(2)/25)*Calculateur!V186*Calculateur!X186*VLOOKUP('Données projet'!$B$9,Paramètres!$A$1:$I$88,3,0)*0.475*44/12</f>
        <v>2.0629377185480151</v>
      </c>
      <c r="AB186" s="23">
        <f>EXP(-LN(2)/2)*AB185+(1-EXP(-LN(2)/2))/(LN(2)/2)*V186*Y186*VLOOKUP('Données projet'!$B$9,Paramètres!$A$1:$I$88,3,0)*0.475*44/12</f>
        <v>1.1776935780236766E-17</v>
      </c>
      <c r="AC186" s="24">
        <f t="shared" si="163"/>
        <v>23.225041496943003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projet'!$B$10,Paramètres!$A$1:$I$88,3,0)*VLOOKUP('Données projet'!$B$10,Paramètres!$A$1:$I$88,5,0)</f>
        <v>-1.2414602679200471E-13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243.3456100842846</v>
      </c>
      <c r="AO186" s="62">
        <f t="shared" si="144"/>
        <v>301.6462497303628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10.133314848538328</v>
      </c>
      <c r="AV186" s="23">
        <f>EXP(-LN(2)/25)*AV185+(1-EXP(-LN(2)/25))/(LN(2)/25)*Calculateur!AQ186*Calculateur!AS186*VLOOKUP('Données projet'!$B$10,Paramètres!$A$1:$I$88,3,0)*0.475*44/12</f>
        <v>1.2141504579079037</v>
      </c>
      <c r="AW186" s="23">
        <f>EXP(-LN(2)/2)*AW185+(1-EXP(-LN(2)/2))/(LN(2)/2)*AQ186*AT186*VLOOKUP('Données projet'!$B$10,Paramètres!$A$1:$I$88,3,0)*0.475*44/12</f>
        <v>5.1641014944453378E-18</v>
      </c>
      <c r="AX186" s="23">
        <f t="shared" si="166"/>
        <v>11.347465306446232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-2.8421709430404007E-14</v>
      </c>
      <c r="BE186" s="14">
        <f>BD186*VLOOKUP('Données projet'!$B$11,Paramètres!$A$1:$I$88,3,0)*VLOOKUP('Données projet'!$B$11,Paramètres!$A$1:$I$88,5,0)</f>
        <v>-2.2612312022829431E-14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219.20272956499281</v>
      </c>
      <c r="BJ186" s="62">
        <f t="shared" si="146"/>
        <v>244.37146912604081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7.4401717828039224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7.4401717828039224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69.09643498346172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4.4444444444444446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16.296296296296298</v>
      </c>
      <c r="H187" s="70">
        <f t="shared" si="110"/>
        <v>191.4814814814815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415.21844537846482</v>
      </c>
      <c r="T187" s="62">
        <f t="shared" si="142"/>
        <v>491.25626166862321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20.747127830909449</v>
      </c>
      <c r="AA187" s="23">
        <f>EXP(-LN(2)/25)*AA186+(1-EXP(-LN(2)/25))/(LN(2)/25)*Calculateur!V187*Calculateur!X187*VLOOKUP('Données projet'!$B$9,Paramètres!$A$1:$I$88,3,0)*0.475*44/12</f>
        <v>2.0065265781491397</v>
      </c>
      <c r="AB187" s="23">
        <f>EXP(-LN(2)/2)*AB186+(1-EXP(-LN(2)/2))/(LN(2)/2)*V187*Y187*VLOOKUP('Données projet'!$B$9,Paramètres!$A$1:$I$88,3,0)*0.475*44/12</f>
        <v>8.3275511518039009E-18</v>
      </c>
      <c r="AC187" s="24">
        <f t="shared" si="163"/>
        <v>22.753654409058587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projet'!$B$10,Paramètres!$A$1:$I$88,3,0)*VLOOKUP('Données projet'!$B$10,Paramètres!$A$1:$I$88,5,0)</f>
        <v>-1.2414602679200471E-13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243.3456100842846</v>
      </c>
      <c r="AO187" s="62">
        <f t="shared" si="144"/>
        <v>301.6462497303628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9.934606725070255</v>
      </c>
      <c r="AV187" s="23">
        <f>EXP(-LN(2)/25)*AV186+(1-EXP(-LN(2)/25))/(LN(2)/25)*Calculateur!AQ187*Calculateur!AS187*VLOOKUP('Données projet'!$B$10,Paramètres!$A$1:$I$88,3,0)*0.475*44/12</f>
        <v>1.1809494497870143</v>
      </c>
      <c r="AW187" s="23">
        <f>EXP(-LN(2)/2)*AW186+(1-EXP(-LN(2)/2))/(LN(2)/2)*AQ187*AT187*VLOOKUP('Données projet'!$B$10,Paramètres!$A$1:$I$88,3,0)*0.475*44/12</f>
        <v>3.6515711854578825E-18</v>
      </c>
      <c r="AX187" s="23">
        <f t="shared" si="166"/>
        <v>11.11555617485727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-2.8421709430404007E-14</v>
      </c>
      <c r="BE187" s="14">
        <f>BD187*VLOOKUP('Données projet'!$B$11,Paramètres!$A$1:$I$88,3,0)*VLOOKUP('Données projet'!$B$11,Paramètres!$A$1:$I$88,5,0)</f>
        <v>-2.2612312022829431E-14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219.20272956499281</v>
      </c>
      <c r="BJ187" s="62">
        <f t="shared" si="146"/>
        <v>244.37146912604081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7.2942745521998296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7.2942745521998296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69.112109816429907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4.4444444444444446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16.296296296296298</v>
      </c>
      <c r="H188" s="70">
        <f t="shared" si="110"/>
        <v>191.4814814814815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415.21844537846482</v>
      </c>
      <c r="T188" s="62">
        <f t="shared" si="142"/>
        <v>491.25626166862321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20.340289308643765</v>
      </c>
      <c r="AA188" s="23">
        <f>EXP(-LN(2)/25)*AA187+(1-EXP(-LN(2)/25))/(LN(2)/25)*Calculateur!V188*Calculateur!X188*VLOOKUP('Données projet'!$B$9,Paramètres!$A$1:$I$88,3,0)*0.475*44/12</f>
        <v>1.9516580033510047</v>
      </c>
      <c r="AB188" s="23">
        <f>EXP(-LN(2)/2)*AB187+(1-EXP(-LN(2)/2))/(LN(2)/2)*V188*Y188*VLOOKUP('Données projet'!$B$9,Paramètres!$A$1:$I$88,3,0)*0.475*44/12</f>
        <v>5.8884678901183829E-18</v>
      </c>
      <c r="AC188" s="24">
        <f t="shared" si="163"/>
        <v>22.291947311994768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projet'!$B$10,Paramètres!$A$1:$I$88,3,0)*VLOOKUP('Données projet'!$B$10,Paramètres!$A$1:$I$88,5,0)</f>
        <v>-1.2414602679200471E-13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243.3456100842846</v>
      </c>
      <c r="AO188" s="62">
        <f t="shared" si="144"/>
        <v>301.6462497303628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9.7397951467034023</v>
      </c>
      <c r="AV188" s="23">
        <f>EXP(-LN(2)/25)*AV187+(1-EXP(-LN(2)/25))/(LN(2)/25)*Calculateur!AQ188*Calculateur!AS188*VLOOKUP('Données projet'!$B$10,Paramètres!$A$1:$I$88,3,0)*0.475*44/12</f>
        <v>1.1486563249791559</v>
      </c>
      <c r="AW188" s="23">
        <f>EXP(-LN(2)/2)*AW187+(1-EXP(-LN(2)/2))/(LN(2)/2)*AQ188*AT188*VLOOKUP('Données projet'!$B$10,Paramètres!$A$1:$I$88,3,0)*0.475*44/12</f>
        <v>2.5820507472226689E-18</v>
      </c>
      <c r="AX188" s="23">
        <f t="shared" si="166"/>
        <v>10.888451471682558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-2.8421709430404007E-14</v>
      </c>
      <c r="BE188" s="14">
        <f>BD188*VLOOKUP('Données projet'!$B$11,Paramètres!$A$1:$I$88,3,0)*VLOOKUP('Données projet'!$B$11,Paramètres!$A$1:$I$88,5,0)</f>
        <v>-2.2612312022829431E-14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219.20272956499281</v>
      </c>
      <c r="BJ188" s="62">
        <f t="shared" si="146"/>
        <v>244.37146912604081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7.1512382772993588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7.1512382772993588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69.127512726089776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4.4444444444444446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16.296296296296298</v>
      </c>
      <c r="H189" s="70">
        <f t="shared" si="110"/>
        <v>191.4814814814815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415.21844537846482</v>
      </c>
      <c r="T189" s="62">
        <f t="shared" si="142"/>
        <v>491.25626166862321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19.941428641652713</v>
      </c>
      <c r="AA189" s="23">
        <f>EXP(-LN(2)/25)*AA188+(1-EXP(-LN(2)/25))/(LN(2)/25)*Calculateur!V189*Calculateur!X189*VLOOKUP('Données projet'!$B$9,Paramètres!$A$1:$I$88,3,0)*0.475*44/12</f>
        <v>1.8982898126161376</v>
      </c>
      <c r="AB189" s="23">
        <f>EXP(-LN(2)/2)*AB188+(1-EXP(-LN(2)/2))/(LN(2)/2)*V189*Y189*VLOOKUP('Données projet'!$B$9,Paramètres!$A$1:$I$88,3,0)*0.475*44/12</f>
        <v>4.1637755759019504E-18</v>
      </c>
      <c r="AC189" s="24">
        <f t="shared" si="163"/>
        <v>21.839718454268851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projet'!$B$10,Paramètres!$A$1:$I$88,3,0)*VLOOKUP('Données projet'!$B$10,Paramètres!$A$1:$I$88,5,0)</f>
        <v>-1.2414602679200471E-13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243.3456100842846</v>
      </c>
      <c r="AO189" s="62">
        <f t="shared" si="144"/>
        <v>301.6462497303628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9.5488037045649943</v>
      </c>
      <c r="AV189" s="23">
        <f>EXP(-LN(2)/25)*AV188+(1-EXP(-LN(2)/25))/(LN(2)/25)*Calculateur!AQ189*Calculateur!AS189*VLOOKUP('Données projet'!$B$10,Paramètres!$A$1:$I$88,3,0)*0.475*44/12</f>
        <v>1.11724625736739</v>
      </c>
      <c r="AW189" s="23">
        <f>EXP(-LN(2)/2)*AW188+(1-EXP(-LN(2)/2))/(LN(2)/2)*AQ189*AT189*VLOOKUP('Données projet'!$B$10,Paramètres!$A$1:$I$88,3,0)*0.475*44/12</f>
        <v>1.8257855927289413E-18</v>
      </c>
      <c r="AX189" s="23">
        <f t="shared" si="166"/>
        <v>10.666049961932384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-2.8421709430404007E-14</v>
      </c>
      <c r="BE189" s="14">
        <f>BD189*VLOOKUP('Données projet'!$B$11,Paramètres!$A$1:$I$88,3,0)*VLOOKUP('Données projet'!$B$11,Paramètres!$A$1:$I$88,5,0)</f>
        <v>-2.2612312022829431E-14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219.20272956499281</v>
      </c>
      <c r="BJ189" s="62">
        <f t="shared" si="146"/>
        <v>244.37146912604081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7.0110068565061727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7.0110068565061727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69.142648429702803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4.4444444444444446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16.296296296296298</v>
      </c>
      <c r="H190" s="70">
        <f t="shared" si="110"/>
        <v>191.4814814814815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415.21844537846482</v>
      </c>
      <c r="T190" s="62">
        <f t="shared" si="142"/>
        <v>491.25626166862321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19.550389389060371</v>
      </c>
      <c r="AA190" s="23">
        <f>EXP(-LN(2)/25)*AA189+(1-EXP(-LN(2)/25))/(LN(2)/25)*Calculateur!V190*Calculateur!X190*VLOOKUP('Données projet'!$B$9,Paramètres!$A$1:$I$88,3,0)*0.475*44/12</f>
        <v>1.8463809778634266</v>
      </c>
      <c r="AB190" s="23">
        <f>EXP(-LN(2)/2)*AB189+(1-EXP(-LN(2)/2))/(LN(2)/2)*V190*Y190*VLOOKUP('Données projet'!$B$9,Paramètres!$A$1:$I$88,3,0)*0.475*44/12</f>
        <v>2.9442339450591914E-18</v>
      </c>
      <c r="AC190" s="24">
        <f t="shared" si="163"/>
        <v>21.396770366923796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projet'!$B$10,Paramètres!$A$1:$I$88,3,0)*VLOOKUP('Données projet'!$B$10,Paramètres!$A$1:$I$88,5,0)</f>
        <v>-1.2414602679200471E-13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243.3456100842846</v>
      </c>
      <c r="AO190" s="62">
        <f t="shared" si="144"/>
        <v>301.6462497303628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9.3615574881136432</v>
      </c>
      <c r="AV190" s="23">
        <f>EXP(-LN(2)/25)*AV189+(1-EXP(-LN(2)/25))/(LN(2)/25)*Calculateur!AQ190*Calculateur!AS190*VLOOKUP('Données projet'!$B$10,Paramètres!$A$1:$I$88,3,0)*0.475*44/12</f>
        <v>1.0866950997062517</v>
      </c>
      <c r="AW190" s="23">
        <f>EXP(-LN(2)/2)*AW189+(1-EXP(-LN(2)/2))/(LN(2)/2)*AQ190*AT190*VLOOKUP('Données projet'!$B$10,Paramètres!$A$1:$I$88,3,0)*0.475*44/12</f>
        <v>1.2910253736113344E-18</v>
      </c>
      <c r="AX190" s="23">
        <f t="shared" si="166"/>
        <v>10.448252587819894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-2.8421709430404007E-14</v>
      </c>
      <c r="BE190" s="14">
        <f>BD190*VLOOKUP('Données projet'!$B$11,Paramètres!$A$1:$I$88,3,0)*VLOOKUP('Données projet'!$B$11,Paramètres!$A$1:$I$88,5,0)</f>
        <v>-2.2612312022829431E-14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219.20272956499281</v>
      </c>
      <c r="BJ190" s="62">
        <f t="shared" si="146"/>
        <v>244.37146912604081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6.8735252883420204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6.8735252883420204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69.157521562696502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4.4444444444444446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16.296296296296298</v>
      </c>
      <c r="H191" s="70">
        <f t="shared" si="110"/>
        <v>191.4814814814815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415.21844537846482</v>
      </c>
      <c r="T191" s="62">
        <f t="shared" si="142"/>
        <v>491.25626166862321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19.167018177700971</v>
      </c>
      <c r="AA191" s="23">
        <f>EXP(-LN(2)/25)*AA190+(1-EXP(-LN(2)/25))/(LN(2)/25)*Calculateur!V191*Calculateur!X191*VLOOKUP('Données projet'!$B$9,Paramètres!$A$1:$I$88,3,0)*0.475*44/12</f>
        <v>1.7958915929267956</v>
      </c>
      <c r="AB191" s="23">
        <f>EXP(-LN(2)/2)*AB190+(1-EXP(-LN(2)/2))/(LN(2)/2)*V191*Y191*VLOOKUP('Données projet'!$B$9,Paramètres!$A$1:$I$88,3,0)*0.475*44/12</f>
        <v>2.0818877879509752E-18</v>
      </c>
      <c r="AC191" s="24">
        <f t="shared" si="163"/>
        <v>20.962909770627768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projet'!$B$10,Paramètres!$A$1:$I$88,3,0)*VLOOKUP('Données projet'!$B$10,Paramètres!$A$1:$I$88,5,0)</f>
        <v>-1.2414602679200471E-13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243.3456100842846</v>
      </c>
      <c r="AO191" s="62">
        <f t="shared" si="144"/>
        <v>301.6462497303628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9.1779830557579878</v>
      </c>
      <c r="AV191" s="23">
        <f>EXP(-LN(2)/25)*AV190+(1-EXP(-LN(2)/25))/(LN(2)/25)*Calculateur!AQ191*Calculateur!AS191*VLOOKUP('Données projet'!$B$10,Paramètres!$A$1:$I$88,3,0)*0.475*44/12</f>
        <v>1.0569793650579726</v>
      </c>
      <c r="AW191" s="23">
        <f>EXP(-LN(2)/2)*AW190+(1-EXP(-LN(2)/2))/(LN(2)/2)*AQ191*AT191*VLOOKUP('Données projet'!$B$10,Paramètres!$A$1:$I$88,3,0)*0.475*44/12</f>
        <v>9.1289279636447064E-19</v>
      </c>
      <c r="AX191" s="23">
        <f t="shared" si="166"/>
        <v>10.234962420815961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-2.8421709430404007E-14</v>
      </c>
      <c r="BE191" s="14">
        <f>BD191*VLOOKUP('Données projet'!$B$11,Paramètres!$A$1:$I$88,3,0)*VLOOKUP('Données projet'!$B$11,Paramètres!$A$1:$I$88,5,0)</f>
        <v>-2.2612312022829431E-14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219.20272956499281</v>
      </c>
      <c r="BJ191" s="62">
        <f t="shared" si="146"/>
        <v>244.37146912604081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6.7387396498740904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6.7387396498740904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69.172136680084094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4.4444444444444446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16.296296296296298</v>
      </c>
      <c r="H192" s="70">
        <f t="shared" si="110"/>
        <v>191.4814814814815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415.21844537846482</v>
      </c>
      <c r="T192" s="62">
        <f t="shared" si="142"/>
        <v>491.25626166862321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18.791164641962979</v>
      </c>
      <c r="AA192" s="23">
        <f>EXP(-LN(2)/25)*AA191+(1-EXP(-LN(2)/25))/(LN(2)/25)*Calculateur!V192*Calculateur!X192*VLOOKUP('Données projet'!$B$9,Paramètres!$A$1:$I$88,3,0)*0.475*44/12</f>
        <v>1.7467828428763781</v>
      </c>
      <c r="AB192" s="23">
        <f>EXP(-LN(2)/2)*AB191+(1-EXP(-LN(2)/2))/(LN(2)/2)*V192*Y192*VLOOKUP('Données projet'!$B$9,Paramètres!$A$1:$I$88,3,0)*0.475*44/12</f>
        <v>1.4721169725295957E-18</v>
      </c>
      <c r="AC192" s="24">
        <f t="shared" si="163"/>
        <v>20.537947484839357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projet'!$B$10,Paramètres!$A$1:$I$88,3,0)*VLOOKUP('Données projet'!$B$10,Paramètres!$A$1:$I$88,5,0)</f>
        <v>-1.2414602679200471E-13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243.3456100842846</v>
      </c>
      <c r="AO192" s="62">
        <f t="shared" si="144"/>
        <v>301.6462497303628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8.9980084060514791</v>
      </c>
      <c r="AV192" s="23">
        <f>EXP(-LN(2)/25)*AV191+(1-EXP(-LN(2)/25))/(LN(2)/25)*Calculateur!AQ192*Calculateur!AS192*VLOOKUP('Données projet'!$B$10,Paramètres!$A$1:$I$88,3,0)*0.475*44/12</f>
        <v>1.0280762087363333</v>
      </c>
      <c r="AW192" s="23">
        <f>EXP(-LN(2)/2)*AW191+(1-EXP(-LN(2)/2))/(LN(2)/2)*AQ192*AT192*VLOOKUP('Données projet'!$B$10,Paramètres!$A$1:$I$88,3,0)*0.475*44/12</f>
        <v>6.4551268680566722E-19</v>
      </c>
      <c r="AX192" s="23">
        <f t="shared" si="166"/>
        <v>10.026084614787813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-2.8421709430404007E-14</v>
      </c>
      <c r="BE192" s="14">
        <f>BD192*VLOOKUP('Données projet'!$B$11,Paramètres!$A$1:$I$88,3,0)*VLOOKUP('Données projet'!$B$11,Paramètres!$A$1:$I$88,5,0)</f>
        <v>-2.2612312022829431E-14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219.20272956499281</v>
      </c>
      <c r="BJ192" s="62">
        <f t="shared" si="146"/>
        <v>244.37146912604081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6.6065970755653947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6.6065970755653947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69.186498257859512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4.4444444444444446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16.296296296296298</v>
      </c>
      <c r="H193" s="70">
        <f t="shared" si="110"/>
        <v>191.4814814814815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415.21844537846482</v>
      </c>
      <c r="T193" s="62">
        <f t="shared" si="142"/>
        <v>491.25626166862321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18.422681364812789</v>
      </c>
      <c r="AA193" s="23">
        <f>EXP(-LN(2)/25)*AA192+(1-EXP(-LN(2)/25))/(LN(2)/25)*Calculateur!V193*Calculateur!X193*VLOOKUP('Données projet'!$B$9,Paramètres!$A$1:$I$88,3,0)*0.475*44/12</f>
        <v>1.6990169741786061</v>
      </c>
      <c r="AB193" s="23">
        <f>EXP(-LN(2)/2)*AB192+(1-EXP(-LN(2)/2))/(LN(2)/2)*V193*Y193*VLOOKUP('Données projet'!$B$9,Paramètres!$A$1:$I$88,3,0)*0.475*44/12</f>
        <v>1.0409438939754876E-18</v>
      </c>
      <c r="AC193" s="24">
        <f t="shared" si="163"/>
        <v>20.121698338991393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projet'!$B$10,Paramètres!$A$1:$I$88,3,0)*VLOOKUP('Données projet'!$B$10,Paramètres!$A$1:$I$88,5,0)</f>
        <v>-1.2414602679200471E-13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243.3456100842846</v>
      </c>
      <c r="AO193" s="62">
        <f t="shared" si="144"/>
        <v>301.6462497303628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8.8215629494520176</v>
      </c>
      <c r="AV193" s="23">
        <f>EXP(-LN(2)/25)*AV192+(1-EXP(-LN(2)/25))/(LN(2)/25)*Calculateur!AQ193*Calculateur!AS193*VLOOKUP('Données projet'!$B$10,Paramètres!$A$1:$I$88,3,0)*0.475*44/12</f>
        <v>0.99996341074426021</v>
      </c>
      <c r="AW193" s="23">
        <f>EXP(-LN(2)/2)*AW192+(1-EXP(-LN(2)/2))/(LN(2)/2)*AQ193*AT193*VLOOKUP('Données projet'!$B$10,Paramètres!$A$1:$I$88,3,0)*0.475*44/12</f>
        <v>4.5644639818223532E-19</v>
      </c>
      <c r="AX193" s="23">
        <f t="shared" si="166"/>
        <v>9.8215263601962786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-2.8421709430404007E-14</v>
      </c>
      <c r="BE193" s="14">
        <f>BD193*VLOOKUP('Données projet'!$B$11,Paramètres!$A$1:$I$88,3,0)*VLOOKUP('Données projet'!$B$11,Paramètres!$A$1:$I$88,5,0)</f>
        <v>-2.2612312022829431E-14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219.20272956499281</v>
      </c>
      <c r="BJ193" s="62">
        <f t="shared" si="146"/>
        <v>244.37146912604081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6.477045736539881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6.477045736539881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69.200610694368223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4.4444444444444446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16.296296296296298</v>
      </c>
      <c r="H194" s="70">
        <f t="shared" si="110"/>
        <v>191.4814814814815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415.21844537846482</v>
      </c>
      <c r="T194" s="62">
        <f t="shared" si="142"/>
        <v>491.25626166862321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18.061423819974909</v>
      </c>
      <c r="AA194" s="23">
        <f>EXP(-LN(2)/25)*AA193+(1-EXP(-LN(2)/25))/(LN(2)/25)*Calculateur!V194*Calculateur!X194*VLOOKUP('Données projet'!$B$9,Paramètres!$A$1:$I$88,3,0)*0.475*44/12</f>
        <v>1.6525572656722727</v>
      </c>
      <c r="AB194" s="23">
        <f>EXP(-LN(2)/2)*AB193+(1-EXP(-LN(2)/2))/(LN(2)/2)*V194*Y194*VLOOKUP('Données projet'!$B$9,Paramètres!$A$1:$I$88,3,0)*0.475*44/12</f>
        <v>7.3605848626479786E-19</v>
      </c>
      <c r="AC194" s="24">
        <f t="shared" si="163"/>
        <v>19.71398108564718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projet'!$B$10,Paramètres!$A$1:$I$88,3,0)*VLOOKUP('Données projet'!$B$10,Paramètres!$A$1:$I$88,5,0)</f>
        <v>-1.2414602679200471E-13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243.3456100842846</v>
      </c>
      <c r="AO194" s="62">
        <f t="shared" si="144"/>
        <v>301.6462497303628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8.648577480635371</v>
      </c>
      <c r="AV194" s="23">
        <f>EXP(-LN(2)/25)*AV193+(1-EXP(-LN(2)/25))/(LN(2)/25)*Calculateur!AQ194*Calculateur!AS194*VLOOKUP('Données projet'!$B$10,Paramètres!$A$1:$I$88,3,0)*0.475*44/12</f>
        <v>0.97261935869166805</v>
      </c>
      <c r="AW194" s="23">
        <f>EXP(-LN(2)/2)*AW193+(1-EXP(-LN(2)/2))/(LN(2)/2)*AQ194*AT194*VLOOKUP('Données projet'!$B$10,Paramètres!$A$1:$I$88,3,0)*0.475*44/12</f>
        <v>3.2275634340283361E-19</v>
      </c>
      <c r="AX194" s="23">
        <f t="shared" si="166"/>
        <v>9.6211968393270393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-2.8421709430404007E-14</v>
      </c>
      <c r="BE194" s="14">
        <f>BD194*VLOOKUP('Données projet'!$B$11,Paramètres!$A$1:$I$88,3,0)*VLOOKUP('Données projet'!$B$11,Paramètres!$A$1:$I$88,5,0)</f>
        <v>-2.2612312022829431E-14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219.20272956499281</v>
      </c>
      <c r="BJ194" s="62">
        <f t="shared" si="146"/>
        <v>244.37146912604081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6.3500348202541428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6.3500348202541428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69.214478311654176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4.4444444444444446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16.296296296296298</v>
      </c>
      <c r="H195" s="70">
        <f t="shared" si="110"/>
        <v>191.4814814814815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415.21844537846482</v>
      </c>
      <c r="T195" s="62">
        <f t="shared" si="142"/>
        <v>491.25626166862321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17.707250315245954</v>
      </c>
      <c r="AA195" s="23">
        <f>EXP(-LN(2)/25)*AA194+(1-EXP(-LN(2)/25))/(LN(2)/25)*Calculateur!V195*Calculateur!X195*VLOOKUP('Données projet'!$B$9,Paramètres!$A$1:$I$88,3,0)*0.475*44/12</f>
        <v>1.6073680003382547</v>
      </c>
      <c r="AB195" s="23">
        <f>EXP(-LN(2)/2)*AB194+(1-EXP(-LN(2)/2))/(LN(2)/2)*V195*Y195*VLOOKUP('Données projet'!$B$9,Paramètres!$A$1:$I$88,3,0)*0.475*44/12</f>
        <v>5.204719469877438E-19</v>
      </c>
      <c r="AC195" s="24">
        <f t="shared" si="163"/>
        <v>19.314618315584209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projet'!$B$10,Paramètres!$A$1:$I$88,3,0)*VLOOKUP('Données projet'!$B$10,Paramètres!$A$1:$I$88,5,0)</f>
        <v>-1.2414602679200471E-13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243.3456100842846</v>
      </c>
      <c r="AO195" s="62">
        <f t="shared" si="144"/>
        <v>301.6462497303628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8.4789841513515007</v>
      </c>
      <c r="AV195" s="23">
        <f>EXP(-LN(2)/25)*AV194+(1-EXP(-LN(2)/25))/(LN(2)/25)*Calculateur!AQ195*Calculateur!AS195*VLOOKUP('Données projet'!$B$10,Paramètres!$A$1:$I$88,3,0)*0.475*44/12</f>
        <v>0.94602303118041531</v>
      </c>
      <c r="AW195" s="23">
        <f>EXP(-LN(2)/2)*AW194+(1-EXP(-LN(2)/2))/(LN(2)/2)*AQ195*AT195*VLOOKUP('Données projet'!$B$10,Paramètres!$A$1:$I$88,3,0)*0.475*44/12</f>
        <v>2.2822319909111766E-19</v>
      </c>
      <c r="AX195" s="23">
        <f t="shared" si="166"/>
        <v>9.4250071825319157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-2.8421709430404007E-14</v>
      </c>
      <c r="BE195" s="14">
        <f>BD195*VLOOKUP('Données projet'!$B$11,Paramètres!$A$1:$I$88,3,0)*VLOOKUP('Données projet'!$B$11,Paramètres!$A$1:$I$88,5,0)</f>
        <v>-2.2612312022829431E-14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219.20272956499281</v>
      </c>
      <c r="BJ195" s="62">
        <f t="shared" si="146"/>
        <v>244.37146912604081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6.2255145105677583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6.2255145105677583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69.228105356783587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4.4444444444444446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16.296296296296298</v>
      </c>
      <c r="H196" s="70">
        <f t="shared" ref="H196:H203" si="192">(B196+E196+F196)*44/12+(C196+D196)*0.475*44/12</f>
        <v>191.4814814814815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415.21844537846482</v>
      </c>
      <c r="T196" s="62">
        <f t="shared" si="142"/>
        <v>491.25626166862321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17.360021936920226</v>
      </c>
      <c r="AA196" s="23">
        <f>EXP(-LN(2)/25)*AA195+(1-EXP(-LN(2)/25))/(LN(2)/25)*Calculateur!V196*Calculateur!X196*VLOOKUP('Données projet'!$B$9,Paramètres!$A$1:$I$88,3,0)*0.475*44/12</f>
        <v>1.5634144378411956</v>
      </c>
      <c r="AB196" s="23">
        <f>EXP(-LN(2)/2)*AB195+(1-EXP(-LN(2)/2))/(LN(2)/2)*V196*Y196*VLOOKUP('Données projet'!$B$9,Paramètres!$A$1:$I$88,3,0)*0.475*44/12</f>
        <v>3.6802924313239893E-19</v>
      </c>
      <c r="AC196" s="24">
        <f t="shared" si="163"/>
        <v>18.923436374761422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projet'!$B$10,Paramètres!$A$1:$I$88,3,0)*VLOOKUP('Données projet'!$B$10,Paramètres!$A$1:$I$88,5,0)</f>
        <v>-1.2414602679200471E-13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243.3456100842846</v>
      </c>
      <c r="AO196" s="62">
        <f t="shared" si="144"/>
        <v>301.6462497303628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8.3127164438131693</v>
      </c>
      <c r="AV196" s="23">
        <f>EXP(-LN(2)/25)*AV195+(1-EXP(-LN(2)/25))/(LN(2)/25)*Calculateur!AQ196*Calculateur!AS196*VLOOKUP('Données projet'!$B$10,Paramètres!$A$1:$I$88,3,0)*0.475*44/12</f>
        <v>0.92015398164359785</v>
      </c>
      <c r="AW196" s="23">
        <f>EXP(-LN(2)/2)*AW195+(1-EXP(-LN(2)/2))/(LN(2)/2)*AQ196*AT196*VLOOKUP('Données projet'!$B$10,Paramètres!$A$1:$I$88,3,0)*0.475*44/12</f>
        <v>1.6137817170141681E-19</v>
      </c>
      <c r="AX196" s="23">
        <f t="shared" si="166"/>
        <v>9.2328704254567668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-2.8421709430404007E-14</v>
      </c>
      <c r="BE196" s="14">
        <f>BD196*VLOOKUP('Données projet'!$B$11,Paramètres!$A$1:$I$88,3,0)*VLOOKUP('Données projet'!$B$11,Paramètres!$A$1:$I$88,5,0)</f>
        <v>-2.2612312022829431E-14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219.20272956499281</v>
      </c>
      <c r="BJ196" s="62">
        <f t="shared" si="146"/>
        <v>244.37146912604081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6.103435968204435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6.103435968204435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69.241496003145485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4.4444444444444446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16.296296296296298</v>
      </c>
      <c r="H197" s="70">
        <f t="shared" si="192"/>
        <v>191.4814814814815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415.21844537846482</v>
      </c>
      <c r="T197" s="62">
        <f t="shared" ref="T197:T203" si="204">$T$3</f>
        <v>491.25626166862321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17.019602495305069</v>
      </c>
      <c r="AA197" s="23">
        <f>EXP(-LN(2)/25)*AA196+(1-EXP(-LN(2)/25))/(LN(2)/25)*Calculateur!V197*Calculateur!X197*VLOOKUP('Données projet'!$B$9,Paramètres!$A$1:$I$88,3,0)*0.475*44/12</f>
        <v>1.520662787822036</v>
      </c>
      <c r="AB197" s="23">
        <f>EXP(-LN(2)/2)*AB196+(1-EXP(-LN(2)/2))/(LN(2)/2)*V197*Y197*VLOOKUP('Données projet'!$B$9,Paramètres!$A$1:$I$88,3,0)*0.475*44/12</f>
        <v>2.602359734938719E-19</v>
      </c>
      <c r="AC197" s="24">
        <f t="shared" si="163"/>
        <v>18.540265283127106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projet'!$B$10,Paramètres!$A$1:$I$88,3,0)*VLOOKUP('Données projet'!$B$10,Paramètres!$A$1:$I$88,5,0)</f>
        <v>-1.2414602679200471E-13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243.3456100842846</v>
      </c>
      <c r="AO197" s="62">
        <f t="shared" ref="AO197:AO203" si="205">$AO$3</f>
        <v>301.6462497303628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8.1497091446063781</v>
      </c>
      <c r="AV197" s="23">
        <f>EXP(-LN(2)/25)*AV196+(1-EXP(-LN(2)/25))/(LN(2)/25)*Calculateur!AQ197*Calculateur!AS197*VLOOKUP('Données projet'!$B$10,Paramètres!$A$1:$I$88,3,0)*0.475*44/12</f>
        <v>0.89499232262675876</v>
      </c>
      <c r="AW197" s="23">
        <f>EXP(-LN(2)/2)*AW196+(1-EXP(-LN(2)/2))/(LN(2)/2)*AQ197*AT197*VLOOKUP('Données projet'!$B$10,Paramètres!$A$1:$I$88,3,0)*0.475*44/12</f>
        <v>1.1411159954555883E-19</v>
      </c>
      <c r="AX197" s="23">
        <f t="shared" si="166"/>
        <v>9.0447014672331374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-2.8421709430404007E-14</v>
      </c>
      <c r="BE197" s="14">
        <f>BD197*VLOOKUP('Données projet'!$B$11,Paramètres!$A$1:$I$88,3,0)*VLOOKUP('Données projet'!$B$11,Paramètres!$A$1:$I$88,5,0)</f>
        <v>-2.2612312022829431E-14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219.20272956499281</v>
      </c>
      <c r="BJ197" s="62">
        <f t="shared" ref="BJ197:BJ203" si="206">$BJ$3</f>
        <v>244.37146912604081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5.9837513115962979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5.9837513115962979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69.254654351730025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4.4444444444444446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16.296296296296298</v>
      </c>
      <c r="H198" s="70">
        <f t="shared" si="192"/>
        <v>191.4814814814815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415.21844537846482</v>
      </c>
      <c r="T198" s="62">
        <f t="shared" si="204"/>
        <v>491.25626166862321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16.685858471304627</v>
      </c>
      <c r="AA198" s="23">
        <f>EXP(-LN(2)/25)*AA197+(1-EXP(-LN(2)/25))/(LN(2)/25)*Calculateur!V198*Calculateur!X198*VLOOKUP('Données projet'!$B$9,Paramètres!$A$1:$I$88,3,0)*0.475*44/12</f>
        <v>1.479080183920862</v>
      </c>
      <c r="AB198" s="23">
        <f>EXP(-LN(2)/2)*AB197+(1-EXP(-LN(2)/2))/(LN(2)/2)*V198*Y198*VLOOKUP('Données projet'!$B$9,Paramètres!$A$1:$I$88,3,0)*0.475*44/12</f>
        <v>1.8401462156619947E-19</v>
      </c>
      <c r="AC198" s="24">
        <f t="shared" si="163"/>
        <v>18.164938655225487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projet'!$B$10,Paramètres!$A$1:$I$88,3,0)*VLOOKUP('Données projet'!$B$10,Paramètres!$A$1:$I$88,5,0)</f>
        <v>-1.2414602679200471E-13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243.3456100842846</v>
      </c>
      <c r="AO198" s="62">
        <f t="shared" si="205"/>
        <v>301.6462497303628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7.9898983191123962</v>
      </c>
      <c r="AV198" s="23">
        <f>EXP(-LN(2)/25)*AV197+(1-EXP(-LN(2)/25))/(LN(2)/25)*Calculateur!AQ198*Calculateur!AS198*VLOOKUP('Données projet'!$B$10,Paramètres!$A$1:$I$88,3,0)*0.475*44/12</f>
        <v>0.87051871049892937</v>
      </c>
      <c r="AW198" s="23">
        <f>EXP(-LN(2)/2)*AW197+(1-EXP(-LN(2)/2))/(LN(2)/2)*AQ198*AT198*VLOOKUP('Données projet'!$B$10,Paramètres!$A$1:$I$88,3,0)*0.475*44/12</f>
        <v>8.0689085850708403E-20</v>
      </c>
      <c r="AX198" s="23">
        <f t="shared" si="166"/>
        <v>8.8604170296113249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-2.8421709430404007E-14</v>
      </c>
      <c r="BE198" s="14">
        <f>BD198*VLOOKUP('Données projet'!$B$11,Paramètres!$A$1:$I$88,3,0)*VLOOKUP('Données projet'!$B$11,Paramètres!$A$1:$I$88,5,0)</f>
        <v>-2.2612312022829431E-14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219.20272956499281</v>
      </c>
      <c r="BJ198" s="62">
        <f t="shared" si="206"/>
        <v>244.37146912604081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5.8664135981038141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5.8664135981038141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69.267584432384282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4.4444444444444446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16.296296296296298</v>
      </c>
      <c r="H199" s="70">
        <f t="shared" si="192"/>
        <v>191.4814814814815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415.21844537846482</v>
      </c>
      <c r="T199" s="62">
        <f t="shared" si="204"/>
        <v>491.25626166862321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16.358658964051077</v>
      </c>
      <c r="AA199" s="23">
        <f>EXP(-LN(2)/25)*AA198+(1-EXP(-LN(2)/25))/(LN(2)/25)*Calculateur!V199*Calculateur!X199*VLOOKUP('Données projet'!$B$9,Paramètres!$A$1:$I$88,3,0)*0.475*44/12</f>
        <v>1.4386346585100998</v>
      </c>
      <c r="AB199" s="23">
        <f>EXP(-LN(2)/2)*AB198+(1-EXP(-LN(2)/2))/(LN(2)/2)*V199*Y199*VLOOKUP('Données projet'!$B$9,Paramètres!$A$1:$I$88,3,0)*0.475*44/12</f>
        <v>1.3011798674693595E-19</v>
      </c>
      <c r="AC199" s="24">
        <f t="shared" si="163"/>
        <v>17.797293622561178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projet'!$B$10,Paramètres!$A$1:$I$88,3,0)*VLOOKUP('Données projet'!$B$10,Paramètres!$A$1:$I$88,5,0)</f>
        <v>-1.2414602679200471E-13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243.3456100842846</v>
      </c>
      <c r="AO199" s="62">
        <f t="shared" si="205"/>
        <v>301.6462497303628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7.8332212864313728</v>
      </c>
      <c r="AV199" s="23">
        <f>EXP(-LN(2)/25)*AV198+(1-EXP(-LN(2)/25))/(LN(2)/25)*Calculateur!AQ199*Calculateur!AS199*VLOOKUP('Données projet'!$B$10,Paramètres!$A$1:$I$88,3,0)*0.475*44/12</f>
        <v>0.84671433058174672</v>
      </c>
      <c r="AW199" s="23">
        <f>EXP(-LN(2)/2)*AW198+(1-EXP(-LN(2)/2))/(LN(2)/2)*AQ199*AT199*VLOOKUP('Données projet'!$B$10,Paramètres!$A$1:$I$88,3,0)*0.475*44/12</f>
        <v>5.7055799772779415E-20</v>
      </c>
      <c r="AX199" s="23">
        <f t="shared" si="166"/>
        <v>8.6799356170131201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-2.8421709430404007E-14</v>
      </c>
      <c r="BE199" s="14">
        <f>BD199*VLOOKUP('Données projet'!$B$11,Paramètres!$A$1:$I$88,3,0)*VLOOKUP('Données projet'!$B$11,Paramètres!$A$1:$I$88,5,0)</f>
        <v>-2.2612312022829431E-14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219.20272956499281</v>
      </c>
      <c r="BJ199" s="62">
        <f t="shared" si="206"/>
        <v>244.37146912604081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5.7513768056039796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5.7513768056039796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69.280290205046512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4.4444444444444446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16.296296296296298</v>
      </c>
      <c r="H200" s="70">
        <f t="shared" si="192"/>
        <v>191.4814814814815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415.21844537846482</v>
      </c>
      <c r="T200" s="62">
        <f t="shared" si="204"/>
        <v>491.25626166862321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16.037875639562778</v>
      </c>
      <c r="AA200" s="23">
        <f>EXP(-LN(2)/25)*AA199+(1-EXP(-LN(2)/25))/(LN(2)/25)*Calculateur!V200*Calculateur!X200*VLOOKUP('Données projet'!$B$9,Paramètres!$A$1:$I$88,3,0)*0.475*44/12</f>
        <v>1.3992951181186324</v>
      </c>
      <c r="AB200" s="23">
        <f>EXP(-LN(2)/2)*AB199+(1-EXP(-LN(2)/2))/(LN(2)/2)*V200*Y200*VLOOKUP('Données projet'!$B$9,Paramètres!$A$1:$I$88,3,0)*0.475*44/12</f>
        <v>9.2007310783099733E-20</v>
      </c>
      <c r="AC200" s="24">
        <f t="shared" si="163"/>
        <v>17.437170757681411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projet'!$B$10,Paramètres!$A$1:$I$88,3,0)*VLOOKUP('Données projet'!$B$10,Paramètres!$A$1:$I$88,5,0)</f>
        <v>-1.2414602679200471E-13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243.3456100842846</v>
      </c>
      <c r="AO200" s="62">
        <f t="shared" si="205"/>
        <v>301.6462497303628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7.67961659479767</v>
      </c>
      <c r="AV200" s="23">
        <f>EXP(-LN(2)/25)*AV199+(1-EXP(-LN(2)/25))/(LN(2)/25)*Calculateur!AQ200*Calculateur!AS200*VLOOKUP('Données projet'!$B$10,Paramètres!$A$1:$I$88,3,0)*0.475*44/12</f>
        <v>0.82356088268521743</v>
      </c>
      <c r="AW200" s="23">
        <f>EXP(-LN(2)/2)*AW199+(1-EXP(-LN(2)/2))/(LN(2)/2)*AQ200*AT200*VLOOKUP('Données projet'!$B$10,Paramètres!$A$1:$I$88,3,0)*0.475*44/12</f>
        <v>4.0344542925354201E-20</v>
      </c>
      <c r="AX200" s="23">
        <f t="shared" si="166"/>
        <v>8.5031774774828879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-2.8421709430404007E-14</v>
      </c>
      <c r="BE200" s="14">
        <f>BD200*VLOOKUP('Données projet'!$B$11,Paramètres!$A$1:$I$88,3,0)*VLOOKUP('Données projet'!$B$11,Paramètres!$A$1:$I$88,5,0)</f>
        <v>-2.2612312022829431E-14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219.20272956499281</v>
      </c>
      <c r="BJ200" s="62">
        <f t="shared" si="206"/>
        <v>244.37146912604081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5.6385958144395509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5.6385958144395509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69.292775560958887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4.4444444444444446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16.296296296296298</v>
      </c>
      <c r="H201" s="70">
        <f t="shared" si="192"/>
        <v>191.4814814814815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415.21844537846482</v>
      </c>
      <c r="T201" s="62">
        <f t="shared" si="204"/>
        <v>491.25626166862321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15.723382680409186</v>
      </c>
      <c r="AA201" s="23">
        <f>EXP(-LN(2)/25)*AA200+(1-EXP(-LN(2)/25))/(LN(2)/25)*Calculateur!V201*Calculateur!X201*VLOOKUP('Données projet'!$B$9,Paramètres!$A$1:$I$88,3,0)*0.475*44/12</f>
        <v>1.3610313195279462</v>
      </c>
      <c r="AB201" s="23">
        <f>EXP(-LN(2)/2)*AB200+(1-EXP(-LN(2)/2))/(LN(2)/2)*V201*Y201*VLOOKUP('Données projet'!$B$9,Paramètres!$A$1:$I$88,3,0)*0.475*44/12</f>
        <v>6.5058993373467976E-20</v>
      </c>
      <c r="AC201" s="24">
        <f t="shared" si="163"/>
        <v>17.084413999937134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projet'!$B$10,Paramètres!$A$1:$I$88,3,0)*VLOOKUP('Données projet'!$B$10,Paramètres!$A$1:$I$88,5,0)</f>
        <v>-1.2414602679200471E-13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243.3456100842846</v>
      </c>
      <c r="AO201" s="62">
        <f t="shared" si="205"/>
        <v>301.6462497303628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7.5290239974772941</v>
      </c>
      <c r="AV201" s="23">
        <f>EXP(-LN(2)/25)*AV200+(1-EXP(-LN(2)/25))/(LN(2)/25)*Calculateur!AQ201*Calculateur!AS201*VLOOKUP('Données projet'!$B$10,Paramètres!$A$1:$I$88,3,0)*0.475*44/12</f>
        <v>0.80104056703900561</v>
      </c>
      <c r="AW201" s="23">
        <f>EXP(-LN(2)/2)*AW200+(1-EXP(-LN(2)/2))/(LN(2)/2)*AQ201*AT201*VLOOKUP('Données projet'!$B$10,Paramètres!$A$1:$I$88,3,0)*0.475*44/12</f>
        <v>2.8527899886389707E-20</v>
      </c>
      <c r="AX201" s="23">
        <f t="shared" si="166"/>
        <v>8.3300645645163005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-2.8421709430404007E-14</v>
      </c>
      <c r="BE201" s="14">
        <f>BD201*VLOOKUP('Données projet'!$B$11,Paramètres!$A$1:$I$88,3,0)*VLOOKUP('Données projet'!$B$11,Paramètres!$A$1:$I$88,5,0)</f>
        <v>-2.2612312022829431E-14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219.20272956499281</v>
      </c>
      <c r="BJ201" s="62">
        <f t="shared" si="206"/>
        <v>244.37146912604081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5.5280263897222452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5.5280263897222452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69.305044323859292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4.4444444444444446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16.296296296296298</v>
      </c>
      <c r="H202" s="70">
        <f t="shared" si="192"/>
        <v>191.4814814814815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415.21844537846482</v>
      </c>
      <c r="T202" s="62">
        <f t="shared" si="204"/>
        <v>491.25626166862321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15.415056736362832</v>
      </c>
      <c r="AA202" s="23">
        <f>EXP(-LN(2)/25)*AA201+(1-EXP(-LN(2)/25))/(LN(2)/25)*Calculateur!V202*Calculateur!X202*VLOOKUP('Données projet'!$B$9,Paramètres!$A$1:$I$88,3,0)*0.475*44/12</f>
        <v>1.323813846521928</v>
      </c>
      <c r="AB202" s="23">
        <f>EXP(-LN(2)/2)*AB201+(1-EXP(-LN(2)/2))/(LN(2)/2)*V202*Y202*VLOOKUP('Données projet'!$B$9,Paramètres!$A$1:$I$88,3,0)*0.475*44/12</f>
        <v>4.6003655391549866E-20</v>
      </c>
      <c r="AC202" s="24">
        <f t="shared" si="163"/>
        <v>16.738870582884761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projet'!$B$10,Paramètres!$A$1:$I$88,3,0)*VLOOKUP('Données projet'!$B$10,Paramètres!$A$1:$I$88,5,0)</f>
        <v>-1.2414602679200471E-13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243.3456100842846</v>
      </c>
      <c r="AO202" s="62">
        <f t="shared" si="205"/>
        <v>301.6462497303628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7.381384429137956</v>
      </c>
      <c r="AV202" s="23">
        <f>EXP(-LN(2)/25)*AV201+(1-EXP(-LN(2)/25))/(LN(2)/25)*Calculateur!AQ202*Calculateur!AS202*VLOOKUP('Données projet'!$B$10,Paramètres!$A$1:$I$88,3,0)*0.475*44/12</f>
        <v>0.77913607060843137</v>
      </c>
      <c r="AW202" s="23">
        <f>EXP(-LN(2)/2)*AW201+(1-EXP(-LN(2)/2))/(LN(2)/2)*AQ202*AT202*VLOOKUP('Données projet'!$B$10,Paramètres!$A$1:$I$88,3,0)*0.475*44/12</f>
        <v>2.0172271462677101E-20</v>
      </c>
      <c r="AX202" s="23">
        <f t="shared" si="166"/>
        <v>8.1605204997463865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-2.8421709430404007E-14</v>
      </c>
      <c r="BE202" s="14">
        <f>BD202*VLOOKUP('Données projet'!$B$11,Paramètres!$A$1:$I$88,3,0)*VLOOKUP('Données projet'!$B$11,Paramètres!$A$1:$I$88,5,0)</f>
        <v>-2.2612312022829431E-14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219.20272956499281</v>
      </c>
      <c r="BJ202" s="62">
        <f t="shared" si="206"/>
        <v>244.37146912604081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5.419625163982956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5.419625163982956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69.317100251152183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4.4444444444444446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47.777777777777779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16.296296296296298</v>
      </c>
      <c r="H203" s="70">
        <f t="shared" si="192"/>
        <v>191.4814814814815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415.21844537846482</v>
      </c>
      <c r="T203" s="62">
        <f t="shared" si="204"/>
        <v>491.25626166862321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15.11277687601897</v>
      </c>
      <c r="AA203" s="23">
        <f>EXP(-LN(2)/25)*AA202+(1-EXP(-LN(2)/25))/(LN(2)/25)*Calculateur!V203*Calculateur!X203*VLOOKUP('Données projet'!$B$9,Paramètres!$A$1:$I$88,3,0)*0.475*44/12</f>
        <v>1.2876140872724413</v>
      </c>
      <c r="AB203" s="23">
        <f>EXP(-LN(2)/2)*AB202+(1-EXP(-LN(2)/2))/(LN(2)/2)*V203*Y203*VLOOKUP('Données projet'!$B$9,Paramètres!$A$1:$I$88,3,0)*0.475*44/12</f>
        <v>3.2529496686733988E-20</v>
      </c>
      <c r="AC203" s="24">
        <f t="shared" si="163"/>
        <v>16.400390963291411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projet'!$B$10,Paramètres!$A$1:$I$88,3,0)*VLOOKUP('Données projet'!$B$10,Paramètres!$A$1:$I$88,5,0)</f>
        <v>-1.2414602679200471E-13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243.3456100842846</v>
      </c>
      <c r="AO203" s="62">
        <f t="shared" si="205"/>
        <v>301.6462497303628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7.2366399826825072</v>
      </c>
      <c r="AV203" s="23">
        <f>EXP(-LN(2)/25)*AV202+(1-EXP(-LN(2)/25))/(LN(2)/25)*Calculateur!AQ203*Calculateur!AS203*VLOOKUP('Données projet'!$B$10,Paramètres!$A$1:$I$88,3,0)*0.475*44/12</f>
        <v>0.75783055378465858</v>
      </c>
      <c r="AW203" s="23">
        <f>EXP(-LN(2)/2)*AW202+(1-EXP(-LN(2)/2))/(LN(2)/2)*AQ203*AT203*VLOOKUP('Données projet'!$B$10,Paramètres!$A$1:$I$88,3,0)*0.475*44/12</f>
        <v>1.4263949943194854E-20</v>
      </c>
      <c r="AX203" s="23">
        <f t="shared" si="166"/>
        <v>7.9944705364671655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-2.8421709430404007E-14</v>
      </c>
      <c r="BE203" s="14">
        <f>BD203*VLOOKUP('Données projet'!$B$11,Paramètres!$A$1:$I$88,3,0)*VLOOKUP('Données projet'!$B$11,Paramètres!$A$1:$I$88,5,0)</f>
        <v>-2.2612312022829431E-14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219.20272956499281</v>
      </c>
      <c r="BJ203" s="62">
        <f t="shared" si="206"/>
        <v>244.37146912604081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5.313349620162195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5.313349620162195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69.328947035059585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1.3042919140928491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1.4348951656753595</v>
      </c>
      <c r="BA205" s="88">
        <f>EXP(LN('Données projet'!B88)/'Données projet'!A88)</f>
        <v>1.2721747796233518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C1" zoomScale="70" zoomScaleNormal="70" workbookViewId="0">
      <selection activeCell="J21" sqref="J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Douglas</v>
      </c>
      <c r="B6" s="156">
        <f>'Données projet'!D9</f>
        <v>7.2</v>
      </c>
      <c r="C6" s="157">
        <f ca="1">IF(OR('Données projet'!B9="",'Données projet'!C9="",'Données projet'!C9=0%),0,Calculateur!S3)</f>
        <v>415.21844537846482</v>
      </c>
      <c r="D6" s="157">
        <f>IF(OR('Données projet'!B9="",'Données projet'!C9="",'Données projet'!C9=0%),0,Calculateur!T3)</f>
        <v>491.25626166862321</v>
      </c>
      <c r="E6" s="157">
        <f ca="1">MIN(C6,D6)</f>
        <v>415.21844537846482</v>
      </c>
      <c r="F6" s="157">
        <f ca="1">E6*B6</f>
        <v>2989.572806724947</v>
      </c>
      <c r="G6" s="157">
        <f ca="1">F6*(100%-'Données projet'!$C$24)*(100%-'Données projet'!$C$25)*(100%-'Données projet'!$C$26)*(100%-'Données projet'!$C$27)</f>
        <v>2690.6155260524524</v>
      </c>
      <c r="H6" s="158">
        <f>IF(OR('Données projet'!B9="",'Données projet'!C9="",'Données projet'!C9=0%),0,AVERAGE(Calculateur!$AC$3:$AC$33)*B6)</f>
        <v>42.587846633349848</v>
      </c>
      <c r="I6" s="159">
        <f>H6*(100%-'Données projet'!$C$24)*(100%-'Données projet'!$C$25)*(100%-'Données projet'!$C$26)*(100%-'Données projet'!$C$27)</f>
        <v>38.329061970014862</v>
      </c>
      <c r="J6" s="160">
        <f>IF(OR('Données projet'!B9="",'Données projet'!C9="",'Données projet'!C9=0%),0,SUM(Calculateur!$V$3:$V$33)*VLOOKUP('Données projet'!$B$9,Paramètres!$A$1:$I$88,9,0)*B6)</f>
        <v>340.56</v>
      </c>
      <c r="K6" s="161">
        <f>J6*(100%-'Données projet'!$C$24)*(100%-'Données projet'!$C$25)*(100%-'Données projet'!$C$26)*(100%-'Données projet'!$C$27)</f>
        <v>306.50400000000002</v>
      </c>
      <c r="L6" s="162">
        <f ca="1">G6+I6+K6</f>
        <v>3035.448588022467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Mélèze hybride</v>
      </c>
      <c r="B7" s="164">
        <f>'Données projet'!D10</f>
        <v>7.2</v>
      </c>
      <c r="C7" s="157">
        <f ca="1">IF(OR('Données projet'!B10="",'Données projet'!C10="",'Données projet'!C10=0%),0,Calculateur!AN3)</f>
        <v>243.3456100842846</v>
      </c>
      <c r="D7" s="157">
        <f>IF(OR('Données projet'!B10="",'Données projet'!C10="",'Données projet'!C10=0%),0,Calculateur!AO3)</f>
        <v>301.6462497303628</v>
      </c>
      <c r="E7" s="157">
        <f t="shared" ref="E7:E15" ca="1" si="0">MIN(C7,D7)</f>
        <v>243.3456100842846</v>
      </c>
      <c r="F7" s="157">
        <f t="shared" ref="F7:F15" ca="1" si="1">E7*B7</f>
        <v>1752.0883926068491</v>
      </c>
      <c r="G7" s="157">
        <f ca="1">F7*(100%-'Données projet'!$C$24)*(100%-'Données projet'!$C$25)*(100%-'Données projet'!$C$26)*(100%-'Données projet'!$C$27)</f>
        <v>1576.8795533461641</v>
      </c>
      <c r="H7" s="165">
        <f>IF(OR('Données projet'!B10="",'Données projet'!C10="",'Données projet'!C10=0%),0,AVERAGE(Calculateur!$AX$3:$AX$33)*B7)</f>
        <v>65.808692369815375</v>
      </c>
      <c r="I7" s="159">
        <f>H7*(100%-'Données projet'!$C$24)*(100%-'Données projet'!$C$25)*(100%-'Données projet'!$C$26)*(100%-'Données projet'!$C$27)</f>
        <v>59.227823132833841</v>
      </c>
      <c r="J7" s="160">
        <f>IF(OR('Données projet'!B10="",'Données projet'!C10="",'Données projet'!C10=0%),0,SUM(Calculateur!$AQ$3:$AQ$33)*VLOOKUP('Données projet'!$B$10,Paramètres!$A$1:$I$88,9,0)*B7)</f>
        <v>371.52000000000004</v>
      </c>
      <c r="K7" s="161">
        <f>J7*(100%-'Données projet'!$C$24)*(100%-'Données projet'!$C$25)*(100%-'Données projet'!$C$26)*(100%-'Données projet'!$C$27)</f>
        <v>334.36800000000005</v>
      </c>
      <c r="L7" s="162">
        <f t="shared" ref="L7:L15" ca="1" si="2">G7+I7+K7</f>
        <v>1970.475376478998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>Erable sycomore</v>
      </c>
      <c r="B8" s="164">
        <f>'Données projet'!D11</f>
        <v>3.6</v>
      </c>
      <c r="C8" s="157">
        <f ca="1">IF(OR('Données projet'!B11="",'Données projet'!C11="",'Données projet'!C11=0%),0,Calculateur!BI3)</f>
        <v>219.20272956499281</v>
      </c>
      <c r="D8" s="157">
        <f>IF(OR('Données projet'!B11="",'Données projet'!C11="",'Données projet'!C11=0%),0,Calculateur!BJ3)</f>
        <v>244.37146912604081</v>
      </c>
      <c r="E8" s="157">
        <f t="shared" ca="1" si="0"/>
        <v>219.20272956499281</v>
      </c>
      <c r="F8" s="157">
        <f t="shared" ca="1" si="1"/>
        <v>789.12982643397413</v>
      </c>
      <c r="G8" s="157">
        <f ca="1">F8*(100%-'Données projet'!$C$24)*(100%-'Données projet'!$C$25)*(100%-'Données projet'!$C$26)*(100%-'Données projet'!$C$27)</f>
        <v>710.21684379057672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45</v>
      </c>
      <c r="K8" s="161">
        <f>J8*(100%-'Données projet'!$C$24)*(100%-'Données projet'!$C$25)*(100%-'Données projet'!$C$26)*(100%-'Données projet'!$C$27)</f>
        <v>40.5</v>
      </c>
      <c r="L8" s="162">
        <f t="shared" ca="1" si="2"/>
        <v>750.71684379057672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5530.7910257657704</v>
      </c>
      <c r="G16" s="176">
        <f t="shared" ca="1" si="3"/>
        <v>4977.7119231891929</v>
      </c>
      <c r="H16" s="177">
        <f t="shared" si="3"/>
        <v>108.39653900316523</v>
      </c>
      <c r="I16" s="177">
        <f t="shared" si="3"/>
        <v>97.556885102848696</v>
      </c>
      <c r="J16" s="178">
        <f t="shared" si="3"/>
        <v>757.08</v>
      </c>
      <c r="K16" s="178">
        <f t="shared" si="3"/>
        <v>681.37200000000007</v>
      </c>
      <c r="L16" s="179">
        <f t="shared" ca="1" si="3"/>
        <v>5756.6408082920416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Douglas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Mélèze hybride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>Erable sycomore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K5" zoomScale="70" zoomScaleNormal="70" workbookViewId="0">
      <selection activeCell="T20" sqref="T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(375+300)*1.1</f>
        <v>742.50000000000011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f>(300)*1.1</f>
        <v>330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f t="shared" ref="J14:J16" si="0">(300)*1.1</f>
        <v>330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f t="shared" si="0"/>
        <v>330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f t="shared" si="0"/>
        <v>330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Douglas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Douglas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247.8567929294918</v>
      </c>
      <c r="K20" s="193">
        <f>'Données projet'!D9</f>
        <v>7.2</v>
      </c>
      <c r="L20" s="192">
        <f>K20*J20</f>
        <v>1784.5689090923411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>
        <f>(1549+2070)*1.1</f>
        <v>3980.9000000000005</v>
      </c>
      <c r="F21" s="218" t="s">
        <v>314</v>
      </c>
      <c r="G21" s="231"/>
      <c r="H21" s="25"/>
      <c r="I21" s="188" t="str">
        <f>B44</f>
        <v>Mélèze hybride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-2615.1134550100178</v>
      </c>
      <c r="K21" s="193">
        <f>'Données projet'!D10</f>
        <v>7.2</v>
      </c>
      <c r="L21" s="192">
        <f t="shared" ref="L21:L29" si="1">K21*J21</f>
        <v>-18828.816876072127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20</v>
      </c>
      <c r="B22" s="196">
        <f>'Données projet'!D36</f>
        <v>25</v>
      </c>
      <c r="C22" s="210">
        <f>'Données projet'!E36*59+('Données projet'!F36+'Données projet'!G36)*19.4+'Données projet'!H36*10</f>
        <v>19.399999999999999</v>
      </c>
      <c r="D22" s="197">
        <f>B22*C22</f>
        <v>484.99999999999994</v>
      </c>
      <c r="E22" s="210"/>
      <c r="F22" s="218"/>
      <c r="G22" s="227"/>
      <c r="H22" s="25"/>
      <c r="I22" s="188" t="str">
        <f>B70</f>
        <v>Erable sycomore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-4076.5401387170314</v>
      </c>
      <c r="K22" s="193">
        <f>'Données projet'!D11</f>
        <v>3.6</v>
      </c>
      <c r="L22" s="192">
        <f t="shared" si="1"/>
        <v>-14675.544499381313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25</v>
      </c>
      <c r="B23" s="196">
        <f>'Données projet'!D37</f>
        <v>39</v>
      </c>
      <c r="C23" s="210">
        <f>'Données projet'!E37*59+('Données projet'!F37+'Données projet'!G37)*19.4+'Données projet'!H37*10</f>
        <v>19.399999999999999</v>
      </c>
      <c r="D23" s="197">
        <f t="shared" ref="D23:D41" si="2">B23*C23</f>
        <v>756.59999999999991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1"/>
        <v>0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30</v>
      </c>
      <c r="B24" s="196">
        <f>'Données projet'!D38</f>
        <v>46</v>
      </c>
      <c r="C24" s="210">
        <f>'Données projet'!E38*59+('Données projet'!F38+'Données projet'!G38)*19.4+'Données projet'!H38*10</f>
        <v>19.399999999999999</v>
      </c>
      <c r="D24" s="197">
        <f t="shared" si="2"/>
        <v>892.4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1"/>
        <v>0</v>
      </c>
      <c r="M24" s="25"/>
      <c r="N24" s="186"/>
      <c r="O24" s="312" t="s">
        <v>286</v>
      </c>
      <c r="P24" s="312"/>
      <c r="Q24" s="312"/>
      <c r="R24" s="312"/>
      <c r="S24" s="312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35</v>
      </c>
      <c r="B25" s="196">
        <f>'Données projet'!D39</f>
        <v>50</v>
      </c>
      <c r="C25" s="210">
        <f>'Données projet'!E39*59+('Données projet'!F39+'Données projet'!G39)*19.4+'Données projet'!H39*10</f>
        <v>27.32</v>
      </c>
      <c r="D25" s="197">
        <f t="shared" si="2"/>
        <v>1366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1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40</v>
      </c>
      <c r="B26" s="196">
        <f>'Données projet'!D40</f>
        <v>50</v>
      </c>
      <c r="C26" s="210">
        <f>'Données projet'!E40*59+('Données projet'!F40+'Données projet'!G40)*19.4+'Données projet'!H40*10</f>
        <v>27.32</v>
      </c>
      <c r="D26" s="197">
        <f t="shared" si="2"/>
        <v>1366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1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45</v>
      </c>
      <c r="B27" s="196">
        <f>'Données projet'!D41</f>
        <v>52</v>
      </c>
      <c r="C27" s="210">
        <f>'Données projet'!E41*59+('Données projet'!F41+'Données projet'!G41)*19.4+'Données projet'!H41*10</f>
        <v>35.24</v>
      </c>
      <c r="D27" s="197">
        <f t="shared" si="2"/>
        <v>1832.48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1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50</v>
      </c>
      <c r="B28" s="196">
        <f>'Données projet'!D42</f>
        <v>49</v>
      </c>
      <c r="C28" s="210">
        <f>'Données projet'!E42*59+('Données projet'!F42+'Données projet'!G42)*19.4+'Données projet'!H42*10</f>
        <v>35.24</v>
      </c>
      <c r="D28" s="197">
        <f t="shared" si="2"/>
        <v>1726.76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1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55</v>
      </c>
      <c r="B29" s="196">
        <f>'Données projet'!D43</f>
        <v>51</v>
      </c>
      <c r="C29" s="210">
        <f>'Données projet'!E43*59+('Données projet'!F43+'Données projet'!G43)*19.4+'Données projet'!H43*10</f>
        <v>43.16</v>
      </c>
      <c r="D29" s="197">
        <f t="shared" si="2"/>
        <v>2201.16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1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60</v>
      </c>
      <c r="B30" s="196">
        <f>'Données projet'!D44</f>
        <v>651</v>
      </c>
      <c r="C30" s="210">
        <f>'Données projet'!E44*59+('Données projet'!F44+'Données projet'!G44)*19.4+'Données projet'!H44*10</f>
        <v>51.080000000000005</v>
      </c>
      <c r="D30" s="197">
        <f t="shared" si="2"/>
        <v>33253.08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3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0</v>
      </c>
      <c r="B31" s="196">
        <f>'Données projet'!D45</f>
        <v>0</v>
      </c>
      <c r="C31" s="210"/>
      <c r="D31" s="197">
        <f t="shared" si="2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3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0</v>
      </c>
      <c r="B32" s="196">
        <f>'Données projet'!D46</f>
        <v>0</v>
      </c>
      <c r="C32" s="210"/>
      <c r="D32" s="197">
        <f t="shared" si="2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3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0</v>
      </c>
      <c r="B33" s="196">
        <f>'Données projet'!D47</f>
        <v>0</v>
      </c>
      <c r="C33" s="210"/>
      <c r="D33" s="197">
        <f t="shared" si="2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-64901.517486165591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3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0</v>
      </c>
      <c r="B34" s="196">
        <f>'Données projet'!D48</f>
        <v>0</v>
      </c>
      <c r="C34" s="210"/>
      <c r="D34" s="197">
        <f t="shared" si="2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3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0</v>
      </c>
      <c r="B35" s="196">
        <f>'Données projet'!D49</f>
        <v>0</v>
      </c>
      <c r="C35" s="210"/>
      <c r="D35" s="197">
        <f t="shared" si="2"/>
        <v>0</v>
      </c>
      <c r="E35" s="210"/>
      <c r="F35" s="219"/>
      <c r="G35" s="227"/>
      <c r="H35" s="25"/>
      <c r="I35" s="202" t="s">
        <v>267</v>
      </c>
      <c r="J35" s="306">
        <f ca="1">J33-J34</f>
        <v>-64901.517486165591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3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0</v>
      </c>
      <c r="B36" s="196">
        <f>'Données projet'!D50</f>
        <v>0</v>
      </c>
      <c r="C36" s="210"/>
      <c r="D36" s="197">
        <f t="shared" si="2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3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0</v>
      </c>
      <c r="B37" s="196">
        <f>'Données projet'!D51</f>
        <v>0</v>
      </c>
      <c r="C37" s="210"/>
      <c r="D37" s="197">
        <f t="shared" si="2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3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0</v>
      </c>
      <c r="B38" s="196">
        <f>'Données projet'!D52</f>
        <v>0</v>
      </c>
      <c r="C38" s="210"/>
      <c r="D38" s="197">
        <f t="shared" si="2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3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0</v>
      </c>
      <c r="B39" s="196">
        <f>'Données projet'!D53</f>
        <v>0</v>
      </c>
      <c r="C39" s="210"/>
      <c r="D39" s="197">
        <f t="shared" si="2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3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0</v>
      </c>
      <c r="B40" s="196">
        <f>'Données projet'!D54</f>
        <v>0</v>
      </c>
      <c r="C40" s="210"/>
      <c r="D40" s="197">
        <f t="shared" si="2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3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0</v>
      </c>
      <c r="B41" s="196">
        <f>'Données projet'!D55</f>
        <v>0</v>
      </c>
      <c r="C41" s="210"/>
      <c r="D41" s="197">
        <f t="shared" si="2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3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3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3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Mélèze hybride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3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3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3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>
        <f>(2197+2070)*1.1</f>
        <v>4693.7000000000007</v>
      </c>
      <c r="F47" s="218" t="s">
        <v>314</v>
      </c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4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10</v>
      </c>
      <c r="B48" s="196">
        <f>'Données projet'!D62</f>
        <v>0</v>
      </c>
      <c r="C48" s="210">
        <f>'Données projet'!E62*50+('Données projet'!F62+'Données projet'!G62)*19.4+'Données projet'!H62*10</f>
        <v>19.399999999999999</v>
      </c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4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15</v>
      </c>
      <c r="B49" s="196">
        <f>'Données projet'!D63</f>
        <v>23</v>
      </c>
      <c r="C49" s="210">
        <f>'Données projet'!E63*50+('Données projet'!F63+'Données projet'!G63)*19.4+'Données projet'!H63*10</f>
        <v>19.399999999999999</v>
      </c>
      <c r="D49" s="194">
        <f t="shared" ref="D49:D67" si="5">B49*C49</f>
        <v>446.2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4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20</v>
      </c>
      <c r="B50" s="196">
        <f>'Données projet'!D64</f>
        <v>31</v>
      </c>
      <c r="C50" s="210">
        <f>'Données projet'!E64*50+('Données projet'!F64+'Données projet'!G64)*19.4+'Données projet'!H64*10</f>
        <v>19.399999999999999</v>
      </c>
      <c r="D50" s="194">
        <f t="shared" si="5"/>
        <v>601.4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4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25</v>
      </c>
      <c r="B51" s="196">
        <f>'Données projet'!D65</f>
        <v>33</v>
      </c>
      <c r="C51" s="210">
        <f>'Données projet'!E65*50+('Données projet'!F65+'Données projet'!G65)*19.4+'Données projet'!H65*10</f>
        <v>19.399999999999999</v>
      </c>
      <c r="D51" s="194">
        <f t="shared" si="5"/>
        <v>640.19999999999993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4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30</v>
      </c>
      <c r="B52" s="196">
        <f>'Données projet'!D66</f>
        <v>33</v>
      </c>
      <c r="C52" s="210">
        <f>'Données projet'!E66*50+('Données projet'!F66+'Données projet'!G66)*19.4+'Données projet'!H66*10</f>
        <v>19.399999999999999</v>
      </c>
      <c r="D52" s="194">
        <f t="shared" si="5"/>
        <v>640.19999999999993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4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35</v>
      </c>
      <c r="B53" s="196">
        <f>'Données projet'!D67</f>
        <v>30</v>
      </c>
      <c r="C53" s="210">
        <f>'Données projet'!E67*50+('Données projet'!F67+'Données projet'!G67)*19.4+'Données projet'!H67*10</f>
        <v>25.52</v>
      </c>
      <c r="D53" s="194">
        <f t="shared" si="5"/>
        <v>765.6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4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40</v>
      </c>
      <c r="B54" s="196">
        <f>'Données projet'!D68</f>
        <v>28</v>
      </c>
      <c r="C54" s="210">
        <f>'Données projet'!E68*50+('Données projet'!F68+'Données projet'!G68)*19.4+'Données projet'!H68*10</f>
        <v>25.52</v>
      </c>
      <c r="D54" s="194">
        <f t="shared" si="5"/>
        <v>714.56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4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45</v>
      </c>
      <c r="B55" s="196">
        <f>'Données projet'!D69</f>
        <v>24</v>
      </c>
      <c r="C55" s="210">
        <f>'Données projet'!E69*50+('Données projet'!F69+'Données projet'!G69)*19.4+'Données projet'!H69*10</f>
        <v>31.64</v>
      </c>
      <c r="D55" s="194">
        <f t="shared" si="5"/>
        <v>759.36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4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50</v>
      </c>
      <c r="B56" s="196">
        <f>'Données projet'!D70</f>
        <v>21</v>
      </c>
      <c r="C56" s="210">
        <f>'Données projet'!E70*50+('Données projet'!F70+'Données projet'!G70)*19.4+'Données projet'!H70*10</f>
        <v>31.64</v>
      </c>
      <c r="D56" s="194">
        <f t="shared" si="5"/>
        <v>664.44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4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55</v>
      </c>
      <c r="B57" s="196">
        <f>'Données projet'!D71</f>
        <v>18</v>
      </c>
      <c r="C57" s="210">
        <f>'Données projet'!E71*50+('Données projet'!F71+'Données projet'!G71)*19.4+'Données projet'!H71*10</f>
        <v>37.76</v>
      </c>
      <c r="D57" s="194">
        <f t="shared" si="5"/>
        <v>679.68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4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60</v>
      </c>
      <c r="B58" s="196">
        <f>'Données projet'!D72</f>
        <v>294</v>
      </c>
      <c r="C58" s="210">
        <f>'Données projet'!E72*50+('Données projet'!F72+'Données projet'!G72)*19.4+'Données projet'!H72*10</f>
        <v>43.88</v>
      </c>
      <c r="D58" s="194">
        <f t="shared" si="5"/>
        <v>12900.720000000001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4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0</v>
      </c>
      <c r="B59" s="196">
        <f>'Données projet'!D73</f>
        <v>0</v>
      </c>
      <c r="C59" s="208"/>
      <c r="D59" s="194">
        <f t="shared" si="5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4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0</v>
      </c>
      <c r="B60" s="196">
        <f>'Données projet'!D74</f>
        <v>0</v>
      </c>
      <c r="C60" s="208"/>
      <c r="D60" s="194">
        <f t="shared" si="5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4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0</v>
      </c>
      <c r="B61" s="196">
        <f>'Données projet'!D75</f>
        <v>0</v>
      </c>
      <c r="C61" s="208"/>
      <c r="D61" s="194">
        <f t="shared" si="5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6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0</v>
      </c>
      <c r="B62" s="196">
        <f>'Données projet'!D76</f>
        <v>0</v>
      </c>
      <c r="C62" s="208"/>
      <c r="D62" s="194">
        <f t="shared" si="5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6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0</v>
      </c>
      <c r="B63" s="196">
        <f>'Données projet'!D77</f>
        <v>0</v>
      </c>
      <c r="C63" s="208"/>
      <c r="D63" s="194">
        <f t="shared" si="5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6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0</v>
      </c>
      <c r="B64" s="196">
        <f>'Données projet'!D78</f>
        <v>0</v>
      </c>
      <c r="C64" s="208"/>
      <c r="D64" s="194">
        <f t="shared" si="5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6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5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6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5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6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5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6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6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6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>Erable sycomore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6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6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6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>
        <f>(1879+2959)*1.1</f>
        <v>5321.8</v>
      </c>
      <c r="F73" s="218" t="s">
        <v>314</v>
      </c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7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15</v>
      </c>
      <c r="B74" s="196">
        <f>'Données projet'!D88</f>
        <v>9</v>
      </c>
      <c r="C74" s="210">
        <f>'Données projet'!E88*60+('Données projet'!F88+'Données projet'!G88)*19.4+'Données projet'!H88*10</f>
        <v>10</v>
      </c>
      <c r="D74" s="194">
        <f>B74*C74</f>
        <v>90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7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20</v>
      </c>
      <c r="B75" s="196">
        <f>'Données projet'!D89</f>
        <v>11</v>
      </c>
      <c r="C75" s="210">
        <f>'Données projet'!E89*60+('Données projet'!F89+'Données projet'!G89)*19.4+'Données projet'!H89*10</f>
        <v>10</v>
      </c>
      <c r="D75" s="194">
        <f t="shared" ref="D75:D93" si="8">B75*C75</f>
        <v>110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7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25</v>
      </c>
      <c r="B76" s="196">
        <f>'Données projet'!D90</f>
        <v>14</v>
      </c>
      <c r="C76" s="210">
        <f>'Données projet'!E90*60+('Données projet'!F90+'Données projet'!G90)*19.4+'Données projet'!H90*10</f>
        <v>10</v>
      </c>
      <c r="D76" s="194">
        <f t="shared" si="8"/>
        <v>140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7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30</v>
      </c>
      <c r="B77" s="196">
        <f>'Données projet'!D91</f>
        <v>16</v>
      </c>
      <c r="C77" s="210">
        <f>'Données projet'!E91*60+('Données projet'!F91+'Données projet'!G91)*19.4+'Données projet'!H91*10</f>
        <v>10</v>
      </c>
      <c r="D77" s="194">
        <f t="shared" si="8"/>
        <v>160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7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35</v>
      </c>
      <c r="B78" s="196">
        <f>'Données projet'!D92</f>
        <v>17</v>
      </c>
      <c r="C78" s="210">
        <f>'Données projet'!E92*60+('Données projet'!F92+'Données projet'!G92)*19.4+'Données projet'!H92*10</f>
        <v>20</v>
      </c>
      <c r="D78" s="194">
        <f t="shared" si="8"/>
        <v>340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7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40</v>
      </c>
      <c r="B79" s="196">
        <f>'Données projet'!D93</f>
        <v>18</v>
      </c>
      <c r="C79" s="210">
        <f>'Données projet'!E93*60+('Données projet'!F93+'Données projet'!G93)*19.4+'Données projet'!H93*10</f>
        <v>25</v>
      </c>
      <c r="D79" s="194">
        <f t="shared" si="8"/>
        <v>450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7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45</v>
      </c>
      <c r="B80" s="196">
        <f>'Données projet'!D94</f>
        <v>18</v>
      </c>
      <c r="C80" s="210">
        <f>'Données projet'!E94*60+('Données projet'!F94+'Données projet'!G94)*19.4+'Données projet'!H94*10</f>
        <v>30</v>
      </c>
      <c r="D80" s="194">
        <f t="shared" si="8"/>
        <v>540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7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50</v>
      </c>
      <c r="B81" s="196">
        <f>'Données projet'!D95</f>
        <v>18</v>
      </c>
      <c r="C81" s="210">
        <f>'Données projet'!E95*60+('Données projet'!F95+'Données projet'!G95)*19.4+'Données projet'!H95*10</f>
        <v>35</v>
      </c>
      <c r="D81" s="194">
        <f t="shared" si="8"/>
        <v>630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7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55</v>
      </c>
      <c r="B82" s="196">
        <f>'Données projet'!D96</f>
        <v>17</v>
      </c>
      <c r="C82" s="210">
        <f>'Données projet'!E96*60+('Données projet'!F96+'Données projet'!G96)*19.4+'Données projet'!H96*10</f>
        <v>40</v>
      </c>
      <c r="D82" s="194">
        <f t="shared" si="8"/>
        <v>680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7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60</v>
      </c>
      <c r="B83" s="196">
        <f>'Données projet'!D97</f>
        <v>221</v>
      </c>
      <c r="C83" s="210">
        <f>'Données projet'!E97*60+('Données projet'!F97+'Données projet'!G97)*19.4+'Données projet'!H97*10</f>
        <v>45</v>
      </c>
      <c r="D83" s="194">
        <f t="shared" si="8"/>
        <v>9945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7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10"/>
      <c r="D84" s="194">
        <f t="shared" si="8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7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10"/>
      <c r="D85" s="194">
        <f t="shared" si="8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7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10"/>
      <c r="D86" s="194">
        <f t="shared" si="8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7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10"/>
      <c r="D87" s="194">
        <f t="shared" si="8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7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10"/>
      <c r="D88" s="194">
        <f t="shared" si="8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7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10"/>
      <c r="D89" s="194">
        <f t="shared" si="8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7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10"/>
      <c r="D90" s="194">
        <f t="shared" si="8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str">
        <f>IF(R89+1&lt;=MIN('Données projet'!$E$9:$E$18),R89+1,"STOP")</f>
        <v>STOP</v>
      </c>
      <c r="S90" s="201" t="e">
        <f t="shared" si="7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10"/>
      <c r="D91" s="194">
        <f t="shared" si="8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7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10"/>
      <c r="D92" s="194">
        <f t="shared" si="8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7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10"/>
      <c r="D93" s="194">
        <f t="shared" si="8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9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9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9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9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9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9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10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0</v>
      </c>
      <c r="B100" s="196">
        <f>'Données projet'!D114</f>
        <v>0</v>
      </c>
      <c r="C100" s="210">
        <f>'Données projet'!E114*40+('Données projet'!F114+'Données projet'!G114)*19.4+'Données projet'!H114*10</f>
        <v>0</v>
      </c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10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0</v>
      </c>
      <c r="B101" s="196">
        <f>'Données projet'!D115</f>
        <v>0</v>
      </c>
      <c r="C101" s="210">
        <f>'Données projet'!E115*40+('Données projet'!F115+'Données projet'!G115)*19.4+'Données projet'!H115*10</f>
        <v>0</v>
      </c>
      <c r="D101" s="194">
        <f t="shared" ref="D101:D119" si="11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10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0</v>
      </c>
      <c r="B102" s="196">
        <f>'Données projet'!D116</f>
        <v>0</v>
      </c>
      <c r="C102" s="210">
        <f>'Données projet'!E116*40+('Données projet'!F116+'Données projet'!G116)*19.4+'Données projet'!H116*10</f>
        <v>0</v>
      </c>
      <c r="D102" s="194">
        <f t="shared" si="11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10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0</v>
      </c>
      <c r="B103" s="196">
        <f>'Données projet'!D117</f>
        <v>0</v>
      </c>
      <c r="C103" s="210">
        <f>'Données projet'!E117*40+('Données projet'!F117+'Données projet'!G117)*19.4+'Données projet'!H117*10</f>
        <v>0</v>
      </c>
      <c r="D103" s="194">
        <f t="shared" si="11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10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0</v>
      </c>
      <c r="B104" s="196">
        <f>'Données projet'!D118</f>
        <v>0</v>
      </c>
      <c r="C104" s="210">
        <f>'Données projet'!E118*40+('Données projet'!F118+'Données projet'!G118)*19.4+'Données projet'!H118*10</f>
        <v>0</v>
      </c>
      <c r="D104" s="194">
        <f t="shared" si="11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10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10">
        <f>'Données projet'!E119*40+('Données projet'!F119+'Données projet'!G119)*19.4+'Données projet'!H119*10</f>
        <v>0</v>
      </c>
      <c r="D105" s="194">
        <f t="shared" si="11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10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10">
        <f>'Données projet'!E120*40+('Données projet'!F120+'Données projet'!G120)*19.4+'Données projet'!H120*10</f>
        <v>0</v>
      </c>
      <c r="D106" s="194">
        <f t="shared" si="11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10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10">
        <f>'Données projet'!E121*40+('Données projet'!F121+'Données projet'!G121)*19.4+'Données projet'!H121*10</f>
        <v>0</v>
      </c>
      <c r="D107" s="194">
        <f t="shared" si="11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10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10">
        <f>'Données projet'!E122*40+('Données projet'!F122+'Données projet'!G122)*19.4+'Données projet'!H122*10</f>
        <v>0</v>
      </c>
      <c r="D108" s="194">
        <f t="shared" si="11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10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10">
        <f>'Données projet'!E123*40+('Données projet'!F123+'Données projet'!G123)*19.4+'Données projet'!H123*10</f>
        <v>0</v>
      </c>
      <c r="D109" s="194">
        <f t="shared" si="11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10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10">
        <f>'Données projet'!E124*40+('Données projet'!F124+'Données projet'!G124)*19.4+'Données projet'!H124*10</f>
        <v>0</v>
      </c>
      <c r="D110" s="194">
        <f t="shared" si="11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10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10">
        <f>'Données projet'!E125*40+('Données projet'!F125+'Données projet'!G125)*19.4+'Données projet'!H125*10</f>
        <v>0</v>
      </c>
      <c r="D111" s="194">
        <f t="shared" si="11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10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10">
        <f>'Données projet'!E126*40+('Données projet'!F126+'Données projet'!G126)*19.4+'Données projet'!H126*10</f>
        <v>0</v>
      </c>
      <c r="D112" s="194">
        <f t="shared" si="11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10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10">
        <f>'Données projet'!E127*40+('Données projet'!F127+'Données projet'!G127)*19.4+'Données projet'!H127*10</f>
        <v>0</v>
      </c>
      <c r="D113" s="194">
        <f t="shared" si="11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10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10">
        <f>'Données projet'!E128*40+('Données projet'!F128+'Données projet'!G128)*19.4+'Données projet'!H128*10</f>
        <v>0</v>
      </c>
      <c r="D114" s="194">
        <f t="shared" si="11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10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10"/>
      <c r="D115" s="194">
        <f t="shared" si="11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10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10"/>
      <c r="D116" s="194">
        <f t="shared" si="11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10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1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10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1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10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1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10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10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10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10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10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10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10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10">
        <f>'Données projet'!E140*60+('Données projet'!F140+'Données projet'!G140)*19.4+'Données projet'!H140*10</f>
        <v>0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10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10">
        <f>'Données projet'!E141*60+('Données projet'!F141+'Données projet'!G141)*19.4+'Données projet'!H141*10</f>
        <v>0</v>
      </c>
      <c r="D127" s="197">
        <f t="shared" ref="D127:D145" si="12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10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10">
        <f>'Données projet'!E142*60+('Données projet'!F142+'Données projet'!G142)*19.4+'Données projet'!H142*10</f>
        <v>0</v>
      </c>
      <c r="D128" s="197">
        <f t="shared" si="12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10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10">
        <f>'Données projet'!E143*60+('Données projet'!F143+'Données projet'!G143)*19.4+'Données projet'!H143*10</f>
        <v>0</v>
      </c>
      <c r="D129" s="197">
        <f t="shared" si="12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10">
        <f>'Données projet'!E144*60+('Données projet'!F144+'Données projet'!G144)*19.4+'Données projet'!H144*10</f>
        <v>0</v>
      </c>
      <c r="D130" s="197">
        <f t="shared" si="12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10">
        <f>'Données projet'!E145*60+('Données projet'!F145+'Données projet'!G145)*19.4+'Données projet'!H145*10</f>
        <v>0</v>
      </c>
      <c r="D131" s="197">
        <f t="shared" si="12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10">
        <f>'Données projet'!E146*60+('Données projet'!F146+'Données projet'!G146)*19.4+'Données projet'!H146*10</f>
        <v>0</v>
      </c>
      <c r="D132" s="197">
        <f t="shared" si="12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10">
        <f>'Données projet'!E147*60+('Données projet'!F147+'Données projet'!G147)*19.4+'Données projet'!H147*10</f>
        <v>0</v>
      </c>
      <c r="D133" s="197">
        <f t="shared" si="12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10">
        <f>'Données projet'!E148*60+('Données projet'!F148+'Données projet'!G148)*19.4+'Données projet'!H148*10</f>
        <v>0</v>
      </c>
      <c r="D134" s="197">
        <f t="shared" si="12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10">
        <f>'Données projet'!E149*60+('Données projet'!F149+'Données projet'!G149)*19.4+'Données projet'!H149*10</f>
        <v>0</v>
      </c>
      <c r="D135" s="197">
        <f t="shared" si="12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10">
        <f>'Données projet'!E150*60+('Données projet'!F150+'Données projet'!G150)*19.4+'Données projet'!H150*10</f>
        <v>0</v>
      </c>
      <c r="D136" s="197">
        <f t="shared" si="12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10">
        <f>'Données projet'!E151*60+('Données projet'!F151+'Données projet'!G151)*19.4+'Données projet'!H151*10</f>
        <v>0</v>
      </c>
      <c r="D137" s="197">
        <f t="shared" si="12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10">
        <f>'Données projet'!E152*60+('Données projet'!F152+'Données projet'!G152)*19.4+'Données projet'!H152*10</f>
        <v>0</v>
      </c>
      <c r="D138" s="197">
        <f t="shared" si="12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10">
        <f>'Données projet'!E153*60+('Données projet'!F153+'Données projet'!G153)*19.4+'Données projet'!H153*10</f>
        <v>0</v>
      </c>
      <c r="D139" s="197">
        <f t="shared" si="12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10">
        <f>'Données projet'!E154*60+('Données projet'!F154+'Données projet'!G154)*19.4+'Données projet'!H154*10</f>
        <v>0</v>
      </c>
      <c r="D140" s="197">
        <f t="shared" si="12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10"/>
      <c r="D141" s="197">
        <f t="shared" si="12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10"/>
      <c r="D142" s="197">
        <f t="shared" si="12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2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2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2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>
        <f>'Données projet'!E166*42+('Données projet'!F166+'Données projet'!G166)*19.4+'Données projet'!H166*10</f>
        <v>0</v>
      </c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>
        <f>'Données projet'!E167*42+('Données projet'!F167+'Données projet'!G167)*19.4+'Données projet'!H167*10</f>
        <v>0</v>
      </c>
      <c r="D153" s="194">
        <f t="shared" ref="D153:D171" si="13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>
        <f>'Données projet'!E168*42+('Données projet'!F168+'Données projet'!G168)*19.4+'Données projet'!H168*10</f>
        <v>0</v>
      </c>
      <c r="D154" s="194">
        <f t="shared" si="13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>
        <f>'Données projet'!E169*42+('Données projet'!F169+'Données projet'!G169)*19.4+'Données projet'!H169*10</f>
        <v>0</v>
      </c>
      <c r="D155" s="194">
        <f t="shared" si="13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3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3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3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3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3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3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3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3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3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3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3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3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3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3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3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3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4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4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4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4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4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4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4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4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4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4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4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4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4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4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4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4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4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4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4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5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5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5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5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5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5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5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5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5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5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5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5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5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5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5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5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5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5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5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6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6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6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6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6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6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6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6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6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6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6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6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6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6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6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6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6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6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6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7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7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7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7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7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7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7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7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7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7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7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7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7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7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7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7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7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7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7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M.</cp:lastModifiedBy>
  <dcterms:created xsi:type="dcterms:W3CDTF">2021-02-01T08:22:39Z</dcterms:created>
  <dcterms:modified xsi:type="dcterms:W3CDTF">2021-10-06T13:12:06Z</dcterms:modified>
</cp:coreProperties>
</file>