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Lucie RUPIL\Documents\LABEL BAS CARBONE\1-PROJETS CARBONE EN COURS\PROPRIETAIRES\Projet MOUSSA\Dossier LBC\"/>
    </mc:Choice>
  </mc:AlternateContent>
  <bookViews>
    <workbookView xWindow="0" yWindow="0" windowWidth="23040" windowHeight="9384" tabRatio="630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6" l="1"/>
  <c r="I23" i="6"/>
  <c r="I21" i="6"/>
  <c r="B153" i="1" l="1"/>
  <c r="D151" i="1"/>
  <c r="B151" i="1"/>
  <c r="D149" i="1"/>
  <c r="B149" i="1"/>
  <c r="D147" i="1"/>
  <c r="B147" i="1"/>
  <c r="D145" i="1"/>
  <c r="B145" i="1"/>
  <c r="D143" i="1"/>
  <c r="B143" i="1"/>
  <c r="D141" i="1"/>
  <c r="B141" i="1"/>
  <c r="B127" i="1"/>
  <c r="D125" i="1"/>
  <c r="B125" i="1"/>
  <c r="D123" i="1"/>
  <c r="B123" i="1"/>
  <c r="D121" i="1"/>
  <c r="B121" i="1"/>
  <c r="D119" i="1"/>
  <c r="B119" i="1"/>
  <c r="D117" i="1"/>
  <c r="B117" i="1"/>
  <c r="D115" i="1"/>
  <c r="B115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FS4" i="2"/>
  <c r="GL4" i="2"/>
  <c r="BQ4" i="2"/>
  <c r="EA4" i="2"/>
  <c r="HI4" i="2"/>
  <c r="FR4" i="2"/>
  <c r="EX4" i="2"/>
  <c r="FQ4" i="2"/>
  <c r="CM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EC6" i="2" s="1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I6" i="2" l="1"/>
  <c r="EV6" i="2"/>
  <c r="FR6" i="2"/>
  <c r="EA6" i="2"/>
  <c r="HH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FS7" i="2" s="1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FS8" i="2" s="1"/>
  <c r="EU8" i="2"/>
  <c r="EG8" i="2"/>
  <c r="DW8" i="2"/>
  <c r="EC8" i="2" s="1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I8" i="2" l="1"/>
  <c r="EX8" i="2"/>
  <c r="HG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HI9" i="2" s="1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A10" i="2"/>
  <c r="HH10" i="2"/>
  <c r="EB10" i="2"/>
  <c r="HG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FS11" i="2"/>
  <c r="EW11" i="2"/>
  <c r="EX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HI12" i="2" s="1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FS12" i="2" s="1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HI13" i="2" s="1"/>
  <c r="GR13" i="2"/>
  <c r="GH13" i="2"/>
  <c r="GK13" i="2"/>
  <c r="GS13" i="2"/>
  <c r="FW13" i="2"/>
  <c r="FM13" i="2"/>
  <c r="FS13" i="2" s="1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I14" i="2" s="1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HG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I15" i="2" s="1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HI16" i="2" s="1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FS16" i="2" s="1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X16" i="2"/>
  <c r="EC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HI17" i="2" s="1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EX17" i="2" s="1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EC17" i="2" l="1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C18" i="2" s="1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A18" i="2"/>
  <c r="HI18" i="2"/>
  <c r="EV18" i="2"/>
  <c r="EW18" i="2"/>
  <c r="EX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EC19" i="2" l="1"/>
  <c r="FS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HI20" i="2" s="1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G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I22" i="2" s="1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A22" i="2"/>
  <c r="EW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EC23" i="2" s="1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X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EC24" i="2" s="1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I24" i="2" l="1"/>
  <c r="HH24" i="2"/>
  <c r="FR24" i="2"/>
  <c r="EW24" i="2"/>
  <c r="HG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S26" i="2" s="1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C27" i="2"/>
  <c r="FS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EX28" i="2" s="1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EC28" i="2"/>
  <c r="HG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FS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EV30" i="2"/>
  <c r="EB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EC31" i="2" s="1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EX32" i="2" s="1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C32" i="2" l="1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GN34" i="2" l="1"/>
  <c r="EW34" i="2"/>
  <c r="CM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FS35" i="2" s="1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I35" i="2"/>
  <c r="HH35" i="2"/>
  <c r="CM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EB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I39" i="2" s="1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EX39" i="2" s="1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FS39" i="2" l="1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I40" i="2" s="1"/>
  <c r="HF40" i="2"/>
  <c r="GR40" i="2"/>
  <c r="GK40" i="2"/>
  <c r="GS40" i="2"/>
  <c r="FP40" i="2"/>
  <c r="GG40" i="2"/>
  <c r="FX40" i="2"/>
  <c r="GH40" i="2"/>
  <c r="FL40" i="2"/>
  <c r="FC40" i="2"/>
  <c r="FB40" i="2"/>
  <c r="ER40" i="2"/>
  <c r="EX40" i="2" s="1"/>
  <c r="DV40" i="2"/>
  <c r="DM40" i="2"/>
  <c r="DA40" i="2"/>
  <c r="FM40" i="2"/>
  <c r="FS40" i="2" s="1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HG43" i="2"/>
  <c r="EX43" i="2"/>
  <c r="EA43" i="2"/>
  <c r="DG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W44" i="2"/>
  <c r="HH44" i="2"/>
  <c r="EC44" i="2"/>
  <c r="HG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EC45" i="2" s="1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FS46" i="2"/>
  <c r="EW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EC47" i="2" s="1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EX48" i="2" s="1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EX49" i="2" s="1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HG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I51" i="2" s="1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FS51" i="2" l="1"/>
  <c r="EA51" i="2"/>
  <c r="EB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B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HI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I56" i="2" s="1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EC56" i="2" l="1"/>
  <c r="FS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HH57" i="2"/>
  <c r="EB57" i="2"/>
  <c r="EC57" i="2"/>
  <c r="HG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FS58" i="2" l="1"/>
  <c r="HI58" i="2"/>
  <c r="EA58" i="2"/>
  <c r="EX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I59" i="2" s="1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B59" i="2"/>
  <c r="EX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FS60" i="2"/>
  <c r="EC60" i="2"/>
  <c r="HG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HI61" i="2" s="1"/>
  <c r="GR61" i="2"/>
  <c r="GK61" i="2"/>
  <c r="HB61" i="2"/>
  <c r="GS61" i="2"/>
  <c r="FW61" i="2"/>
  <c r="FM61" i="2"/>
  <c r="FS61" i="2" s="1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I63" i="2" s="1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HH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FS67" i="2" s="1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S68" i="2" s="1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HI68" i="2" l="1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HI69" i="2" s="1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X69" i="2" l="1"/>
  <c r="EC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EC70" i="2" s="1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EX71" i="2" s="1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FS71" i="2" l="1"/>
  <c r="EW71" i="2"/>
  <c r="HI71" i="2"/>
  <c r="EA71" i="2"/>
  <c r="HH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B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HI73" i="2"/>
  <c r="EW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C74" i="2" s="1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I75" i="2" l="1"/>
  <c r="HH75" i="2"/>
  <c r="FS75" i="2"/>
  <c r="HG75" i="2"/>
  <c r="EB75" i="2"/>
  <c r="EX75" i="2"/>
  <c r="EA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S77" i="2" s="1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X77" i="2" l="1"/>
  <c r="EW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EX79" i="2" s="1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EC80" i="2" s="1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FS80" i="2" l="1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EX81" i="2" s="1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C82" i="2" s="1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EX82" i="2"/>
  <c r="HH82" i="2"/>
  <c r="HG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EX83" i="2" s="1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HI83" i="2"/>
  <c r="EV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EC84" i="2" s="1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I84" i="2" l="1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S85" i="2" s="1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S86" i="2" s="1"/>
  <c r="FP86" i="2"/>
  <c r="DZ86" i="2"/>
  <c r="DL86" i="2"/>
  <c r="DE86" i="2"/>
  <c r="FX86" i="2"/>
  <c r="EQ86" i="2"/>
  <c r="EH86" i="2"/>
  <c r="CJ86" i="2"/>
  <c r="CR86" i="2"/>
  <c r="GG86" i="2"/>
  <c r="FB86" i="2"/>
  <c r="ER86" i="2"/>
  <c r="EX86" i="2" s="1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HI86" i="2"/>
  <c r="EB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I87" i="2" s="1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FS87" i="2" l="1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HI88" i="2"/>
  <c r="EC88" i="2"/>
  <c r="HG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S89" i="2" s="1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EC89" i="2" s="1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EX89" i="2" l="1"/>
  <c r="HG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I91" i="2" s="1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EX91" i="2" s="1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HI92" i="2" s="1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FS92" i="2" s="1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C94" i="2" l="1"/>
  <c r="FS94" i="2"/>
  <c r="HG94" i="2"/>
  <c r="EX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I95" i="2" s="1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EB95" i="2"/>
  <c r="FQ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HI97" i="2" s="1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EC97" i="2" l="1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FS98" i="2"/>
  <c r="EW98" i="2"/>
  <c r="EX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I99" i="2"/>
  <c r="HH99" i="2"/>
  <c r="EX99" i="2"/>
  <c r="FS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EC101" i="2" s="1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FS101" i="2" l="1"/>
  <c r="HI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X103" i="2" l="1"/>
  <c r="FS103" i="2"/>
  <c r="HI103" i="2"/>
  <c r="EA103" i="2"/>
  <c r="EC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X104" i="2"/>
  <c r="EC104" i="2"/>
  <c r="EW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X105" i="2"/>
  <c r="HH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I106" i="2" s="1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I107" i="2" s="1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B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B108" i="2"/>
  <c r="EA108" i="2"/>
  <c r="EW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HI109" i="2" s="1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EC109" i="2" s="1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HH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EX111" i="2" s="1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HI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HH114" i="2"/>
  <c r="HG114" i="2"/>
  <c r="EW114" i="2"/>
  <c r="EV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I115" i="2" s="1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EC115" i="2" s="1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X116" i="2" l="1"/>
  <c r="HG116" i="2"/>
  <c r="EA116" i="2"/>
  <c r="HI116" i="2"/>
  <c r="EV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EX117" i="2" s="1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C117" i="2"/>
  <c r="HI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I118" i="2" s="1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FQ118" i="2"/>
  <c r="EX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C120" i="2"/>
  <c r="FQ120" i="2"/>
  <c r="HI120" i="2"/>
  <c r="HH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I123" i="2" l="1"/>
  <c r="EC123" i="2"/>
  <c r="HH123" i="2"/>
  <c r="FS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HI124" i="2" s="1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EC124" i="2" s="1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HI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I126" i="2" s="1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X126" i="2" l="1"/>
  <c r="EA126" i="2"/>
  <c r="HG126" i="2"/>
  <c r="FS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HI128" i="2"/>
  <c r="EB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EX129" i="2" s="1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G130" i="2"/>
  <c r="HI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EC131" i="2" s="1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I132" i="2"/>
  <c r="HG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HI133" i="2" s="1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EC134" i="2" s="1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FS135" i="2" l="1"/>
  <c r="EW135" i="2"/>
  <c r="HI135" i="2"/>
  <c r="EA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EC136" i="2" l="1"/>
  <c r="HI136" i="2"/>
  <c r="EX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V138" i="2"/>
  <c r="EB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HI139" i="2"/>
  <c r="EW139" i="2"/>
  <c r="EX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HI140" i="2" s="1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C140" i="2"/>
  <c r="HG140" i="2"/>
  <c r="EB140" i="2"/>
  <c r="FR140" i="2"/>
  <c r="HH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HI141" i="2" s="1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HH141" i="2"/>
  <c r="HG141" i="2"/>
  <c r="EX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W142" i="2"/>
  <c r="HG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I143" i="2" s="1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EC143" i="2" s="1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HI144" i="2" s="1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A144" i="2"/>
  <c r="FR144" i="2"/>
  <c r="EB144" i="2"/>
  <c r="HH144" i="2"/>
  <c r="HG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EX146" i="2" s="1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HH146" i="2"/>
  <c r="FR146" i="2"/>
  <c r="HG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FS149" i="2"/>
  <c r="HH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I151" i="2" s="1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FS152" i="2" s="1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HI153" i="2" s="1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FS153" i="2"/>
  <c r="EA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X154" i="2" s="1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AA154" i="2" l="1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HI155" i="2" l="1"/>
  <c r="EW155" i="2"/>
  <c r="EC155" i="2"/>
  <c r="HG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DH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FS157" i="2" s="1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CN156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FS159" i="2" s="1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X159" i="2"/>
  <c r="HH159" i="2"/>
  <c r="EC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HG160" i="2"/>
  <c r="HH160" i="2"/>
  <c r="DG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B162" i="2"/>
  <c r="FS162" i="2"/>
  <c r="DI161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EC163" i="2" s="1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FS163" i="2"/>
  <c r="HI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EC164" i="2" s="1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A164" i="2"/>
  <c r="HI164" i="2"/>
  <c r="EX164" i="2"/>
  <c r="EV164" i="2"/>
  <c r="DI163" i="2"/>
  <c r="HH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EX166" i="2" s="1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CN165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I167" i="2"/>
  <c r="FR167" i="2"/>
  <c r="EA167" i="2"/>
  <c r="HH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FS168" i="2" s="1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EW168" i="2"/>
  <c r="HH168" i="2"/>
  <c r="EX168" i="2"/>
  <c r="EV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HI169" i="2" s="1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B169" i="2"/>
  <c r="EA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EX170" i="2" l="1"/>
  <c r="HI170" i="2"/>
  <c r="CN169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I171" i="2" s="1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EX171" i="2" s="1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EC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V172" i="2"/>
  <c r="EA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EC175" i="2" s="1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B175" i="2"/>
  <c r="EW175" i="2"/>
  <c r="EA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FS176" i="2" l="1"/>
  <c r="HH176" i="2"/>
  <c r="EX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FQ178" i="2"/>
  <c r="HH178" i="2"/>
  <c r="HG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EX179" i="2" s="1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A179" i="2"/>
  <c r="HG179" i="2"/>
  <c r="HI179" i="2"/>
  <c r="FS179" i="2"/>
  <c r="EV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I181" i="2" l="1"/>
  <c r="EV181" i="2"/>
  <c r="EC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EX183" i="2" s="1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FS183" i="2"/>
  <c r="EB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FS184" i="2" s="1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X184" i="2" l="1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W185" i="2" l="1"/>
  <c r="EA185" i="2"/>
  <c r="HG185" i="2"/>
  <c r="HH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HH187" i="2"/>
  <c r="HG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FS188" i="2" s="1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HI190" i="2" s="1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EC191" i="2" s="1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I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W192" i="2"/>
  <c r="HG192" i="2"/>
  <c r="HH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HH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H199" i="2"/>
  <c r="HI199" i="2"/>
  <c r="HG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HI200" i="2" s="1"/>
  <c r="GI200" i="2"/>
  <c r="HD200" i="2"/>
  <c r="GJ200" i="2"/>
  <c r="FL200" i="2"/>
  <c r="EU200" i="2"/>
  <c r="FX200" i="2"/>
  <c r="FM200" i="2"/>
  <c r="FS200" i="2" s="1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EC200" i="2" s="1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EX201" i="2" l="1"/>
  <c r="DI200" i="2"/>
  <c r="HI201" i="2"/>
  <c r="EA201" i="2"/>
  <c r="EB201" i="2"/>
  <c r="FS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HH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EX203" i="2" s="1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CS114" i="2" l="1" a="1"/>
  <c r="CS114" i="2" s="1"/>
  <c r="CS161" i="2" a="1"/>
  <c r="CS161" i="2" s="1"/>
  <c r="CS120" i="2" a="1"/>
  <c r="CS120" i="2" s="1"/>
  <c r="CS129" i="2" a="1"/>
  <c r="CS129" i="2" s="1"/>
  <c r="HG203" i="2"/>
  <c r="HI203" i="2"/>
  <c r="EC203" i="2"/>
  <c r="FR203" i="2"/>
  <c r="BP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D60" i="2" l="1"/>
  <c r="CD70" i="2"/>
  <c r="CD122" i="2"/>
  <c r="CD18" i="2"/>
  <c r="CD90" i="2"/>
  <c r="CD103" i="2"/>
  <c r="CD22" i="2"/>
  <c r="CD57" i="2"/>
  <c r="CD151" i="2"/>
  <c r="CD141" i="2"/>
  <c r="CD148" i="2"/>
  <c r="CD125" i="2"/>
  <c r="CD19" i="2"/>
  <c r="CD89" i="2"/>
  <c r="CD3" i="2"/>
  <c r="C9" i="4" s="1"/>
  <c r="E9" i="4" s="1"/>
  <c r="F9" i="4" s="1"/>
  <c r="G9" i="4" s="1"/>
  <c r="L9" i="4" s="1"/>
  <c r="CD107" i="2"/>
  <c r="CD91" i="2"/>
  <c r="CD45" i="2"/>
  <c r="CD6" i="2"/>
  <c r="CD46" i="2"/>
  <c r="CD69" i="2"/>
  <c r="CD132" i="2"/>
  <c r="CD24" i="2"/>
  <c r="CD180" i="2"/>
  <c r="CD145" i="2"/>
  <c r="CD55" i="2"/>
  <c r="CD166" i="2"/>
  <c r="CD118" i="2"/>
  <c r="CD106" i="2"/>
  <c r="CD47" i="2"/>
  <c r="CD191" i="2"/>
  <c r="CD159" i="2"/>
  <c r="CD203" i="2"/>
  <c r="CD73" i="2"/>
  <c r="CD74" i="2"/>
  <c r="CD152" i="2"/>
  <c r="CD34" i="2"/>
  <c r="CD72" i="2"/>
  <c r="CD26" i="2"/>
  <c r="CD36" i="2"/>
  <c r="CD143" i="2"/>
  <c r="CD192" i="2"/>
  <c r="CD78" i="2"/>
  <c r="CD126" i="2"/>
  <c r="CD150" i="2"/>
  <c r="CD153" i="2"/>
  <c r="CD119" i="2"/>
  <c r="CD120" i="2"/>
  <c r="CD85" i="2"/>
  <c r="CD51" i="2"/>
  <c r="CD93" i="2"/>
  <c r="CD112" i="2"/>
  <c r="CD138" i="2"/>
  <c r="CD30" i="2"/>
  <c r="CD48" i="2"/>
  <c r="CD42" i="2"/>
  <c r="CD86" i="2"/>
  <c r="CD127" i="2"/>
  <c r="CD113" i="2"/>
  <c r="CD54" i="2"/>
  <c r="CD186" i="2"/>
  <c r="CD163" i="2"/>
  <c r="CD156" i="2"/>
  <c r="CD82" i="2"/>
  <c r="CD64" i="2"/>
  <c r="CD83" i="2"/>
  <c r="CD31" i="2"/>
  <c r="CD194" i="2"/>
  <c r="CD182" i="2"/>
  <c r="CD161" i="2"/>
  <c r="CD4" i="2"/>
  <c r="CD43" i="2"/>
  <c r="CD67" i="2"/>
  <c r="CD115" i="2"/>
  <c r="CD200" i="2"/>
  <c r="CD124" i="2"/>
  <c r="CD44" i="2"/>
  <c r="CD160" i="2"/>
  <c r="CD202" i="2"/>
  <c r="CD87" i="2"/>
  <c r="CD100" i="2"/>
  <c r="CD68" i="2"/>
  <c r="CD168" i="2"/>
  <c r="CD144" i="2"/>
  <c r="CD172" i="2"/>
  <c r="CD32" i="2"/>
  <c r="CD183" i="2"/>
  <c r="CD29" i="2"/>
  <c r="CD110" i="2"/>
  <c r="CD104" i="2"/>
  <c r="CD196" i="2"/>
  <c r="CD38" i="2"/>
  <c r="CD114" i="2"/>
  <c r="CD181" i="2"/>
  <c r="CD179" i="2"/>
  <c r="CD198" i="2"/>
  <c r="CD27" i="2"/>
  <c r="CD76" i="2"/>
  <c r="CD37" i="2"/>
  <c r="CD147" i="2"/>
  <c r="CD61" i="2"/>
  <c r="CD189" i="2"/>
  <c r="CD139" i="2"/>
  <c r="CD56" i="2"/>
  <c r="CD137" i="2"/>
  <c r="CD185" i="2"/>
  <c r="CD80" i="2"/>
  <c r="CD128" i="2"/>
  <c r="CD84" i="2"/>
  <c r="CD12" i="2"/>
  <c r="CD13" i="2"/>
  <c r="CD199" i="2"/>
  <c r="CD164" i="2"/>
  <c r="CD97" i="2"/>
  <c r="CD146" i="2"/>
  <c r="CD105" i="2"/>
  <c r="CD175" i="2"/>
  <c r="CD10" i="2"/>
  <c r="CD52" i="2"/>
  <c r="CD65" i="2"/>
  <c r="CD129" i="2"/>
  <c r="CD5" i="2"/>
  <c r="CD11" i="2"/>
  <c r="CD16" i="2"/>
  <c r="CD193" i="2"/>
  <c r="CD40" i="2"/>
  <c r="CD123" i="2"/>
  <c r="CD142" i="2"/>
  <c r="CD14" i="2"/>
  <c r="CD154" i="2"/>
  <c r="CD131" i="2"/>
  <c r="CD101" i="2"/>
  <c r="CD88" i="2"/>
  <c r="CD177" i="2"/>
  <c r="CD117" i="2"/>
  <c r="CD92" i="2"/>
  <c r="CD7" i="2"/>
  <c r="CD33" i="2"/>
  <c r="CD39" i="2"/>
  <c r="CD66" i="2"/>
  <c r="CD134" i="2"/>
  <c r="CD158" i="2"/>
  <c r="CD94" i="2"/>
  <c r="CD176" i="2"/>
  <c r="CD197" i="2"/>
  <c r="CD8" i="2"/>
  <c r="CD178" i="2"/>
  <c r="CD58" i="2"/>
  <c r="CD188" i="2"/>
  <c r="CD21" i="2"/>
  <c r="CD155" i="2"/>
  <c r="CD81" i="2"/>
  <c r="CD149" i="2"/>
  <c r="CD23" i="2"/>
  <c r="CD169" i="2"/>
  <c r="CD133" i="2"/>
  <c r="CD63" i="2"/>
  <c r="CD53" i="2"/>
  <c r="CD167" i="2"/>
  <c r="CD71" i="2"/>
  <c r="CD99" i="2"/>
  <c r="CD41" i="2"/>
  <c r="CD75" i="2"/>
  <c r="CD17" i="2"/>
  <c r="CD195" i="2"/>
  <c r="CD102" i="2"/>
  <c r="CD116" i="2"/>
  <c r="CD157" i="2"/>
  <c r="CD165" i="2"/>
  <c r="CD96" i="2"/>
  <c r="CD50" i="2"/>
  <c r="CD111" i="2"/>
  <c r="CD130" i="2"/>
  <c r="CD136" i="2"/>
  <c r="CD184" i="2"/>
  <c r="CD79" i="2"/>
  <c r="CD190" i="2"/>
  <c r="CD174" i="2"/>
  <c r="CD95" i="2"/>
  <c r="CD121" i="2"/>
  <c r="CD108" i="2"/>
  <c r="CD140" i="2"/>
  <c r="CD162" i="2"/>
  <c r="CD25" i="2"/>
  <c r="CD49" i="2"/>
  <c r="CD15" i="2"/>
  <c r="CD170" i="2"/>
  <c r="CD20" i="2"/>
  <c r="CD109" i="2"/>
  <c r="CD187" i="2"/>
  <c r="CD135" i="2"/>
  <c r="CD201" i="2"/>
  <c r="CD62" i="2"/>
  <c r="CD35" i="2"/>
  <c r="CD59" i="2"/>
  <c r="CD98" i="2"/>
  <c r="CD9" i="2"/>
  <c r="CD173" i="2"/>
  <c r="CD171" i="2"/>
  <c r="CD77" i="2"/>
  <c r="CD28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90" i="2" l="1"/>
  <c r="BI201" i="2"/>
  <c r="BI47" i="2"/>
  <c r="BI15" i="2"/>
  <c r="BI188" i="2"/>
  <c r="BI189" i="2"/>
  <c r="BI107" i="2"/>
  <c r="BI51" i="2"/>
  <c r="BI164" i="2"/>
  <c r="BI78" i="2"/>
  <c r="BI95" i="2"/>
  <c r="BI36" i="2"/>
  <c r="BI35" i="2"/>
  <c r="BI105" i="2"/>
  <c r="BI124" i="2"/>
  <c r="BI153" i="2"/>
  <c r="BI53" i="2"/>
  <c r="BI62" i="2"/>
  <c r="BI32" i="2"/>
  <c r="BI50" i="2"/>
  <c r="BI176" i="2"/>
  <c r="BI116" i="2"/>
  <c r="BI175" i="2"/>
  <c r="BI171" i="2"/>
  <c r="BI141" i="2"/>
  <c r="BI75" i="2"/>
  <c r="BI192" i="2"/>
  <c r="BI89" i="2"/>
  <c r="BI126" i="2"/>
  <c r="BI80" i="2"/>
  <c r="BI134" i="2"/>
  <c r="BI155" i="2"/>
  <c r="BI58" i="2"/>
  <c r="BI81" i="2"/>
  <c r="BI144" i="2"/>
  <c r="BI41" i="2"/>
  <c r="BI132" i="2"/>
  <c r="BI42" i="2"/>
  <c r="BI129" i="2"/>
  <c r="BI178" i="2"/>
  <c r="BI162" i="2"/>
  <c r="BI43" i="2"/>
  <c r="BI194" i="2"/>
  <c r="BI183" i="2"/>
  <c r="BI34" i="2"/>
  <c r="BI3" i="2"/>
  <c r="C8" i="4" s="1"/>
  <c r="E8" i="4" s="1"/>
  <c r="F8" i="4" s="1"/>
  <c r="G8" i="4" s="1"/>
  <c r="L8" i="4" s="1"/>
  <c r="BI29" i="2"/>
  <c r="BI184" i="2"/>
  <c r="BI111" i="2"/>
  <c r="BI71" i="2"/>
  <c r="BI169" i="2"/>
  <c r="BI64" i="2"/>
  <c r="BI106" i="2"/>
  <c r="BI160" i="2"/>
  <c r="BI92" i="2"/>
  <c r="BI115" i="2"/>
  <c r="BI30" i="2"/>
  <c r="BI79" i="2"/>
  <c r="BI167" i="2"/>
  <c r="BI18" i="2"/>
  <c r="BI119" i="2"/>
  <c r="BI84" i="2"/>
  <c r="BI154" i="2"/>
  <c r="BI180" i="2"/>
  <c r="BI83" i="2"/>
  <c r="BI99" i="2"/>
  <c r="BI38" i="2"/>
  <c r="BI133" i="2"/>
  <c r="BI121" i="2"/>
  <c r="BI131" i="2"/>
  <c r="BI157" i="2"/>
  <c r="BI122" i="2"/>
  <c r="BI39" i="2"/>
  <c r="BI67" i="2"/>
  <c r="BI152" i="2"/>
  <c r="BI98" i="2"/>
  <c r="BI112" i="2"/>
  <c r="BI147" i="2"/>
  <c r="BI28" i="2"/>
  <c r="BI199" i="2"/>
  <c r="BI197" i="2"/>
  <c r="BI110" i="2"/>
  <c r="BI198" i="2"/>
  <c r="BI94" i="2"/>
  <c r="BI139" i="2"/>
  <c r="BI96" i="2"/>
  <c r="BI77" i="2"/>
  <c r="BI158" i="2"/>
  <c r="BI140" i="2"/>
  <c r="BI135" i="2"/>
  <c r="BI109" i="2"/>
  <c r="BI4" i="2"/>
  <c r="BI118" i="2"/>
  <c r="BI163" i="2"/>
  <c r="BI102" i="2"/>
  <c r="BI65" i="2"/>
  <c r="BI182" i="2"/>
  <c r="BI27" i="2"/>
  <c r="BI136" i="2"/>
  <c r="BI186" i="2"/>
  <c r="BI103" i="2"/>
  <c r="BI73" i="2"/>
  <c r="BI161" i="2"/>
  <c r="BI138" i="2"/>
  <c r="BI13" i="2"/>
  <c r="BI187" i="2"/>
  <c r="BI68" i="2"/>
  <c r="BI170" i="2"/>
  <c r="BI193" i="2"/>
  <c r="BI19" i="2"/>
  <c r="BI7" i="2"/>
  <c r="BI137" i="2"/>
  <c r="BI100" i="2"/>
  <c r="BI74" i="2"/>
  <c r="BI54" i="2"/>
  <c r="BI127" i="2"/>
  <c r="BI59" i="2"/>
  <c r="BI88" i="2"/>
  <c r="BI196" i="2"/>
  <c r="BI52" i="2"/>
  <c r="BI45" i="2"/>
  <c r="BI16" i="2"/>
  <c r="BI104" i="2"/>
  <c r="BI6" i="2"/>
  <c r="BI200" i="2"/>
  <c r="BI174" i="2"/>
  <c r="BI97" i="2"/>
  <c r="BI61" i="2"/>
  <c r="BI172" i="2"/>
  <c r="BI14" i="2"/>
  <c r="BI44" i="2"/>
  <c r="BI148" i="2"/>
  <c r="BI108" i="2"/>
  <c r="BI63" i="2"/>
  <c r="BI60" i="2"/>
  <c r="BI48" i="2"/>
  <c r="BI91" i="2"/>
  <c r="BI173" i="2"/>
  <c r="BI37" i="2"/>
  <c r="BI179" i="2"/>
  <c r="BI57" i="2"/>
  <c r="BI24" i="2"/>
  <c r="BI130" i="2"/>
  <c r="BI128" i="2"/>
  <c r="BI202" i="2"/>
  <c r="BI9" i="2"/>
  <c r="BI168" i="2"/>
  <c r="BI17" i="2"/>
  <c r="BI117" i="2"/>
  <c r="BI23" i="2"/>
  <c r="BI142" i="2"/>
  <c r="BI190" i="2"/>
  <c r="BI114" i="2"/>
  <c r="BI120" i="2"/>
  <c r="BI166" i="2"/>
  <c r="BI177" i="2"/>
  <c r="BI185" i="2"/>
  <c r="BI5" i="2"/>
  <c r="BI146" i="2"/>
  <c r="BI150" i="2"/>
  <c r="BI86" i="2"/>
  <c r="BI191" i="2"/>
  <c r="BI46" i="2"/>
  <c r="BI72" i="2"/>
  <c r="BI8" i="2"/>
  <c r="BI26" i="2"/>
  <c r="BI125" i="2"/>
  <c r="BI101" i="2"/>
  <c r="BI33" i="2"/>
  <c r="BI85" i="2"/>
  <c r="BI20" i="2"/>
  <c r="BI76" i="2"/>
  <c r="BI10" i="2"/>
  <c r="BI181" i="2"/>
  <c r="BI56" i="2"/>
  <c r="BI123" i="2"/>
  <c r="BI55" i="2"/>
  <c r="BI12" i="2"/>
  <c r="BI25" i="2"/>
  <c r="BI11" i="2"/>
  <c r="BI70" i="2"/>
  <c r="BI21" i="2"/>
  <c r="BI93" i="2"/>
  <c r="BI195" i="2"/>
  <c r="BI143" i="2"/>
  <c r="BI203" i="2"/>
  <c r="BI49" i="2"/>
  <c r="BI145" i="2"/>
  <c r="BI156" i="2"/>
  <c r="BI66" i="2"/>
  <c r="BI22" i="2"/>
  <c r="BI40" i="2"/>
  <c r="BI69" i="2"/>
  <c r="BI82" i="2"/>
  <c r="BI113" i="2"/>
  <c r="BI149" i="2"/>
  <c r="BI159" i="2"/>
  <c r="BI31" i="2"/>
  <c r="BI165" i="2"/>
  <c r="BI87" i="2"/>
  <c r="BI151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<sst xmlns="http://schemas.openxmlformats.org/spreadsheetml/2006/main" count="1169" uniqueCount="321">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</sst>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32" fillId="0" borderId="0"/>
  </cellStyleXfs>
  <cellXfs count="33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4">
    <cellStyle name="Lien hypertexte" xfId="2" builtinId="8"/>
    <cellStyle name="Normal" xfId="0" builtinId="0"/>
    <cellStyle name="Normal 2" xfId="3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236.37892704001897</c:v>
                </c:pt>
                <c:pt idx="32">
                  <c:v>255.14008587392505</c:v>
                </c:pt>
                <c:pt idx="33">
                  <c:v>273.870029571327</c:v>
                </c:pt>
                <c:pt idx="34">
                  <c:v>292.57119286733285</c:v>
                </c:pt>
                <c:pt idx="35">
                  <c:v>311.24567377041313</c:v>
                </c:pt>
                <c:pt idx="36">
                  <c:v>236.81560804160597</c:v>
                </c:pt>
                <c:pt idx="37">
                  <c:v>253.8322112206821</c:v>
                </c:pt>
                <c:pt idx="38">
                  <c:v>270.82299004195693</c:v>
                </c:pt>
                <c:pt idx="39">
                  <c:v>287.78979257936163</c:v>
                </c:pt>
                <c:pt idx="40">
                  <c:v>304.73423115701871</c:v>
                </c:pt>
                <c:pt idx="41">
                  <c:v>322.95870071836066</c:v>
                </c:pt>
                <c:pt idx="42">
                  <c:v>341.16043929184929</c:v>
                </c:pt>
                <c:pt idx="43">
                  <c:v>359.34082988600284</c:v>
                </c:pt>
                <c:pt idx="44">
                  <c:v>377.50110417225505</c:v>
                </c:pt>
                <c:pt idx="45">
                  <c:v>395.64236567985586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393.48365507240254</c:v>
                </c:pt>
                <c:pt idx="51">
                  <c:v>410.74628007457636</c:v>
                </c:pt>
                <c:pt idx="52">
                  <c:v>427.99324784652975</c:v>
                </c:pt>
                <c:pt idx="53">
                  <c:v>445.2252778905704</c:v>
                </c:pt>
                <c:pt idx="54">
                  <c:v>462.44302949249573</c:v>
                </c:pt>
                <c:pt idx="55">
                  <c:v>479.64710886178574</c:v>
                </c:pt>
                <c:pt idx="56">
                  <c:v>405.56917103469465</c:v>
                </c:pt>
                <c:pt idx="57">
                  <c:v>421.95854377334382</c:v>
                </c:pt>
                <c:pt idx="58">
                  <c:v>438.33421494585303</c:v>
                </c:pt>
                <c:pt idx="59">
                  <c:v>454.69676831549208</c:v>
                </c:pt>
                <c:pt idx="60">
                  <c:v>471.04674221919873</c:v>
                </c:pt>
                <c:pt idx="61">
                  <c:v>486.52503910078349</c:v>
                </c:pt>
                <c:pt idx="62">
                  <c:v>501.99288641186786</c:v>
                </c:pt>
                <c:pt idx="63">
                  <c:v>517.45065135367156</c:v>
                </c:pt>
                <c:pt idx="64">
                  <c:v>532.89867740865918</c:v>
                </c:pt>
                <c:pt idx="65">
                  <c:v>548.33728653000776</c:v>
                </c:pt>
                <c:pt idx="66">
                  <c:v>472.76708100439259</c:v>
                </c:pt>
                <c:pt idx="67">
                  <c:v>487.38463458913111</c:v>
                </c:pt>
                <c:pt idx="68">
                  <c:v>501.99288641186786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544.47850023404101</c:v>
                </c:pt>
                <c:pt idx="72">
                  <c:v>557.76748661196802</c:v>
                </c:pt>
                <c:pt idx="73">
                  <c:v>571.04984509200233</c:v>
                </c:pt>
                <c:pt idx="74">
                  <c:v>584.32575150478135</c:v>
                </c:pt>
                <c:pt idx="75">
                  <c:v>597.59537304263756</c:v>
                </c:pt>
                <c:pt idx="76">
                  <c:v>520.24058909412281</c:v>
                </c:pt>
                <c:pt idx="77">
                  <c:v>532.89867740865918</c:v>
                </c:pt>
                <c:pt idx="78">
                  <c:v>545.55044271381507</c:v>
                </c:pt>
                <c:pt idx="79">
                  <c:v>558.19605227369811</c:v>
                </c:pt>
                <c:pt idx="80">
                  <c:v>570.83566515785787</c:v>
                </c:pt>
                <c:pt idx="81">
                  <c:v>583.46943281911661</c:v>
                </c:pt>
                <c:pt idx="82">
                  <c:v>596.09749961876616</c:v>
                </c:pt>
                <c:pt idx="83">
                  <c:v>608.72000330496201</c:v>
                </c:pt>
                <c:pt idx="84">
                  <c:v>621.33707544939125</c:v>
                </c:pt>
                <c:pt idx="85">
                  <c:v>633.94884184663977</c:v>
                </c:pt>
                <c:pt idx="86">
                  <c:v>555.19594761174415</c:v>
                </c:pt>
                <c:pt idx="87">
                  <c:v>566.33749757672797</c:v>
                </c:pt>
                <c:pt idx="88">
                  <c:v>577.47446592353469</c:v>
                </c:pt>
                <c:pt idx="89">
                  <c:v>588.6069534508764</c:v>
                </c:pt>
                <c:pt idx="90">
                  <c:v>599.73505683441056</c:v>
                </c:pt>
                <c:pt idx="91">
                  <c:v>610.85886887037998</c:v>
                </c:pt>
                <c:pt idx="92">
                  <c:v>621.97847870058888</c:v>
                </c:pt>
                <c:pt idx="93">
                  <c:v>633.09397202046136</c:v>
                </c:pt>
                <c:pt idx="94">
                  <c:v>644.20543127172925</c:v>
                </c:pt>
                <c:pt idx="95">
                  <c:v>655.31293582114552</c:v>
                </c:pt>
                <c:pt idx="96">
                  <c:v>575.54723712647092</c:v>
                </c:pt>
                <c:pt idx="97">
                  <c:v>585.61018050264533</c:v>
                </c:pt>
                <c:pt idx="98">
                  <c:v>595.66952141128684</c:v>
                </c:pt>
                <c:pt idx="99">
                  <c:v>605.72532925827045</c:v>
                </c:pt>
                <c:pt idx="100">
                  <c:v>615.77767095740739</c:v>
                </c:pt>
                <c:pt idx="101">
                  <c:v>625.82661106001206</c:v>
                </c:pt>
                <c:pt idx="102">
                  <c:v>635.87221187571447</c:v>
                </c:pt>
                <c:pt idx="103">
                  <c:v>645.91453358524438</c:v>
                </c:pt>
                <c:pt idx="104">
                  <c:v>655.95363434584067</c:v>
                </c:pt>
                <c:pt idx="105">
                  <c:v>665.98957038987078</c:v>
                </c:pt>
                <c:pt idx="106">
                  <c:v>586.89455079472839</c:v>
                </c:pt>
                <c:pt idx="107">
                  <c:v>595.45552990892475</c:v>
                </c:pt>
                <c:pt idx="108">
                  <c:v>604.01394898352987</c:v>
                </c:pt>
                <c:pt idx="109">
                  <c:v>612.56984940724078</c:v>
                </c:pt>
                <c:pt idx="110">
                  <c:v>621.12327131831069</c:v>
                </c:pt>
                <c:pt idx="111">
                  <c:v>629.67425365939516</c:v>
                </c:pt>
                <c:pt idx="112">
                  <c:v>638.22283422926796</c:v>
                </c:pt>
                <c:pt idx="113">
                  <c:v>646.76904973161959</c:v>
                </c:pt>
                <c:pt idx="114">
                  <c:v>655.31293582114529</c:v>
                </c:pt>
                <c:pt idx="115">
                  <c:v>663.85452714710391</c:v>
                </c:pt>
                <c:pt idx="116">
                  <c:v>592.03144782908782</c:v>
                </c:pt>
                <c:pt idx="117">
                  <c:v>599.30713279218173</c:v>
                </c:pt>
                <c:pt idx="118">
                  <c:v>606.5809817190169</c:v>
                </c:pt>
                <c:pt idx="119">
                  <c:v>613.85301973416608</c:v>
                </c:pt>
                <c:pt idx="120">
                  <c:v>621.12327131831046</c:v>
                </c:pt>
                <c:pt idx="121">
                  <c:v>628.39176033224692</c:v>
                </c:pt>
                <c:pt idx="122">
                  <c:v>635.65851003972909</c:v>
                </c:pt>
                <c:pt idx="123">
                  <c:v>642.92354312920827</c:v>
                </c:pt>
                <c:pt idx="124">
                  <c:v>650.18688173454188</c:v>
                </c:pt>
                <c:pt idx="125">
                  <c:v>657.44854745472628</c:v>
                </c:pt>
                <c:pt idx="126">
                  <c:v>593.31552677912521</c:v>
                </c:pt>
                <c:pt idx="127">
                  <c:v>599.73505683440965</c:v>
                </c:pt>
                <c:pt idx="128">
                  <c:v>606.15315862414116</c:v>
                </c:pt>
                <c:pt idx="129">
                  <c:v>612.56984940724044</c:v>
                </c:pt>
                <c:pt idx="130">
                  <c:v>618.98514605149035</c:v>
                </c:pt>
                <c:pt idx="131">
                  <c:v>625.39906504645319</c:v>
                </c:pt>
                <c:pt idx="132">
                  <c:v>631.81162251582498</c:v>
                </c:pt>
                <c:pt idx="133">
                  <c:v>638.22283422926751</c:v>
                </c:pt>
                <c:pt idx="134">
                  <c:v>644.63271561373597</c:v>
                </c:pt>
                <c:pt idx="135">
                  <c:v>651.04128176433551</c:v>
                </c:pt>
                <c:pt idx="136">
                  <c:v>594.59954789333835</c:v>
                </c:pt>
                <c:pt idx="137">
                  <c:v>600.16297452894037</c:v>
                </c:pt>
                <c:pt idx="138">
                  <c:v>605.72532925826988</c:v>
                </c:pt>
                <c:pt idx="139">
                  <c:v>611.28662331597127</c:v>
                </c:pt>
                <c:pt idx="140">
                  <c:v>616.84686771553879</c:v>
                </c:pt>
                <c:pt idx="141">
                  <c:v>622.40607325566725</c:v>
                </c:pt>
                <c:pt idx="142">
                  <c:v>627.96425052636596</c:v>
                </c:pt>
                <c:pt idx="143">
                  <c:v>633.52140991484077</c:v>
                </c:pt>
                <c:pt idx="144">
                  <c:v>639.07756161116481</c:v>
                </c:pt>
                <c:pt idx="145">
                  <c:v>644.63271561373642</c:v>
                </c:pt>
                <c:pt idx="146">
                  <c:v>649.33245855121572</c:v>
                </c:pt>
                <c:pt idx="147">
                  <c:v>654.03150003454175</c:v>
                </c:pt>
                <c:pt idx="148">
                  <c:v>658.72984581562559</c:v>
                </c:pt>
                <c:pt idx="149">
                  <c:v>663.42750155761553</c:v>
                </c:pt>
                <c:pt idx="150">
                  <c:v>668.12447283689983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0259232"/>
        <c:axId val="-170265760"/>
      </c:scatterChart>
      <c:valAx>
        <c:axId val="-1702592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265760"/>
        <c:crosses val="autoZero"/>
        <c:crossBetween val="midCat"/>
      </c:valAx>
      <c:valAx>
        <c:axId val="-170265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2592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76274976"/>
        <c:axId val="-2076276608"/>
      </c:scatterChart>
      <c:valAx>
        <c:axId val="-20762749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76276608"/>
        <c:crosses val="autoZero"/>
        <c:crossBetween val="midCat"/>
      </c:valAx>
      <c:valAx>
        <c:axId val="-207627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76274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211.51703386842772</c:v>
                </c:pt>
                <c:pt idx="32">
                  <c:v>228.30032906802219</c:v>
                </c:pt>
                <c:pt idx="33">
                  <c:v>245.05539887630434</c:v>
                </c:pt>
                <c:pt idx="34">
                  <c:v>261.78444483261882</c:v>
                </c:pt>
                <c:pt idx="35">
                  <c:v>278.48936400091259</c:v>
                </c:pt>
                <c:pt idx="36">
                  <c:v>211.90768212600278</c:v>
                </c:pt>
                <c:pt idx="37">
                  <c:v>227.1303449649258</c:v>
                </c:pt>
                <c:pt idx="38">
                  <c:v>242.32965686946343</c:v>
                </c:pt>
                <c:pt idx="39">
                  <c:v>257.5072889074288</c:v>
                </c:pt>
                <c:pt idx="40">
                  <c:v>272.6646989766358</c:v>
                </c:pt>
                <c:pt idx="41">
                  <c:v>288.96691630985214</c:v>
                </c:pt>
                <c:pt idx="42">
                  <c:v>305.24857979967942</c:v>
                </c:pt>
                <c:pt idx="43">
                  <c:v>321.51093999187799</c:v>
                </c:pt>
                <c:pt idx="44">
                  <c:v>337.75511058999291</c:v>
                </c:pt>
                <c:pt idx="45">
                  <c:v>353.98208942867723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320.34995854628932</c:v>
                </c:pt>
                <c:pt idx="49">
                  <c:v>336.20880231759611</c:v>
                </c:pt>
                <c:pt idx="50">
                  <c:v>352.05117734371055</c:v>
                </c:pt>
                <c:pt idx="51">
                  <c:v>367.49209034996028</c:v>
                </c:pt>
                <c:pt idx="52">
                  <c:v>382.9188457551441</c:v>
                </c:pt>
                <c:pt idx="53">
                  <c:v>398.33209414857424</c:v>
                </c:pt>
                <c:pt idx="54">
                  <c:v>413.73243167051163</c:v>
                </c:pt>
                <c:pt idx="55">
                  <c:v>429.1204064684805</c:v>
                </c:pt>
                <c:pt idx="56">
                  <c:v>362.86133414806528</c:v>
                </c:pt>
                <c:pt idx="57">
                  <c:v>377.52104986809326</c:v>
                </c:pt>
                <c:pt idx="58">
                  <c:v>392.16837634017276</c:v>
                </c:pt>
                <c:pt idx="59">
                  <c:v>406.80384141548683</c:v>
                </c:pt>
                <c:pt idx="60">
                  <c:v>421.42793186976087</c:v>
                </c:pt>
                <c:pt idx="61">
                  <c:v>435.27224940464231</c:v>
                </c:pt>
                <c:pt idx="62">
                  <c:v>449.10711821530072</c:v>
                </c:pt>
                <c:pt idx="63">
                  <c:v>462.93287033289988</c:v>
                </c:pt>
                <c:pt idx="64">
                  <c:v>476.74981634160099</c:v>
                </c:pt>
                <c:pt idx="65">
                  <c:v>490.55824735832402</c:v>
                </c:pt>
                <c:pt idx="66">
                  <c:v>422.96666682108577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462.16500679362093</c:v>
                </c:pt>
                <c:pt idx="70">
                  <c:v>475.21502577729035</c:v>
                </c:pt>
                <c:pt idx="71">
                  <c:v>487.10692264565643</c:v>
                </c:pt>
                <c:pt idx="72">
                  <c:v>498.99265901764255</c:v>
                </c:pt>
                <c:pt idx="73">
                  <c:v>510.87240230317911</c:v>
                </c:pt>
                <c:pt idx="74">
                  <c:v>522.74631149207403</c:v>
                </c:pt>
                <c:pt idx="75">
                  <c:v>534.61453776319524</c:v>
                </c:pt>
                <c:pt idx="76">
                  <c:v>465.42823942861133</c:v>
                </c:pt>
                <c:pt idx="77">
                  <c:v>476.74981634160099</c:v>
                </c:pt>
                <c:pt idx="78">
                  <c:v>488.06567585482804</c:v>
                </c:pt>
                <c:pt idx="79">
                  <c:v>499.37596921206153</c:v>
                </c:pt>
                <c:pt idx="80">
                  <c:v>510.68084024737624</c:v>
                </c:pt>
                <c:pt idx="81">
                  <c:v>521.98042590763998</c:v>
                </c:pt>
                <c:pt idx="82">
                  <c:v>533.27485672740784</c:v>
                </c:pt>
                <c:pt idx="83">
                  <c:v>544.5642572614961</c:v>
                </c:pt>
                <c:pt idx="84">
                  <c:v>555.84874647982645</c:v>
                </c:pt>
                <c:pt idx="85">
                  <c:v>567.12843812854328</c:v>
                </c:pt>
                <c:pt idx="86">
                  <c:v>496.69266671205543</c:v>
                </c:pt>
                <c:pt idx="87">
                  <c:v>506.65768536589218</c:v>
                </c:pt>
                <c:pt idx="88">
                  <c:v>516.61856122298411</c:v>
                </c:pt>
                <c:pt idx="89">
                  <c:v>526.57538542767418</c:v>
                </c:pt>
                <c:pt idx="90">
                  <c:v>536.52824539615074</c:v>
                </c:pt>
                <c:pt idx="91">
                  <c:v>546.477225036753</c:v>
                </c:pt>
                <c:pt idx="92">
                  <c:v>556.42240495339968</c:v>
                </c:pt>
                <c:pt idx="93">
                  <c:v>566.36386263371753</c:v>
                </c:pt>
                <c:pt idx="94">
                  <c:v>576.30167262327768</c:v>
                </c:pt>
                <c:pt idx="95">
                  <c:v>586.23590668718782</c:v>
                </c:pt>
                <c:pt idx="96">
                  <c:v>514.89485591885284</c:v>
                </c:pt>
                <c:pt idx="97">
                  <c:v>523.89509553418213</c:v>
                </c:pt>
                <c:pt idx="98">
                  <c:v>532.89207772163536</c:v>
                </c:pt>
                <c:pt idx="99">
                  <c:v>541.88586523948277</c:v>
                </c:pt>
                <c:pt idx="100">
                  <c:v>550.87651859261814</c:v>
                </c:pt>
                <c:pt idx="101">
                  <c:v>559.86409614971478</c:v>
                </c:pt>
                <c:pt idx="102">
                  <c:v>568.84865425246687</c:v>
                </c:pt>
                <c:pt idx="103">
                  <c:v>577.83024731757303</c:v>
                </c:pt>
                <c:pt idx="104">
                  <c:v>586.80892793204634</c:v>
                </c:pt>
                <c:pt idx="105">
                  <c:v>595.7847469423923</c:v>
                </c:pt>
                <c:pt idx="106">
                  <c:v>525.0438264932726</c:v>
                </c:pt>
                <c:pt idx="107">
                  <c:v>532.70068604986363</c:v>
                </c:pt>
                <c:pt idx="108">
                  <c:v>540.35523076412676</c:v>
                </c:pt>
                <c:pt idx="109">
                  <c:v>548.00749806060401</c:v>
                </c:pt>
                <c:pt idx="110">
                  <c:v>555.6575242331586</c:v>
                </c:pt>
                <c:pt idx="111">
                  <c:v>563.30534449456957</c:v>
                </c:pt>
                <c:pt idx="112">
                  <c:v>570.95099302329265</c:v>
                </c:pt>
                <c:pt idx="113">
                  <c:v>578.59450300758692</c:v>
                </c:pt>
                <c:pt idx="114">
                  <c:v>586.23590668718737</c:v>
                </c:pt>
                <c:pt idx="115">
                  <c:v>593.87523539269193</c:v>
                </c:pt>
                <c:pt idx="116">
                  <c:v>529.63822214325501</c:v>
                </c:pt>
                <c:pt idx="117">
                  <c:v>536.14551536775127</c:v>
                </c:pt>
                <c:pt idx="118">
                  <c:v>542.65114840915487</c:v>
                </c:pt>
                <c:pt idx="119">
                  <c:v>549.1551439856396</c:v>
                </c:pt>
                <c:pt idx="120">
                  <c:v>555.65752423315837</c:v>
                </c:pt>
                <c:pt idx="121">
                  <c:v>562.1583107271523</c:v>
                </c:pt>
                <c:pt idx="122">
                  <c:v>568.65752450320281</c:v>
                </c:pt>
                <c:pt idx="123">
                  <c:v>575.15518607669117</c:v>
                </c:pt>
                <c:pt idx="124">
                  <c:v>581.65131546152202</c:v>
                </c:pt>
                <c:pt idx="125">
                  <c:v>588.1459321879687</c:v>
                </c:pt>
                <c:pt idx="126">
                  <c:v>530.78668966466228</c:v>
                </c:pt>
                <c:pt idx="127">
                  <c:v>536.52824539615006</c:v>
                </c:pt>
                <c:pt idx="128">
                  <c:v>542.26850965950268</c:v>
                </c:pt>
                <c:pt idx="129">
                  <c:v>548.00749806060355</c:v>
                </c:pt>
                <c:pt idx="130">
                  <c:v>553.74522585166198</c:v>
                </c:pt>
                <c:pt idx="131">
                  <c:v>559.48170794289069</c:v>
                </c:pt>
                <c:pt idx="132">
                  <c:v>565.21695891367949</c:v>
                </c:pt>
                <c:pt idx="133">
                  <c:v>570.95099302329209</c:v>
                </c:pt>
                <c:pt idx="134">
                  <c:v>576.68382422111051</c:v>
                </c:pt>
                <c:pt idx="135">
                  <c:v>582.41546615644995</c:v>
                </c:pt>
                <c:pt idx="136">
                  <c:v>531.93510488968548</c:v>
                </c:pt>
                <c:pt idx="137">
                  <c:v>536.91096968482555</c:v>
                </c:pt>
                <c:pt idx="138">
                  <c:v>541.88586523948231</c:v>
                </c:pt>
                <c:pt idx="139">
                  <c:v>546.85980171226049</c:v>
                </c:pt>
                <c:pt idx="140">
                  <c:v>551.83278906179623</c:v>
                </c:pt>
                <c:pt idx="141">
                  <c:v>556.80483705249947</c:v>
                </c:pt>
                <c:pt idx="142">
                  <c:v>561.77595526008179</c:v>
                </c:pt>
                <c:pt idx="143">
                  <c:v>566.74615307687668</c:v>
                </c:pt>
                <c:pt idx="144">
                  <c:v>571.71543971696474</c:v>
                </c:pt>
                <c:pt idx="145">
                  <c:v>576.68382422111085</c:v>
                </c:pt>
                <c:pt idx="146">
                  <c:v>580.88714383067679</c:v>
                </c:pt>
                <c:pt idx="147">
                  <c:v>585.08982917045671</c:v>
                </c:pt>
                <c:pt idx="148">
                  <c:v>589.29188544145063</c:v>
                </c:pt>
                <c:pt idx="149">
                  <c:v>593.4933177643976</c:v>
                </c:pt>
                <c:pt idx="150">
                  <c:v>597.6941311815873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0263040"/>
        <c:axId val="-170261408"/>
      </c:scatterChart>
      <c:valAx>
        <c:axId val="-1702630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261408"/>
        <c:crosses val="autoZero"/>
        <c:crossBetween val="midCat"/>
      </c:valAx>
      <c:valAx>
        <c:axId val="-17026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263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165.46209858933364</c:v>
                </c:pt>
                <c:pt idx="27">
                  <c:v>181.80332238755173</c:v>
                </c:pt>
                <c:pt idx="28">
                  <c:v>198.11017765361632</c:v>
                </c:pt>
                <c:pt idx="29">
                  <c:v>214.38589248354245</c:v>
                </c:pt>
                <c:pt idx="30">
                  <c:v>230.63316428689711</c:v>
                </c:pt>
                <c:pt idx="31">
                  <c:v>250.55849998563042</c:v>
                </c:pt>
                <c:pt idx="32">
                  <c:v>270.44791665188342</c:v>
                </c:pt>
                <c:pt idx="33">
                  <c:v>290.30442679080193</c:v>
                </c:pt>
                <c:pt idx="34">
                  <c:v>310.1305970635114</c:v>
                </c:pt>
                <c:pt idx="35">
                  <c:v>329.92863915898073</c:v>
                </c:pt>
                <c:pt idx="36">
                  <c:v>251.02143985985217</c:v>
                </c:pt>
                <c:pt idx="37">
                  <c:v>269.06138287277031</c:v>
                </c:pt>
                <c:pt idx="38">
                  <c:v>287.07410223616915</c:v>
                </c:pt>
                <c:pt idx="39">
                  <c:v>305.06154616178657</c:v>
                </c:pt>
                <c:pt idx="40">
                  <c:v>323.02541433745813</c:v>
                </c:pt>
                <c:pt idx="41">
                  <c:v>342.34646391464622</c:v>
                </c:pt>
                <c:pt idx="42">
                  <c:v>361.64355082638076</c:v>
                </c:pt>
                <c:pt idx="43">
                  <c:v>380.91813301943722</c:v>
                </c:pt>
                <c:pt idx="44">
                  <c:v>400.17150890331294</c:v>
                </c:pt>
                <c:pt idx="45">
                  <c:v>419.40484180194295</c:v>
                </c:pt>
                <c:pt idx="46">
                  <c:v>341.8867235390631</c:v>
                </c:pt>
                <c:pt idx="47">
                  <c:v>360.72516312195711</c:v>
                </c:pt>
                <c:pt idx="48">
                  <c:v>379.542094974186</c:v>
                </c:pt>
                <c:pt idx="49">
                  <c:v>398.33873496539167</c:v>
                </c:pt>
                <c:pt idx="50">
                  <c:v>417.11617489634523</c:v>
                </c:pt>
                <c:pt idx="51">
                  <c:v>435.41806774560092</c:v>
                </c:pt>
                <c:pt idx="52">
                  <c:v>453.70345497828924</c:v>
                </c:pt>
                <c:pt idx="53">
                  <c:v>471.97309508291983</c:v>
                </c:pt>
                <c:pt idx="54">
                  <c:v>490.22768306866254</c:v>
                </c:pt>
                <c:pt idx="55">
                  <c:v>508.46785799243207</c:v>
                </c:pt>
                <c:pt idx="56">
                  <c:v>429.92926929891945</c:v>
                </c:pt>
                <c:pt idx="57">
                  <c:v>447.30539808561917</c:v>
                </c:pt>
                <c:pt idx="58">
                  <c:v>464.66708288740648</c:v>
                </c:pt>
                <c:pt idx="59">
                  <c:v>482.01493909873858</c:v>
                </c:pt>
                <c:pt idx="60">
                  <c:v>499.34953422631742</c:v>
                </c:pt>
                <c:pt idx="61">
                  <c:v>515.7600258871305</c:v>
                </c:pt>
                <c:pt idx="62">
                  <c:v>532.15950176791512</c:v>
                </c:pt>
                <c:pt idx="63">
                  <c:v>548.54834896667228</c:v>
                </c:pt>
                <c:pt idx="64">
                  <c:v>564.92692957744998</c:v>
                </c:pt>
                <c:pt idx="65">
                  <c:v>581.29558299844393</c:v>
                </c:pt>
                <c:pt idx="66">
                  <c:v>501.17347881997517</c:v>
                </c:pt>
                <c:pt idx="67">
                  <c:v>516.67139318273325</c:v>
                </c:pt>
                <c:pt idx="68">
                  <c:v>532.15950176791512</c:v>
                </c:pt>
                <c:pt idx="69">
                  <c:v>547.63813003167172</c:v>
                </c:pt>
                <c:pt idx="70">
                  <c:v>563.10758354108657</c:v>
                </c:pt>
                <c:pt idx="71">
                  <c:v>577.20433255089188</c:v>
                </c:pt>
                <c:pt idx="72">
                  <c:v>591.29389935584197</c:v>
                </c:pt>
                <c:pt idx="73">
                  <c:v>605.37647913053661</c:v>
                </c:pt>
                <c:pt idx="74">
                  <c:v>619.45225723298938</c:v>
                </c:pt>
                <c:pt idx="75">
                  <c:v>633.52140991484157</c:v>
                </c:pt>
                <c:pt idx="76">
                  <c:v>551.50634201733726</c:v>
                </c:pt>
                <c:pt idx="77">
                  <c:v>564.92692957744987</c:v>
                </c:pt>
                <c:pt idx="78">
                  <c:v>578.34085151619058</c:v>
                </c:pt>
                <c:pt idx="79">
                  <c:v>591.74828416086518</c:v>
                </c:pt>
                <c:pt idx="80">
                  <c:v>605.14939520020005</c:v>
                </c:pt>
                <c:pt idx="81">
                  <c:v>618.54434429348237</c:v>
                </c:pt>
                <c:pt idx="82">
                  <c:v>631.9332836242138</c:v>
                </c:pt>
                <c:pt idx="83">
                  <c:v>645.31635840442812</c:v>
                </c:pt>
                <c:pt idx="84">
                  <c:v>658.69370733501853</c:v>
                </c:pt>
                <c:pt idx="85">
                  <c:v>672.06546302674553</c:v>
                </c:pt>
                <c:pt idx="86">
                  <c:v>588.56743763742293</c:v>
                </c:pt>
                <c:pt idx="87">
                  <c:v>600.38022262303082</c:v>
                </c:pt>
                <c:pt idx="88">
                  <c:v>612.18817773567719</c:v>
                </c:pt>
                <c:pt idx="89">
                  <c:v>623.99140923584866</c:v>
                </c:pt>
                <c:pt idx="90">
                  <c:v>635.79001903756864</c:v>
                </c:pt>
                <c:pt idx="91">
                  <c:v>647.58410496524004</c:v>
                </c:pt>
                <c:pt idx="92">
                  <c:v>659.37376099081337</c:v>
                </c:pt>
                <c:pt idx="93">
                  <c:v>671.1590774531137</c:v>
                </c:pt>
                <c:pt idx="94">
                  <c:v>682.94014126097579</c:v>
                </c:pt>
                <c:pt idx="95">
                  <c:v>694.71703608163614</c:v>
                </c:pt>
                <c:pt idx="96">
                  <c:v>610.14483413808227</c:v>
                </c:pt>
                <c:pt idx="97">
                  <c:v>620.81407495489407</c:v>
                </c:pt>
                <c:pt idx="98">
                  <c:v>631.47951810462462</c:v>
                </c:pt>
                <c:pt idx="99">
                  <c:v>642.14123675390272</c:v>
                </c:pt>
                <c:pt idx="100">
                  <c:v>652.79930144226262</c:v>
                </c:pt>
                <c:pt idx="101">
                  <c:v>663.45378021872796</c:v>
                </c:pt>
                <c:pt idx="102">
                  <c:v>674.10473876917354</c:v>
                </c:pt>
                <c:pt idx="103">
                  <c:v>684.75224053521981</c:v>
                </c:pt>
                <c:pt idx="104">
                  <c:v>695.39634682535268</c:v>
                </c:pt>
                <c:pt idx="105">
                  <c:v>706.03711691888873</c:v>
                </c:pt>
                <c:pt idx="106">
                  <c:v>622.17583079004783</c:v>
                </c:pt>
                <c:pt idx="107">
                  <c:v>631.25263281623836</c:v>
                </c:pt>
                <c:pt idx="108">
                  <c:v>640.32673608720222</c:v>
                </c:pt>
                <c:pt idx="109">
                  <c:v>649.39818423428153</c:v>
                </c:pt>
                <c:pt idx="110">
                  <c:v>658.46701957061885</c:v>
                </c:pt>
                <c:pt idx="111">
                  <c:v>667.5332831489759</c:v>
                </c:pt>
                <c:pt idx="112">
                  <c:v>676.59701481625132</c:v>
                </c:pt>
                <c:pt idx="113">
                  <c:v>685.65825326492347</c:v>
                </c:pt>
                <c:pt idx="114">
                  <c:v>694.71703608163591</c:v>
                </c:pt>
                <c:pt idx="115">
                  <c:v>703.77339979311603</c:v>
                </c:pt>
                <c:pt idx="116">
                  <c:v>627.62223834541555</c:v>
                </c:pt>
                <c:pt idx="117">
                  <c:v>635.33631061817152</c:v>
                </c:pt>
                <c:pt idx="118">
                  <c:v>643.04844736912321</c:v>
                </c:pt>
                <c:pt idx="119">
                  <c:v>650.75867508421697</c:v>
                </c:pt>
                <c:pt idx="120">
                  <c:v>658.46701957061839</c:v>
                </c:pt>
                <c:pt idx="121">
                  <c:v>666.17350598202131</c:v>
                </c:pt>
                <c:pt idx="122">
                  <c:v>673.87815884272425</c:v>
                </c:pt>
                <c:pt idx="123">
                  <c:v>681.58100207055156</c:v>
                </c:pt>
                <c:pt idx="124">
                  <c:v>689.2820589986826</c:v>
                </c:pt>
                <c:pt idx="125">
                  <c:v>696.98135239645444</c:v>
                </c:pt>
                <c:pt idx="126">
                  <c:v>628.9836870521674</c:v>
                </c:pt>
                <c:pt idx="127">
                  <c:v>635.79001903756773</c:v>
                </c:pt>
                <c:pt idx="128">
                  <c:v>642.59484536690752</c:v>
                </c:pt>
                <c:pt idx="129">
                  <c:v>649.39818423428108</c:v>
                </c:pt>
                <c:pt idx="130">
                  <c:v>656.20005342145203</c:v>
                </c:pt>
                <c:pt idx="131">
                  <c:v>663.00047031146812</c:v>
                </c:pt>
                <c:pt idx="132">
                  <c:v>669.79945190168769</c:v>
                </c:pt>
                <c:pt idx="133">
                  <c:v>676.59701481625063</c:v>
                </c:pt>
                <c:pt idx="134">
                  <c:v>683.39317531802135</c:v>
                </c:pt>
                <c:pt idx="135">
                  <c:v>690.18794932003266</c:v>
                </c:pt>
                <c:pt idx="136">
                  <c:v>630.34507478926355</c:v>
                </c:pt>
                <c:pt idx="137">
                  <c:v>636.24372076531688</c:v>
                </c:pt>
                <c:pt idx="138">
                  <c:v>642.14123675390226</c:v>
                </c:pt>
                <c:pt idx="139">
                  <c:v>648.03763459841321</c:v>
                </c:pt>
                <c:pt idx="140">
                  <c:v>653.93292590910937</c:v>
                </c:pt>
                <c:pt idx="141">
                  <c:v>659.82712206981262</c:v>
                </c:pt>
                <c:pt idx="142">
                  <c:v>665.72023424435088</c:v>
                </c:pt>
                <c:pt idx="143">
                  <c:v>671.61227338276092</c:v>
                </c:pt>
                <c:pt idx="144">
                  <c:v>677.50325022726418</c:v>
                </c:pt>
                <c:pt idx="145">
                  <c:v>683.39317531802192</c:v>
                </c:pt>
                <c:pt idx="146">
                  <c:v>688.37614426922676</c:v>
                </c:pt>
                <c:pt idx="147">
                  <c:v>693.35837375801509</c:v>
                </c:pt>
                <c:pt idx="148">
                  <c:v>698.33986984796502</c:v>
                </c:pt>
                <c:pt idx="149">
                  <c:v>703.32063850908264</c:v>
                </c:pt>
                <c:pt idx="150">
                  <c:v>708.3006856199122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0258688"/>
        <c:axId val="-170256512"/>
      </c:scatterChart>
      <c:valAx>
        <c:axId val="-1702586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256512"/>
        <c:crosses val="autoZero"/>
        <c:crossBetween val="midCat"/>
      </c:valAx>
      <c:valAx>
        <c:axId val="-170256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2586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2.1350786004664535</c:v>
                </c:pt>
                <c:pt idx="2">
                  <c:v>2.6921717481430694</c:v>
                </c:pt>
                <c:pt idx="3">
                  <c:v>3.3951979925602132</c:v>
                </c:pt>
                <c:pt idx="4">
                  <c:v>4.2825271299889929</c:v>
                </c:pt>
                <c:pt idx="5">
                  <c:v>5.4026523830368793</c:v>
                </c:pt>
                <c:pt idx="6">
                  <c:v>6.8168699269517186</c:v>
                </c:pt>
                <c:pt idx="7">
                  <c:v>8.6026697455530794</c:v>
                </c:pt>
                <c:pt idx="8">
                  <c:v>10.858027163519033</c:v>
                </c:pt>
                <c:pt idx="9">
                  <c:v>13.706834927621495</c:v>
                </c:pt>
                <c:pt idx="10">
                  <c:v>17.305779747951522</c:v>
                </c:pt>
                <c:pt idx="11">
                  <c:v>21.853048382275563</c:v>
                </c:pt>
                <c:pt idx="12">
                  <c:v>27.599351245605177</c:v>
                </c:pt>
                <c:pt idx="13">
                  <c:v>34.861881979556053</c:v>
                </c:pt>
                <c:pt idx="14">
                  <c:v>44.041996814142045</c:v>
                </c:pt>
                <c:pt idx="15">
                  <c:v>55.647607276796499</c:v>
                </c:pt>
                <c:pt idx="16">
                  <c:v>72.542905122967582</c:v>
                </c:pt>
                <c:pt idx="17">
                  <c:v>89.336953064344058</c:v>
                </c:pt>
                <c:pt idx="18">
                  <c:v>106.05159327760617</c:v>
                </c:pt>
                <c:pt idx="19">
                  <c:v>122.70115105309355</c:v>
                </c:pt>
                <c:pt idx="20">
                  <c:v>139.29572121624975</c:v>
                </c:pt>
                <c:pt idx="21">
                  <c:v>95.685441973812658</c:v>
                </c:pt>
                <c:pt idx="22">
                  <c:v>113.80965748960364</c:v>
                </c:pt>
                <c:pt idx="23">
                  <c:v>131.86304956724535</c:v>
                </c:pt>
                <c:pt idx="24">
                  <c:v>149.85670075971805</c:v>
                </c:pt>
                <c:pt idx="25">
                  <c:v>167.79880331835713</c:v>
                </c:pt>
                <c:pt idx="26">
                  <c:v>184.84436712462625</c:v>
                </c:pt>
                <c:pt idx="27">
                  <c:v>201.85320984852044</c:v>
                </c:pt>
                <c:pt idx="28">
                  <c:v>218.82886210158492</c:v>
                </c:pt>
                <c:pt idx="29">
                  <c:v>235.77426141652714</c:v>
                </c:pt>
                <c:pt idx="30">
                  <c:v>252.69188827494608</c:v>
                </c:pt>
                <c:pt idx="31">
                  <c:v>188.53260053056843</c:v>
                </c:pt>
                <c:pt idx="32">
                  <c:v>203.55221605106576</c:v>
                </c:pt>
                <c:pt idx="33">
                  <c:v>218.54618993520364</c:v>
                </c:pt>
                <c:pt idx="34">
                  <c:v>233.516529591107</c:v>
                </c:pt>
                <c:pt idx="35">
                  <c:v>248.46496383915073</c:v>
                </c:pt>
                <c:pt idx="36">
                  <c:v>261.98552595095441</c:v>
                </c:pt>
                <c:pt idx="37">
                  <c:v>275.49034176419684</c:v>
                </c:pt>
                <c:pt idx="38">
                  <c:v>288.9802920988015</c:v>
                </c:pt>
                <c:pt idx="39">
                  <c:v>302.45616879398858</c:v>
                </c:pt>
                <c:pt idx="40">
                  <c:v>315.91868734548342</c:v>
                </c:pt>
                <c:pt idx="41">
                  <c:v>248.74680925585417</c:v>
                </c:pt>
                <c:pt idx="42">
                  <c:v>260.29633594452849</c:v>
                </c:pt>
                <c:pt idx="43">
                  <c:v>271.83429043682298</c:v>
                </c:pt>
                <c:pt idx="44">
                  <c:v>283.36123337871334</c:v>
                </c:pt>
                <c:pt idx="45">
                  <c:v>294.87767605242135</c:v>
                </c:pt>
                <c:pt idx="46">
                  <c:v>304.70083122716051</c:v>
                </c:pt>
                <c:pt idx="47">
                  <c:v>314.51694528188875</c:v>
                </c:pt>
                <c:pt idx="48">
                  <c:v>324.32626909194659</c:v>
                </c:pt>
                <c:pt idx="49">
                  <c:v>334.12903710888418</c:v>
                </c:pt>
                <c:pt idx="50">
                  <c:v>343.92546889640693</c:v>
                </c:pt>
                <c:pt idx="51">
                  <c:v>298.24642451478036</c:v>
                </c:pt>
                <c:pt idx="52">
                  <c:v>307.22563699685162</c:v>
                </c:pt>
                <c:pt idx="53">
                  <c:v>316.19901919428293</c:v>
                </c:pt>
                <c:pt idx="54">
                  <c:v>325.16676002004425</c:v>
                </c:pt>
                <c:pt idx="55">
                  <c:v>334.12903710888418</c:v>
                </c:pt>
                <c:pt idx="56">
                  <c:v>341.12712268545334</c:v>
                </c:pt>
                <c:pt idx="57">
                  <c:v>348.12205150612658</c:v>
                </c:pt>
                <c:pt idx="58">
                  <c:v>355.11389600890419</c:v>
                </c:pt>
                <c:pt idx="59">
                  <c:v>362.10272554389985</c:v>
                </c:pt>
                <c:pt idx="60">
                  <c:v>369.0886065633519</c:v>
                </c:pt>
                <c:pt idx="61">
                  <c:v>340.28752055444625</c:v>
                </c:pt>
                <c:pt idx="62">
                  <c:v>346.44355255688691</c:v>
                </c:pt>
                <c:pt idx="63">
                  <c:v>352.59718287003449</c:v>
                </c:pt>
                <c:pt idx="64">
                  <c:v>358.748459367507</c:v>
                </c:pt>
                <c:pt idx="65">
                  <c:v>364.89742814550755</c:v>
                </c:pt>
                <c:pt idx="66">
                  <c:v>370.20607819909691</c:v>
                </c:pt>
                <c:pt idx="67">
                  <c:v>375.51306780163486</c:v>
                </c:pt>
                <c:pt idx="68">
                  <c:v>380.81842375711989</c:v>
                </c:pt>
                <c:pt idx="69">
                  <c:v>386.1221720609571</c:v>
                </c:pt>
                <c:pt idx="70">
                  <c:v>391.4243379353731</c:v>
                </c:pt>
                <c:pt idx="71">
                  <c:v>366.85344149976572</c:v>
                </c:pt>
                <c:pt idx="72">
                  <c:v>371.60281428696072</c:v>
                </c:pt>
                <c:pt idx="73">
                  <c:v>376.35086351579002</c:v>
                </c:pt>
                <c:pt idx="74">
                  <c:v>381.09760826078076</c:v>
                </c:pt>
                <c:pt idx="75">
                  <c:v>385.84306708196306</c:v>
                </c:pt>
                <c:pt idx="76">
                  <c:v>390.02918316043559</c:v>
                </c:pt>
                <c:pt idx="77">
                  <c:v>394.21432426135419</c:v>
                </c:pt>
                <c:pt idx="78">
                  <c:v>398.39850220884631</c:v>
                </c:pt>
                <c:pt idx="79">
                  <c:v>402.58172855811046</c:v>
                </c:pt>
                <c:pt idx="80">
                  <c:v>406.76401460432777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0262496"/>
        <c:axId val="-170255968"/>
      </c:scatterChart>
      <c:valAx>
        <c:axId val="-1702624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255968"/>
        <c:crosses val="autoZero"/>
        <c:crossBetween val="midCat"/>
      </c:valAx>
      <c:valAx>
        <c:axId val="-17025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262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2.1350786004664535</c:v>
                </c:pt>
                <c:pt idx="2">
                  <c:v>2.6921717481430694</c:v>
                </c:pt>
                <c:pt idx="3">
                  <c:v>3.3951979925602132</c:v>
                </c:pt>
                <c:pt idx="4">
                  <c:v>4.2825271299889929</c:v>
                </c:pt>
                <c:pt idx="5">
                  <c:v>5.4026523830368793</c:v>
                </c:pt>
                <c:pt idx="6">
                  <c:v>6.8168699269517186</c:v>
                </c:pt>
                <c:pt idx="7">
                  <c:v>8.6026697455530794</c:v>
                </c:pt>
                <c:pt idx="8">
                  <c:v>10.858027163519033</c:v>
                </c:pt>
                <c:pt idx="9">
                  <c:v>13.706834927621495</c:v>
                </c:pt>
                <c:pt idx="10">
                  <c:v>17.305779747951522</c:v>
                </c:pt>
                <c:pt idx="11">
                  <c:v>21.853048382275563</c:v>
                </c:pt>
                <c:pt idx="12">
                  <c:v>27.599351245605177</c:v>
                </c:pt>
                <c:pt idx="13">
                  <c:v>34.861881979556053</c:v>
                </c:pt>
                <c:pt idx="14">
                  <c:v>44.041996814142045</c:v>
                </c:pt>
                <c:pt idx="15">
                  <c:v>55.647607276796499</c:v>
                </c:pt>
                <c:pt idx="16">
                  <c:v>72.542905122967582</c:v>
                </c:pt>
                <c:pt idx="17">
                  <c:v>89.336953064344058</c:v>
                </c:pt>
                <c:pt idx="18">
                  <c:v>106.05159327760617</c:v>
                </c:pt>
                <c:pt idx="19">
                  <c:v>122.70115105309355</c:v>
                </c:pt>
                <c:pt idx="20">
                  <c:v>139.29572121624975</c:v>
                </c:pt>
                <c:pt idx="21">
                  <c:v>95.685441973812658</c:v>
                </c:pt>
                <c:pt idx="22">
                  <c:v>113.80965748960364</c:v>
                </c:pt>
                <c:pt idx="23">
                  <c:v>131.86304956724535</c:v>
                </c:pt>
                <c:pt idx="24">
                  <c:v>149.85670075971805</c:v>
                </c:pt>
                <c:pt idx="25">
                  <c:v>167.79880331835713</c:v>
                </c:pt>
                <c:pt idx="26">
                  <c:v>184.84436712462625</c:v>
                </c:pt>
                <c:pt idx="27">
                  <c:v>201.85320984852044</c:v>
                </c:pt>
                <c:pt idx="28">
                  <c:v>218.82886210158492</c:v>
                </c:pt>
                <c:pt idx="29">
                  <c:v>235.77426141652714</c:v>
                </c:pt>
                <c:pt idx="30">
                  <c:v>252.69188827494608</c:v>
                </c:pt>
                <c:pt idx="31">
                  <c:v>188.53260053056843</c:v>
                </c:pt>
                <c:pt idx="32">
                  <c:v>203.55221605106576</c:v>
                </c:pt>
                <c:pt idx="33">
                  <c:v>218.54618993520364</c:v>
                </c:pt>
                <c:pt idx="34">
                  <c:v>233.516529591107</c:v>
                </c:pt>
                <c:pt idx="35">
                  <c:v>248.46496383915073</c:v>
                </c:pt>
                <c:pt idx="36">
                  <c:v>261.98552595095441</c:v>
                </c:pt>
                <c:pt idx="37">
                  <c:v>275.49034176419684</c:v>
                </c:pt>
                <c:pt idx="38">
                  <c:v>288.9802920988015</c:v>
                </c:pt>
                <c:pt idx="39">
                  <c:v>302.45616879398858</c:v>
                </c:pt>
                <c:pt idx="40">
                  <c:v>315.91868734548342</c:v>
                </c:pt>
                <c:pt idx="41">
                  <c:v>248.74680925585417</c:v>
                </c:pt>
                <c:pt idx="42">
                  <c:v>260.29633594452849</c:v>
                </c:pt>
                <c:pt idx="43">
                  <c:v>271.83429043682298</c:v>
                </c:pt>
                <c:pt idx="44">
                  <c:v>283.36123337871334</c:v>
                </c:pt>
                <c:pt idx="45">
                  <c:v>294.87767605242135</c:v>
                </c:pt>
                <c:pt idx="46">
                  <c:v>304.70083122716051</c:v>
                </c:pt>
                <c:pt idx="47">
                  <c:v>314.51694528188875</c:v>
                </c:pt>
                <c:pt idx="48">
                  <c:v>324.32626909194659</c:v>
                </c:pt>
                <c:pt idx="49">
                  <c:v>334.12903710888418</c:v>
                </c:pt>
                <c:pt idx="50">
                  <c:v>343.92546889640693</c:v>
                </c:pt>
                <c:pt idx="51">
                  <c:v>298.24642451478036</c:v>
                </c:pt>
                <c:pt idx="52">
                  <c:v>307.22563699685162</c:v>
                </c:pt>
                <c:pt idx="53">
                  <c:v>316.19901919428293</c:v>
                </c:pt>
                <c:pt idx="54">
                  <c:v>325.16676002004425</c:v>
                </c:pt>
                <c:pt idx="55">
                  <c:v>334.12903710888418</c:v>
                </c:pt>
                <c:pt idx="56">
                  <c:v>341.12712268545334</c:v>
                </c:pt>
                <c:pt idx="57">
                  <c:v>348.12205150612658</c:v>
                </c:pt>
                <c:pt idx="58">
                  <c:v>355.11389600890419</c:v>
                </c:pt>
                <c:pt idx="59">
                  <c:v>362.10272554389985</c:v>
                </c:pt>
                <c:pt idx="60">
                  <c:v>369.0886065633519</c:v>
                </c:pt>
                <c:pt idx="61">
                  <c:v>340.28752055444625</c:v>
                </c:pt>
                <c:pt idx="62">
                  <c:v>346.44355255688691</c:v>
                </c:pt>
                <c:pt idx="63">
                  <c:v>352.59718287003449</c:v>
                </c:pt>
                <c:pt idx="64">
                  <c:v>358.748459367507</c:v>
                </c:pt>
                <c:pt idx="65">
                  <c:v>364.89742814550755</c:v>
                </c:pt>
                <c:pt idx="66">
                  <c:v>370.20607819909691</c:v>
                </c:pt>
                <c:pt idx="67">
                  <c:v>375.51306780163486</c:v>
                </c:pt>
                <c:pt idx="68">
                  <c:v>380.81842375711989</c:v>
                </c:pt>
                <c:pt idx="69">
                  <c:v>386.1221720609571</c:v>
                </c:pt>
                <c:pt idx="70">
                  <c:v>391.4243379353731</c:v>
                </c:pt>
                <c:pt idx="71">
                  <c:v>366.85344149976572</c:v>
                </c:pt>
                <c:pt idx="72">
                  <c:v>371.60281428696072</c:v>
                </c:pt>
                <c:pt idx="73">
                  <c:v>376.35086351579002</c:v>
                </c:pt>
                <c:pt idx="74">
                  <c:v>381.09760826078076</c:v>
                </c:pt>
                <c:pt idx="75">
                  <c:v>385.84306708196306</c:v>
                </c:pt>
                <c:pt idx="76">
                  <c:v>390.02918316043559</c:v>
                </c:pt>
                <c:pt idx="77">
                  <c:v>394.21432426135419</c:v>
                </c:pt>
                <c:pt idx="78">
                  <c:v>398.39850220884631</c:v>
                </c:pt>
                <c:pt idx="79">
                  <c:v>402.58172855811046</c:v>
                </c:pt>
                <c:pt idx="80">
                  <c:v>406.76401460432777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0258144"/>
        <c:axId val="-170261952"/>
      </c:scatterChart>
      <c:valAx>
        <c:axId val="-1702581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261952"/>
        <c:crosses val="autoZero"/>
        <c:crossBetween val="midCat"/>
      </c:valAx>
      <c:valAx>
        <c:axId val="-170261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258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0260320"/>
        <c:axId val="-170255424"/>
      </c:scatterChart>
      <c:valAx>
        <c:axId val="-1702603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255424"/>
        <c:crosses val="autoZero"/>
        <c:crossBetween val="midCat"/>
      </c:valAx>
      <c:valAx>
        <c:axId val="-170255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260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0259776"/>
        <c:axId val="-171310640"/>
      </c:scatterChart>
      <c:valAx>
        <c:axId val="-1702597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1310640"/>
        <c:crosses val="autoZero"/>
        <c:crossBetween val="midCat"/>
      </c:valAx>
      <c:valAx>
        <c:axId val="-171310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2597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1309552"/>
        <c:axId val="-2076285312"/>
      </c:scatterChart>
      <c:valAx>
        <c:axId val="-1713095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76285312"/>
        <c:crosses val="autoZero"/>
        <c:crossBetween val="midCat"/>
      </c:valAx>
      <c:valAx>
        <c:axId val="-2076285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1309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76277696"/>
        <c:axId val="-2076277152"/>
      </c:scatterChart>
      <c:valAx>
        <c:axId val="-2076277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76277152"/>
        <c:crosses val="autoZero"/>
        <c:crossBetween val="midCat"/>
      </c:valAx>
      <c:valAx>
        <c:axId val="-207627715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76277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C35" sqref="C35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85" t="s">
        <v>292</v>
      </c>
      <c r="C12" s="285"/>
      <c r="D12" s="285"/>
      <c r="E12" s="285"/>
      <c r="F12" s="285"/>
      <c r="G12" s="285"/>
      <c r="H12" s="285"/>
      <c r="I12" s="285"/>
      <c r="J12" s="285"/>
      <c r="K12" s="285"/>
      <c r="L12" s="285"/>
      <c r="M12" s="285"/>
    </row>
    <row r="13" spans="2:13" ht="15" customHeight="1" x14ac:dyDescent="0.3">
      <c r="B13" s="285"/>
      <c r="C13" s="285"/>
      <c r="D13" s="285"/>
      <c r="E13" s="285"/>
      <c r="F13" s="285"/>
      <c r="G13" s="285"/>
      <c r="H13" s="285"/>
      <c r="I13" s="285"/>
      <c r="J13" s="285"/>
      <c r="K13" s="285"/>
      <c r="L13" s="285"/>
      <c r="M13" s="285"/>
    </row>
    <row r="14" spans="2:13" ht="15" customHeight="1" x14ac:dyDescent="0.3">
      <c r="B14" s="285"/>
      <c r="C14" s="285"/>
      <c r="D14" s="285"/>
      <c r="E14" s="285"/>
      <c r="F14" s="285"/>
      <c r="G14" s="285"/>
      <c r="H14" s="285"/>
      <c r="I14" s="285"/>
      <c r="J14" s="285"/>
      <c r="K14" s="285"/>
      <c r="L14" s="285"/>
      <c r="M14" s="285"/>
    </row>
    <row r="15" spans="2:13" ht="18.75" customHeight="1" x14ac:dyDescent="0.3">
      <c r="B15" s="285"/>
      <c r="C15" s="285"/>
      <c r="D15" s="285"/>
      <c r="E15" s="285"/>
      <c r="F15" s="285"/>
      <c r="G15" s="285"/>
      <c r="H15" s="285"/>
      <c r="I15" s="285"/>
      <c r="J15" s="285"/>
      <c r="K15" s="285"/>
      <c r="L15" s="285"/>
      <c r="M15" s="285"/>
    </row>
    <row r="16" spans="2:13" ht="18.75" customHeight="1" x14ac:dyDescent="0.3">
      <c r="B16" s="285"/>
      <c r="C16" s="285"/>
      <c r="D16" s="285"/>
      <c r="E16" s="285"/>
      <c r="F16" s="285"/>
      <c r="G16" s="285"/>
      <c r="H16" s="285"/>
      <c r="I16" s="285"/>
      <c r="J16" s="285"/>
      <c r="K16" s="285"/>
      <c r="L16" s="285"/>
      <c r="M16" s="285"/>
    </row>
    <row r="18" spans="2:13" ht="12" customHeight="1" x14ac:dyDescent="0.3">
      <c r="B18" s="285" t="s">
        <v>293</v>
      </c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</row>
    <row r="19" spans="2:13" ht="12" customHeight="1" x14ac:dyDescent="0.3">
      <c r="B19" s="285"/>
      <c r="C19" s="285"/>
      <c r="D19" s="285"/>
      <c r="E19" s="285"/>
      <c r="F19" s="285"/>
      <c r="G19" s="285"/>
      <c r="H19" s="285"/>
      <c r="I19" s="285"/>
      <c r="J19" s="285"/>
      <c r="K19" s="285"/>
      <c r="L19" s="285"/>
      <c r="M19" s="285"/>
    </row>
    <row r="20" spans="2:13" ht="12" customHeight="1" x14ac:dyDescent="0.3">
      <c r="B20" s="285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</row>
    <row r="21" spans="2:13" ht="12" customHeight="1" x14ac:dyDescent="0.3">
      <c r="B21" s="285"/>
      <c r="C21" s="285"/>
      <c r="D21" s="285"/>
      <c r="E21" s="285"/>
      <c r="F21" s="285"/>
      <c r="G21" s="285"/>
      <c r="H21" s="285"/>
      <c r="I21" s="285"/>
      <c r="J21" s="285"/>
      <c r="K21" s="285"/>
      <c r="L21" s="285"/>
      <c r="M21" s="285"/>
    </row>
    <row r="22" spans="2:13" ht="12" customHeight="1" x14ac:dyDescent="0.3">
      <c r="B22" s="285"/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</row>
    <row r="23" spans="2:13" ht="12" customHeight="1" x14ac:dyDescent="0.3">
      <c r="B23" s="285"/>
      <c r="C23" s="285"/>
      <c r="D23" s="285"/>
      <c r="E23" s="285"/>
      <c r="F23" s="285"/>
      <c r="G23" s="285"/>
      <c r="H23" s="285"/>
      <c r="I23" s="285"/>
      <c r="J23" s="285"/>
      <c r="K23" s="285"/>
      <c r="L23" s="285"/>
      <c r="M23" s="285"/>
    </row>
    <row r="24" spans="2:13" ht="12" customHeight="1" x14ac:dyDescent="0.3">
      <c r="B24" s="285"/>
      <c r="C24" s="285"/>
      <c r="D24" s="285"/>
      <c r="E24" s="285"/>
      <c r="F24" s="285"/>
      <c r="G24" s="285"/>
      <c r="H24" s="285"/>
      <c r="I24" s="285"/>
      <c r="J24" s="285"/>
      <c r="K24" s="285"/>
      <c r="L24" s="285"/>
      <c r="M24" s="285"/>
    </row>
    <row r="25" spans="2:13" ht="12" customHeight="1" x14ac:dyDescent="0.3">
      <c r="B25" s="285"/>
      <c r="C25" s="285"/>
      <c r="D25" s="285"/>
      <c r="E25" s="285"/>
      <c r="F25" s="285"/>
      <c r="G25" s="285"/>
      <c r="H25" s="285"/>
      <c r="I25" s="285"/>
      <c r="J25" s="285"/>
      <c r="K25" s="285"/>
      <c r="L25" s="285"/>
      <c r="M25" s="285"/>
    </row>
    <row r="26" spans="2:13" ht="12" customHeight="1" x14ac:dyDescent="0.3">
      <c r="B26" s="285"/>
      <c r="C26" s="285"/>
      <c r="D26" s="285"/>
      <c r="E26" s="285"/>
      <c r="F26" s="285"/>
      <c r="G26" s="285"/>
      <c r="H26" s="285"/>
      <c r="I26" s="285"/>
      <c r="J26" s="285"/>
      <c r="K26" s="285"/>
      <c r="L26" s="285"/>
      <c r="M26" s="285"/>
    </row>
    <row r="27" spans="2:13" ht="12" customHeight="1" x14ac:dyDescent="0.3">
      <c r="B27" s="285"/>
      <c r="C27" s="285"/>
      <c r="D27" s="285"/>
      <c r="E27" s="285"/>
      <c r="F27" s="285"/>
      <c r="G27" s="285"/>
      <c r="H27" s="285"/>
      <c r="I27" s="285"/>
      <c r="J27" s="285"/>
      <c r="K27" s="285"/>
      <c r="L27" s="285"/>
      <c r="M27" s="285"/>
    </row>
    <row r="28" spans="2:13" ht="12" customHeight="1" x14ac:dyDescent="0.3">
      <c r="B28" s="285"/>
      <c r="C28" s="285"/>
      <c r="D28" s="285"/>
      <c r="E28" s="285"/>
      <c r="F28" s="285"/>
      <c r="G28" s="285"/>
      <c r="H28" s="285"/>
      <c r="I28" s="285"/>
      <c r="J28" s="285"/>
      <c r="K28" s="285"/>
      <c r="L28" s="285"/>
      <c r="M28" s="285"/>
    </row>
    <row r="29" spans="2:13" ht="12" customHeight="1" x14ac:dyDescent="0.3">
      <c r="B29" s="285"/>
      <c r="C29" s="285"/>
      <c r="D29" s="285"/>
      <c r="E29" s="285"/>
      <c r="F29" s="285"/>
      <c r="G29" s="285"/>
      <c r="H29" s="285"/>
      <c r="I29" s="285"/>
      <c r="J29" s="285"/>
      <c r="K29" s="285"/>
      <c r="L29" s="285"/>
      <c r="M29" s="285"/>
    </row>
    <row r="30" spans="2:13" ht="12" customHeight="1" x14ac:dyDescent="0.3">
      <c r="B30" s="285"/>
      <c r="C30" s="285"/>
      <c r="D30" s="285"/>
      <c r="E30" s="285"/>
      <c r="F30" s="285"/>
      <c r="G30" s="285"/>
      <c r="H30" s="285"/>
      <c r="I30" s="285"/>
      <c r="J30" s="285"/>
      <c r="K30" s="285"/>
      <c r="L30" s="285"/>
      <c r="M30" s="285"/>
    </row>
    <row r="31" spans="2:13" ht="12" customHeight="1" x14ac:dyDescent="0.3">
      <c r="B31" s="285"/>
      <c r="C31" s="285"/>
      <c r="D31" s="285"/>
      <c r="E31" s="285"/>
      <c r="F31" s="285"/>
      <c r="G31" s="285"/>
      <c r="H31" s="285"/>
      <c r="I31" s="285"/>
      <c r="J31" s="285"/>
      <c r="K31" s="285"/>
      <c r="L31" s="285"/>
      <c r="M31" s="28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4" zoomScale="90" zoomScaleNormal="90" workbookViewId="0">
      <selection activeCell="C26" sqref="C26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86" t="s">
        <v>190</v>
      </c>
      <c r="D1" s="286"/>
      <c r="E1" s="28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320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1" t="s">
        <v>192</v>
      </c>
      <c r="C3" s="292"/>
      <c r="D3" s="292"/>
      <c r="E3" s="292"/>
      <c r="F3" s="293"/>
      <c r="G3" s="95"/>
      <c r="I3" s="228" t="s">
        <v>305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306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297" t="s">
        <v>231</v>
      </c>
      <c r="B5" s="297"/>
      <c r="C5" s="26">
        <v>2.27</v>
      </c>
      <c r="D5" s="298" t="s">
        <v>229</v>
      </c>
      <c r="E5" s="299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295" t="s">
        <v>226</v>
      </c>
      <c r="B7" s="295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12</v>
      </c>
      <c r="C9" s="35">
        <v>0.373</v>
      </c>
      <c r="D9" s="36">
        <f t="shared" ref="D9:D18" si="0">C9*$C$5</f>
        <v>0.84670999999999996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307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14</v>
      </c>
      <c r="C10" s="35">
        <v>0.22</v>
      </c>
      <c r="D10" s="36">
        <f t="shared" si="0"/>
        <v>0.49940000000000001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52</v>
      </c>
      <c r="C11" s="35">
        <v>6.8000000000000005E-2</v>
      </c>
      <c r="D11" s="36">
        <f t="shared" si="0"/>
        <v>0.15436000000000002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4</v>
      </c>
      <c r="C12" s="35">
        <v>0.20300000000000001</v>
      </c>
      <c r="D12" s="36">
        <f t="shared" si="0"/>
        <v>0.46081000000000005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98</v>
      </c>
      <c r="C13" s="35">
        <v>6.8000000000000005E-2</v>
      </c>
      <c r="D13" s="36">
        <f t="shared" si="0"/>
        <v>0.15436000000000002</v>
      </c>
      <c r="E13" s="37">
        <v>80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0.93200000000000016</v>
      </c>
      <c r="D19" s="41">
        <f>SUM(D9:D18)</f>
        <v>2.11564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4" t="s">
        <v>232</v>
      </c>
      <c r="B22" s="294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96" t="s">
        <v>227</v>
      </c>
      <c r="B30" s="296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pubescent</v>
      </c>
      <c r="D32" s="259" t="s">
        <v>308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87" t="s">
        <v>186</v>
      </c>
      <c r="D34" s="287"/>
      <c r="E34" s="288" t="s">
        <v>187</v>
      </c>
      <c r="F34" s="289"/>
      <c r="G34" s="289"/>
      <c r="H34" s="290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53">
        <v>42</v>
      </c>
      <c r="C36" s="53"/>
      <c r="D36" s="53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53">
        <v>70</v>
      </c>
      <c r="C37" s="53">
        <v>1</v>
      </c>
      <c r="D37" s="53">
        <v>8</v>
      </c>
      <c r="E37" s="54"/>
      <c r="F37" s="54"/>
      <c r="G37" s="54"/>
      <c r="H37" s="54">
        <v>1</v>
      </c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53">
        <v>97</v>
      </c>
      <c r="C38" s="53"/>
      <c r="D38" s="53"/>
      <c r="E38" s="54"/>
      <c r="F38" s="54"/>
      <c r="G38" s="54"/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53">
        <v>140</v>
      </c>
      <c r="C39" s="53">
        <v>2</v>
      </c>
      <c r="D39" s="53">
        <v>42</v>
      </c>
      <c r="E39" s="54"/>
      <c r="F39" s="54"/>
      <c r="G39" s="54"/>
      <c r="H39" s="54"/>
      <c r="I39" s="52">
        <f t="shared" si="1"/>
        <v>8.6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53">
        <v>137</v>
      </c>
      <c r="C40" s="53"/>
      <c r="D40" s="53"/>
      <c r="E40" s="54"/>
      <c r="F40" s="54"/>
      <c r="G40" s="54"/>
      <c r="H40" s="54"/>
      <c r="I40" s="52">
        <f t="shared" si="1"/>
        <v>7.8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53">
        <v>179</v>
      </c>
      <c r="C41" s="53">
        <v>3</v>
      </c>
      <c r="D41" s="53">
        <v>42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53">
        <v>178</v>
      </c>
      <c r="C42" s="53"/>
      <c r="D42" s="53"/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55</v>
      </c>
      <c r="B43" s="53">
        <v>218</v>
      </c>
      <c r="C43" s="53">
        <v>4</v>
      </c>
      <c r="D43" s="53">
        <v>42</v>
      </c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60</v>
      </c>
      <c r="B44" s="53">
        <v>214</v>
      </c>
      <c r="C44" s="53"/>
      <c r="D44" s="53"/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65</v>
      </c>
      <c r="B45" s="53">
        <v>250</v>
      </c>
      <c r="C45" s="53">
        <v>5</v>
      </c>
      <c r="D45" s="53">
        <v>42</v>
      </c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70</v>
      </c>
      <c r="B46" s="53">
        <v>242</v>
      </c>
      <c r="C46" s="53"/>
      <c r="D46" s="53"/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75</v>
      </c>
      <c r="B47" s="53">
        <v>273</v>
      </c>
      <c r="C47" s="53">
        <v>6</v>
      </c>
      <c r="D47" s="53">
        <v>42</v>
      </c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85</v>
      </c>
      <c r="B48" s="53">
        <v>290</v>
      </c>
      <c r="C48" s="53">
        <v>7</v>
      </c>
      <c r="D48" s="53">
        <v>42</v>
      </c>
      <c r="E48" s="54"/>
      <c r="F48" s="54"/>
      <c r="G48" s="54"/>
      <c r="H48" s="54"/>
      <c r="I48" s="52">
        <f t="shared" si="1"/>
        <v>5.9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95</v>
      </c>
      <c r="B49" s="53">
        <v>300</v>
      </c>
      <c r="C49" s="53">
        <v>8</v>
      </c>
      <c r="D49" s="53">
        <v>42</v>
      </c>
      <c r="E49" s="54"/>
      <c r="F49" s="54"/>
      <c r="G49" s="54"/>
      <c r="H49" s="54"/>
      <c r="I49" s="52">
        <f t="shared" si="1"/>
        <v>5.2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>
        <v>105</v>
      </c>
      <c r="B50" s="53">
        <v>305</v>
      </c>
      <c r="C50" s="53">
        <v>9</v>
      </c>
      <c r="D50" s="53">
        <v>41</v>
      </c>
      <c r="E50" s="54"/>
      <c r="F50" s="54"/>
      <c r="G50" s="54"/>
      <c r="H50" s="54"/>
      <c r="I50" s="52">
        <f t="shared" si="1"/>
        <v>4.7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>
        <v>115</v>
      </c>
      <c r="B51" s="53">
        <v>304</v>
      </c>
      <c r="C51" s="53">
        <v>10</v>
      </c>
      <c r="D51" s="53">
        <v>37</v>
      </c>
      <c r="E51" s="54"/>
      <c r="F51" s="54"/>
      <c r="G51" s="54"/>
      <c r="H51" s="54"/>
      <c r="I51" s="52">
        <f t="shared" si="1"/>
        <v>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>
        <v>125</v>
      </c>
      <c r="B52" s="53">
        <v>301</v>
      </c>
      <c r="C52" s="53">
        <v>11</v>
      </c>
      <c r="D52" s="53">
        <v>33</v>
      </c>
      <c r="E52" s="54"/>
      <c r="F52" s="54"/>
      <c r="G52" s="54"/>
      <c r="H52" s="54"/>
      <c r="I52" s="52">
        <f t="shared" si="1"/>
        <v>3.4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>
        <v>135</v>
      </c>
      <c r="B53" s="53">
        <v>298</v>
      </c>
      <c r="C53" s="53">
        <v>12</v>
      </c>
      <c r="D53" s="53">
        <v>29</v>
      </c>
      <c r="E53" s="54"/>
      <c r="F53" s="54"/>
      <c r="G53" s="54"/>
      <c r="H53" s="54"/>
      <c r="I53" s="52">
        <f t="shared" si="1"/>
        <v>3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>
        <v>145</v>
      </c>
      <c r="B54" s="53">
        <v>295</v>
      </c>
      <c r="C54" s="53"/>
      <c r="D54" s="53"/>
      <c r="E54" s="54"/>
      <c r="F54" s="54"/>
      <c r="G54" s="54"/>
      <c r="H54" s="54"/>
      <c r="I54" s="52">
        <f t="shared" si="1"/>
        <v>2.6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>
        <v>150</v>
      </c>
      <c r="B55" s="53">
        <v>306</v>
      </c>
      <c r="C55" s="53">
        <v>13</v>
      </c>
      <c r="D55" s="53">
        <v>306</v>
      </c>
      <c r="E55" s="54"/>
      <c r="F55" s="54"/>
      <c r="G55" s="54"/>
      <c r="H55" s="54"/>
      <c r="I55" s="52">
        <f t="shared" si="1"/>
        <v>2.2000000000000002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sessile</v>
      </c>
      <c r="D58" s="259" t="s">
        <v>308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87" t="s">
        <v>186</v>
      </c>
      <c r="D60" s="287"/>
      <c r="E60" s="288" t="s">
        <v>187</v>
      </c>
      <c r="F60" s="289"/>
      <c r="G60" s="289"/>
      <c r="H60" s="290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53">
        <v>42</v>
      </c>
      <c r="C62" s="53"/>
      <c r="D62" s="53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53">
        <v>70</v>
      </c>
      <c r="C63" s="53">
        <v>1</v>
      </c>
      <c r="D63" s="53">
        <v>8</v>
      </c>
      <c r="E63" s="54"/>
      <c r="F63" s="54"/>
      <c r="G63" s="54"/>
      <c r="H63" s="54">
        <v>1</v>
      </c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53">
        <v>97</v>
      </c>
      <c r="C64" s="53"/>
      <c r="D64" s="53"/>
      <c r="E64" s="54"/>
      <c r="F64" s="54"/>
      <c r="G64" s="54"/>
      <c r="H64" s="54"/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53">
        <v>140</v>
      </c>
      <c r="C65" s="53">
        <v>2</v>
      </c>
      <c r="D65" s="53">
        <v>42</v>
      </c>
      <c r="E65" s="54"/>
      <c r="F65" s="54"/>
      <c r="G65" s="54"/>
      <c r="H65" s="54"/>
      <c r="I65" s="52">
        <f>IF(A65&lt;&gt;0,(B65-(B64-D64))/(A65-A64),"")</f>
        <v>8.6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53">
        <v>137</v>
      </c>
      <c r="C66" s="53"/>
      <c r="D66" s="53"/>
      <c r="E66" s="54"/>
      <c r="F66" s="54"/>
      <c r="G66" s="54"/>
      <c r="H66" s="54"/>
      <c r="I66" s="52">
        <f t="shared" ref="I66:I81" si="2">IF(A66&lt;&gt;0,(B66-(B65-D65))/(A66-A65),"")</f>
        <v>7.8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53">
        <v>179</v>
      </c>
      <c r="C67" s="53">
        <v>3</v>
      </c>
      <c r="D67" s="53">
        <v>42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53">
        <v>178</v>
      </c>
      <c r="C68" s="53"/>
      <c r="D68" s="53"/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53">
        <v>218</v>
      </c>
      <c r="C69" s="53">
        <v>4</v>
      </c>
      <c r="D69" s="53">
        <v>42</v>
      </c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214</v>
      </c>
      <c r="C70" s="53"/>
      <c r="D70" s="53"/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250</v>
      </c>
      <c r="C71" s="53">
        <v>5</v>
      </c>
      <c r="D71" s="53">
        <v>42</v>
      </c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242</v>
      </c>
      <c r="C72" s="53"/>
      <c r="D72" s="53"/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273</v>
      </c>
      <c r="C73" s="53">
        <v>6</v>
      </c>
      <c r="D73" s="53">
        <v>42</v>
      </c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85</v>
      </c>
      <c r="B74" s="53">
        <v>290</v>
      </c>
      <c r="C74" s="53">
        <v>7</v>
      </c>
      <c r="D74" s="53">
        <v>42</v>
      </c>
      <c r="E74" s="54"/>
      <c r="F74" s="54"/>
      <c r="G74" s="54"/>
      <c r="H74" s="54"/>
      <c r="I74" s="52">
        <f t="shared" si="2"/>
        <v>5.9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95</v>
      </c>
      <c r="B75" s="53">
        <v>300</v>
      </c>
      <c r="C75" s="53">
        <v>8</v>
      </c>
      <c r="D75" s="53">
        <v>42</v>
      </c>
      <c r="E75" s="54"/>
      <c r="F75" s="54"/>
      <c r="G75" s="54"/>
      <c r="H75" s="54"/>
      <c r="I75" s="52">
        <f t="shared" si="2"/>
        <v>5.2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105</v>
      </c>
      <c r="B76" s="53">
        <v>305</v>
      </c>
      <c r="C76" s="53">
        <v>9</v>
      </c>
      <c r="D76" s="53">
        <v>41</v>
      </c>
      <c r="E76" s="54"/>
      <c r="F76" s="54"/>
      <c r="G76" s="54"/>
      <c r="H76" s="54"/>
      <c r="I76" s="52">
        <f t="shared" si="2"/>
        <v>4.7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115</v>
      </c>
      <c r="B77" s="53">
        <v>304</v>
      </c>
      <c r="C77" s="53">
        <v>10</v>
      </c>
      <c r="D77" s="53">
        <v>37</v>
      </c>
      <c r="E77" s="54"/>
      <c r="F77" s="54"/>
      <c r="G77" s="54"/>
      <c r="H77" s="54"/>
      <c r="I77" s="52">
        <f t="shared" si="2"/>
        <v>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125</v>
      </c>
      <c r="B78" s="53">
        <v>301</v>
      </c>
      <c r="C78" s="53">
        <v>11</v>
      </c>
      <c r="D78" s="53">
        <v>33</v>
      </c>
      <c r="E78" s="54"/>
      <c r="F78" s="54"/>
      <c r="G78" s="54"/>
      <c r="H78" s="54"/>
      <c r="I78" s="52">
        <f t="shared" si="2"/>
        <v>3.4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135</v>
      </c>
      <c r="B79" s="53">
        <v>298</v>
      </c>
      <c r="C79" s="53">
        <v>12</v>
      </c>
      <c r="D79" s="53">
        <v>29</v>
      </c>
      <c r="E79" s="54"/>
      <c r="F79" s="54"/>
      <c r="G79" s="54"/>
      <c r="H79" s="54"/>
      <c r="I79" s="52">
        <f t="shared" si="2"/>
        <v>3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145</v>
      </c>
      <c r="B80" s="53">
        <v>295</v>
      </c>
      <c r="C80" s="53"/>
      <c r="D80" s="53"/>
      <c r="E80" s="54"/>
      <c r="F80" s="54"/>
      <c r="G80" s="54"/>
      <c r="H80" s="54"/>
      <c r="I80" s="52">
        <f t="shared" si="2"/>
        <v>2.6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150</v>
      </c>
      <c r="B81" s="53">
        <v>306</v>
      </c>
      <c r="C81" s="53">
        <v>13</v>
      </c>
      <c r="D81" s="53">
        <v>306</v>
      </c>
      <c r="E81" s="54"/>
      <c r="F81" s="54"/>
      <c r="G81" s="54"/>
      <c r="H81" s="54"/>
      <c r="I81" s="52">
        <f t="shared" si="2"/>
        <v>2.2000000000000002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Cormier</v>
      </c>
      <c r="D84" s="259" t="s">
        <v>308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87" t="s">
        <v>186</v>
      </c>
      <c r="D86" s="287"/>
      <c r="E86" s="288" t="s">
        <v>187</v>
      </c>
      <c r="F86" s="289"/>
      <c r="G86" s="289"/>
      <c r="H86" s="290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20</v>
      </c>
      <c r="B88" s="53">
        <v>42</v>
      </c>
      <c r="C88" s="53"/>
      <c r="D88" s="53"/>
      <c r="E88" s="54"/>
      <c r="F88" s="54"/>
      <c r="G88" s="54"/>
      <c r="H88" s="54"/>
      <c r="I88" s="56">
        <f>IFERROR(B88/A88,"")</f>
        <v>2.1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25</v>
      </c>
      <c r="B89" s="53">
        <v>70</v>
      </c>
      <c r="C89" s="53">
        <v>1</v>
      </c>
      <c r="D89" s="53">
        <v>8</v>
      </c>
      <c r="E89" s="54"/>
      <c r="F89" s="54"/>
      <c r="G89" s="54"/>
      <c r="H89" s="54">
        <v>1</v>
      </c>
      <c r="I89" s="56">
        <f t="shared" ref="I89:I107" si="3">IF(A89&lt;&gt;0,(B89-(B88-D88))/(A89-A88),"")</f>
        <v>5.6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30</v>
      </c>
      <c r="B90" s="53">
        <v>97</v>
      </c>
      <c r="C90" s="53"/>
      <c r="D90" s="53"/>
      <c r="E90" s="54"/>
      <c r="F90" s="54"/>
      <c r="G90" s="54"/>
      <c r="H90" s="54"/>
      <c r="I90" s="56">
        <f t="shared" si="3"/>
        <v>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35</v>
      </c>
      <c r="B91" s="53">
        <v>140</v>
      </c>
      <c r="C91" s="53">
        <v>2</v>
      </c>
      <c r="D91" s="53">
        <v>42</v>
      </c>
      <c r="E91" s="54"/>
      <c r="F91" s="54"/>
      <c r="G91" s="54"/>
      <c r="H91" s="54"/>
      <c r="I91" s="56">
        <f t="shared" si="3"/>
        <v>8.6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40</v>
      </c>
      <c r="B92" s="53">
        <v>137</v>
      </c>
      <c r="C92" s="53"/>
      <c r="D92" s="53"/>
      <c r="E92" s="54"/>
      <c r="F92" s="54"/>
      <c r="G92" s="54"/>
      <c r="H92" s="54"/>
      <c r="I92" s="56">
        <f t="shared" si="3"/>
        <v>7.8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45</v>
      </c>
      <c r="B93" s="53">
        <v>179</v>
      </c>
      <c r="C93" s="53">
        <v>3</v>
      </c>
      <c r="D93" s="53">
        <v>42</v>
      </c>
      <c r="E93" s="54"/>
      <c r="F93" s="54"/>
      <c r="G93" s="54"/>
      <c r="H93" s="54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50</v>
      </c>
      <c r="B94" s="53">
        <v>178</v>
      </c>
      <c r="C94" s="53"/>
      <c r="D94" s="53"/>
      <c r="E94" s="54"/>
      <c r="F94" s="54"/>
      <c r="G94" s="54"/>
      <c r="H94" s="54"/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55</v>
      </c>
      <c r="B95" s="53">
        <v>218</v>
      </c>
      <c r="C95" s="53">
        <v>4</v>
      </c>
      <c r="D95" s="53">
        <v>42</v>
      </c>
      <c r="E95" s="54"/>
      <c r="F95" s="54"/>
      <c r="G95" s="54"/>
      <c r="H95" s="54"/>
      <c r="I95" s="56">
        <f t="shared" si="3"/>
        <v>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60</v>
      </c>
      <c r="B96" s="53">
        <v>214</v>
      </c>
      <c r="C96" s="53"/>
      <c r="D96" s="53"/>
      <c r="E96" s="54"/>
      <c r="F96" s="54"/>
      <c r="G96" s="54"/>
      <c r="H96" s="54"/>
      <c r="I96" s="56">
        <f t="shared" si="3"/>
        <v>7.6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65</v>
      </c>
      <c r="B97" s="53">
        <v>250</v>
      </c>
      <c r="C97" s="53">
        <v>5</v>
      </c>
      <c r="D97" s="53">
        <v>42</v>
      </c>
      <c r="E97" s="54"/>
      <c r="F97" s="54"/>
      <c r="G97" s="54"/>
      <c r="H97" s="54"/>
      <c r="I97" s="56">
        <f t="shared" si="3"/>
        <v>7.2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70</v>
      </c>
      <c r="B98" s="53">
        <v>242</v>
      </c>
      <c r="C98" s="53"/>
      <c r="D98" s="53"/>
      <c r="E98" s="54"/>
      <c r="F98" s="54"/>
      <c r="G98" s="54"/>
      <c r="H98" s="54"/>
      <c r="I98" s="56">
        <f t="shared" si="3"/>
        <v>6.8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75</v>
      </c>
      <c r="B99" s="53">
        <v>273</v>
      </c>
      <c r="C99" s="53">
        <v>6</v>
      </c>
      <c r="D99" s="53">
        <v>42</v>
      </c>
      <c r="E99" s="54"/>
      <c r="F99" s="54"/>
      <c r="G99" s="54"/>
      <c r="H99" s="54"/>
      <c r="I99" s="56">
        <f t="shared" si="3"/>
        <v>6.2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85</v>
      </c>
      <c r="B100" s="53">
        <v>290</v>
      </c>
      <c r="C100" s="53">
        <v>7</v>
      </c>
      <c r="D100" s="53">
        <v>42</v>
      </c>
      <c r="E100" s="54"/>
      <c r="F100" s="54"/>
      <c r="G100" s="54"/>
      <c r="H100" s="54"/>
      <c r="I100" s="56">
        <f t="shared" si="3"/>
        <v>5.9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>
        <v>95</v>
      </c>
      <c r="B101" s="53">
        <v>300</v>
      </c>
      <c r="C101" s="53">
        <v>8</v>
      </c>
      <c r="D101" s="53">
        <v>42</v>
      </c>
      <c r="E101" s="54"/>
      <c r="F101" s="54"/>
      <c r="G101" s="54"/>
      <c r="H101" s="54"/>
      <c r="I101" s="56">
        <f t="shared" si="3"/>
        <v>5.2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>
        <v>105</v>
      </c>
      <c r="B102" s="53">
        <v>305</v>
      </c>
      <c r="C102" s="53">
        <v>9</v>
      </c>
      <c r="D102" s="53">
        <v>41</v>
      </c>
      <c r="E102" s="54"/>
      <c r="F102" s="54"/>
      <c r="G102" s="54"/>
      <c r="H102" s="54"/>
      <c r="I102" s="56">
        <f t="shared" si="3"/>
        <v>4.7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>
        <v>115</v>
      </c>
      <c r="B103" s="53">
        <v>304</v>
      </c>
      <c r="C103" s="53">
        <v>10</v>
      </c>
      <c r="D103" s="53">
        <v>37</v>
      </c>
      <c r="E103" s="54"/>
      <c r="F103" s="54"/>
      <c r="G103" s="54"/>
      <c r="H103" s="54"/>
      <c r="I103" s="56">
        <f t="shared" si="3"/>
        <v>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>
        <v>125</v>
      </c>
      <c r="B104" s="53">
        <v>301</v>
      </c>
      <c r="C104" s="53">
        <v>11</v>
      </c>
      <c r="D104" s="53">
        <v>33</v>
      </c>
      <c r="E104" s="54"/>
      <c r="F104" s="54"/>
      <c r="G104" s="54"/>
      <c r="H104" s="54"/>
      <c r="I104" s="56">
        <f t="shared" si="3"/>
        <v>3.4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>
        <v>135</v>
      </c>
      <c r="B105" s="53">
        <v>298</v>
      </c>
      <c r="C105" s="53">
        <v>12</v>
      </c>
      <c r="D105" s="53">
        <v>29</v>
      </c>
      <c r="E105" s="54"/>
      <c r="F105" s="54"/>
      <c r="G105" s="54"/>
      <c r="H105" s="54"/>
      <c r="I105" s="56">
        <f t="shared" si="3"/>
        <v>3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>
        <v>145</v>
      </c>
      <c r="B106" s="53">
        <v>295</v>
      </c>
      <c r="C106" s="53"/>
      <c r="D106" s="53"/>
      <c r="E106" s="54"/>
      <c r="F106" s="54"/>
      <c r="G106" s="54"/>
      <c r="H106" s="54"/>
      <c r="I106" s="56">
        <f t="shared" si="3"/>
        <v>2.6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>
        <v>150</v>
      </c>
      <c r="B107" s="53">
        <v>306</v>
      </c>
      <c r="C107" s="53">
        <v>13</v>
      </c>
      <c r="D107" s="53">
        <v>306</v>
      </c>
      <c r="E107" s="54"/>
      <c r="F107" s="54"/>
      <c r="G107" s="54"/>
      <c r="H107" s="54"/>
      <c r="I107" s="56">
        <f t="shared" si="3"/>
        <v>2.2000000000000002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Aulne glutineux</v>
      </c>
      <c r="D110" s="259" t="s">
        <v>308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87" t="s">
        <v>186</v>
      </c>
      <c r="D112" s="287"/>
      <c r="E112" s="288" t="s">
        <v>187</v>
      </c>
      <c r="F112" s="289"/>
      <c r="G112" s="289"/>
      <c r="H112" s="290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15</v>
      </c>
      <c r="B114" s="63">
        <v>37</v>
      </c>
      <c r="C114" s="53"/>
      <c r="D114" s="63"/>
      <c r="E114" s="54"/>
      <c r="F114" s="54"/>
      <c r="G114" s="54"/>
      <c r="H114" s="54"/>
      <c r="I114" s="56">
        <f>IFERROR(B114/A114,"")</f>
        <v>2.4666666666666668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20</v>
      </c>
      <c r="B115" s="63">
        <f>80+15</f>
        <v>95</v>
      </c>
      <c r="C115" s="53">
        <v>1</v>
      </c>
      <c r="D115" s="63">
        <f>28+15</f>
        <v>43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11.6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25</v>
      </c>
      <c r="B116" s="63">
        <v>115</v>
      </c>
      <c r="C116" s="53"/>
      <c r="D116" s="63"/>
      <c r="E116" s="54"/>
      <c r="F116" s="54"/>
      <c r="G116" s="54"/>
      <c r="H116" s="54"/>
      <c r="I116" s="56">
        <f t="shared" si="4"/>
        <v>12.6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30</v>
      </c>
      <c r="B117" s="63">
        <f>147+28</f>
        <v>175</v>
      </c>
      <c r="C117" s="53">
        <v>2</v>
      </c>
      <c r="D117" s="63">
        <f>28+28</f>
        <v>56</v>
      </c>
      <c r="E117" s="54"/>
      <c r="F117" s="54"/>
      <c r="G117" s="54"/>
      <c r="H117" s="54">
        <v>1</v>
      </c>
      <c r="I117" s="56">
        <f t="shared" si="4"/>
        <v>12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35</v>
      </c>
      <c r="B118" s="63">
        <v>172</v>
      </c>
      <c r="C118" s="53"/>
      <c r="D118" s="63"/>
      <c r="E118" s="54"/>
      <c r="F118" s="54"/>
      <c r="G118" s="54"/>
      <c r="H118" s="54"/>
      <c r="I118" s="56">
        <f t="shared" si="4"/>
        <v>10.6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40</v>
      </c>
      <c r="B119" s="63">
        <f>192+28</f>
        <v>220</v>
      </c>
      <c r="C119" s="53">
        <v>3</v>
      </c>
      <c r="D119" s="63">
        <f>28+28</f>
        <v>56</v>
      </c>
      <c r="E119" s="54"/>
      <c r="F119" s="54"/>
      <c r="G119" s="54"/>
      <c r="H119" s="54"/>
      <c r="I119" s="56">
        <f t="shared" si="4"/>
        <v>9.6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45</v>
      </c>
      <c r="B120" s="63">
        <v>205</v>
      </c>
      <c r="C120" s="63"/>
      <c r="D120" s="63"/>
      <c r="E120" s="93"/>
      <c r="F120" s="93"/>
      <c r="G120" s="93"/>
      <c r="H120" s="93"/>
      <c r="I120" s="56">
        <f t="shared" si="4"/>
        <v>8.1999999999999993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50</v>
      </c>
      <c r="B121" s="63">
        <f>218+22</f>
        <v>240</v>
      </c>
      <c r="C121" s="63">
        <v>4</v>
      </c>
      <c r="D121" s="63">
        <f>17+22</f>
        <v>39</v>
      </c>
      <c r="E121" s="93"/>
      <c r="F121" s="93"/>
      <c r="G121" s="93"/>
      <c r="H121" s="93"/>
      <c r="I121" s="56">
        <f t="shared" si="4"/>
        <v>7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55</v>
      </c>
      <c r="B122" s="63">
        <v>233</v>
      </c>
      <c r="C122" s="63"/>
      <c r="D122" s="63"/>
      <c r="E122" s="93"/>
      <c r="F122" s="93"/>
      <c r="G122" s="93"/>
      <c r="H122" s="93"/>
      <c r="I122" s="56">
        <f t="shared" si="4"/>
        <v>6.4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>
        <v>60</v>
      </c>
      <c r="B123" s="63">
        <f>245+13</f>
        <v>258</v>
      </c>
      <c r="C123" s="63">
        <v>5</v>
      </c>
      <c r="D123" s="63">
        <f>12+13</f>
        <v>25</v>
      </c>
      <c r="E123" s="93"/>
      <c r="F123" s="93"/>
      <c r="G123" s="93"/>
      <c r="H123" s="93"/>
      <c r="I123" s="56">
        <f t="shared" si="4"/>
        <v>5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>
        <v>65</v>
      </c>
      <c r="B124" s="63">
        <v>255</v>
      </c>
      <c r="C124" s="63"/>
      <c r="D124" s="63"/>
      <c r="E124" s="93"/>
      <c r="F124" s="93"/>
      <c r="G124" s="93"/>
      <c r="H124" s="93"/>
      <c r="I124" s="56">
        <f t="shared" si="4"/>
        <v>4.4000000000000004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>
        <v>70</v>
      </c>
      <c r="B125" s="63">
        <f>263+11</f>
        <v>274</v>
      </c>
      <c r="C125" s="63">
        <v>6</v>
      </c>
      <c r="D125" s="63">
        <f>10+11</f>
        <v>21</v>
      </c>
      <c r="E125" s="93"/>
      <c r="F125" s="93"/>
      <c r="G125" s="93"/>
      <c r="H125" s="93"/>
      <c r="I125" s="56">
        <f t="shared" si="4"/>
        <v>3.8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>
        <v>75</v>
      </c>
      <c r="B126" s="63">
        <v>270</v>
      </c>
      <c r="C126" s="63"/>
      <c r="D126" s="63"/>
      <c r="E126" s="68"/>
      <c r="F126" s="68"/>
      <c r="G126" s="68"/>
      <c r="H126" s="68"/>
      <c r="I126" s="56">
        <f t="shared" si="4"/>
        <v>3.4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>
        <v>80</v>
      </c>
      <c r="B127" s="63">
        <f>276+9</f>
        <v>285</v>
      </c>
      <c r="C127" s="63">
        <v>7</v>
      </c>
      <c r="D127" s="63">
        <v>285</v>
      </c>
      <c r="E127" s="68"/>
      <c r="F127" s="68"/>
      <c r="G127" s="68"/>
      <c r="H127" s="68"/>
      <c r="I127" s="56">
        <f t="shared" si="4"/>
        <v>3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Aulne à feuilles en cœur</v>
      </c>
      <c r="D136" s="259" t="s">
        <v>308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87" t="s">
        <v>186</v>
      </c>
      <c r="D138" s="287"/>
      <c r="E138" s="288" t="s">
        <v>187</v>
      </c>
      <c r="F138" s="289"/>
      <c r="G138" s="289"/>
      <c r="H138" s="290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15</v>
      </c>
      <c r="B140" s="63">
        <v>37</v>
      </c>
      <c r="C140" s="53"/>
      <c r="D140" s="63"/>
      <c r="E140" s="54"/>
      <c r="F140" s="54"/>
      <c r="G140" s="54"/>
      <c r="H140" s="54"/>
      <c r="I140" s="60">
        <f>IFERROR(B140/A140,"")</f>
        <v>2.4666666666666668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20</v>
      </c>
      <c r="B141" s="63">
        <f>80+15</f>
        <v>95</v>
      </c>
      <c r="C141" s="53">
        <v>1</v>
      </c>
      <c r="D141" s="63">
        <f>28+15</f>
        <v>43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11.6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25</v>
      </c>
      <c r="B142" s="63">
        <v>115</v>
      </c>
      <c r="C142" s="53"/>
      <c r="D142" s="63"/>
      <c r="E142" s="54"/>
      <c r="F142" s="54"/>
      <c r="G142" s="54"/>
      <c r="H142" s="54"/>
      <c r="I142" s="60">
        <f t="shared" si="5"/>
        <v>12.6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30</v>
      </c>
      <c r="B143" s="63">
        <f>147+28</f>
        <v>175</v>
      </c>
      <c r="C143" s="53">
        <v>2</v>
      </c>
      <c r="D143" s="63">
        <f>28+28</f>
        <v>56</v>
      </c>
      <c r="E143" s="54"/>
      <c r="F143" s="54"/>
      <c r="G143" s="54"/>
      <c r="H143" s="54">
        <v>1</v>
      </c>
      <c r="I143" s="60">
        <f t="shared" si="5"/>
        <v>12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35</v>
      </c>
      <c r="B144" s="63">
        <v>172</v>
      </c>
      <c r="C144" s="53"/>
      <c r="D144" s="63"/>
      <c r="E144" s="54"/>
      <c r="F144" s="54"/>
      <c r="G144" s="54"/>
      <c r="H144" s="54"/>
      <c r="I144" s="60">
        <f t="shared" si="5"/>
        <v>10.6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40</v>
      </c>
      <c r="B145" s="63">
        <f>192+28</f>
        <v>220</v>
      </c>
      <c r="C145" s="53">
        <v>3</v>
      </c>
      <c r="D145" s="63">
        <f>28+28</f>
        <v>56</v>
      </c>
      <c r="E145" s="54"/>
      <c r="F145" s="54"/>
      <c r="G145" s="54"/>
      <c r="H145" s="54"/>
      <c r="I145" s="60">
        <f t="shared" si="5"/>
        <v>9.6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63">
        <v>45</v>
      </c>
      <c r="B146" s="63">
        <v>205</v>
      </c>
      <c r="C146" s="63"/>
      <c r="D146" s="63"/>
      <c r="E146" s="93"/>
      <c r="F146" s="93"/>
      <c r="G146" s="93"/>
      <c r="H146" s="93"/>
      <c r="I146" s="60">
        <f t="shared" si="5"/>
        <v>8.1999999999999993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63">
        <v>50</v>
      </c>
      <c r="B147" s="63">
        <f>218+22</f>
        <v>240</v>
      </c>
      <c r="C147" s="63">
        <v>4</v>
      </c>
      <c r="D147" s="63">
        <f>17+22</f>
        <v>39</v>
      </c>
      <c r="E147" s="93"/>
      <c r="F147" s="93"/>
      <c r="G147" s="93"/>
      <c r="H147" s="93"/>
      <c r="I147" s="60">
        <f>IF(A147&lt;&gt;0,(B147-(B146-D146))/(A147-A146),"")</f>
        <v>7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63">
        <v>55</v>
      </c>
      <c r="B148" s="63">
        <v>233</v>
      </c>
      <c r="C148" s="63"/>
      <c r="D148" s="63"/>
      <c r="E148" s="93"/>
      <c r="F148" s="93"/>
      <c r="G148" s="93"/>
      <c r="H148" s="93"/>
      <c r="I148" s="60">
        <f t="shared" si="5"/>
        <v>6.4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63">
        <v>60</v>
      </c>
      <c r="B149" s="63">
        <f>245+13</f>
        <v>258</v>
      </c>
      <c r="C149" s="63">
        <v>5</v>
      </c>
      <c r="D149" s="63">
        <f>12+13</f>
        <v>25</v>
      </c>
      <c r="E149" s="93"/>
      <c r="F149" s="93"/>
      <c r="G149" s="93"/>
      <c r="H149" s="93"/>
      <c r="I149" s="60">
        <f t="shared" si="5"/>
        <v>5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63">
        <v>65</v>
      </c>
      <c r="B150" s="63">
        <v>255</v>
      </c>
      <c r="C150" s="63"/>
      <c r="D150" s="63"/>
      <c r="E150" s="93"/>
      <c r="F150" s="93"/>
      <c r="G150" s="93"/>
      <c r="H150" s="93"/>
      <c r="I150" s="60">
        <f t="shared" si="5"/>
        <v>4.4000000000000004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63">
        <v>70</v>
      </c>
      <c r="B151" s="63">
        <f>263+11</f>
        <v>274</v>
      </c>
      <c r="C151" s="63">
        <v>6</v>
      </c>
      <c r="D151" s="63">
        <f>10+11</f>
        <v>21</v>
      </c>
      <c r="E151" s="93"/>
      <c r="F151" s="93"/>
      <c r="G151" s="93"/>
      <c r="H151" s="93"/>
      <c r="I151" s="60">
        <f t="shared" si="5"/>
        <v>3.8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63">
        <v>75</v>
      </c>
      <c r="B152" s="63">
        <v>270</v>
      </c>
      <c r="C152" s="63"/>
      <c r="D152" s="63"/>
      <c r="E152" s="68"/>
      <c r="F152" s="68"/>
      <c r="G152" s="68"/>
      <c r="H152" s="68"/>
      <c r="I152" s="60">
        <f t="shared" si="5"/>
        <v>3.4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63">
        <v>80</v>
      </c>
      <c r="B153" s="63">
        <f>276+9</f>
        <v>285</v>
      </c>
      <c r="C153" s="63">
        <v>7</v>
      </c>
      <c r="D153" s="63">
        <v>285</v>
      </c>
      <c r="E153" s="68"/>
      <c r="F153" s="68"/>
      <c r="G153" s="68"/>
      <c r="H153" s="68"/>
      <c r="I153" s="60">
        <f t="shared" si="5"/>
        <v>3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308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87" t="s">
        <v>186</v>
      </c>
      <c r="D164" s="287"/>
      <c r="E164" s="288" t="s">
        <v>187</v>
      </c>
      <c r="F164" s="289"/>
      <c r="G164" s="289"/>
      <c r="H164" s="290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308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87" t="s">
        <v>186</v>
      </c>
      <c r="D190" s="287"/>
      <c r="E190" s="288" t="s">
        <v>187</v>
      </c>
      <c r="F190" s="289"/>
      <c r="G190" s="289"/>
      <c r="H190" s="290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308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87" t="s">
        <v>186</v>
      </c>
      <c r="D216" s="287"/>
      <c r="E216" s="288" t="s">
        <v>187</v>
      </c>
      <c r="F216" s="289"/>
      <c r="G216" s="289"/>
      <c r="H216" s="290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308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87" t="s">
        <v>186</v>
      </c>
      <c r="D242" s="287"/>
      <c r="E242" s="288" t="s">
        <v>187</v>
      </c>
      <c r="F242" s="289"/>
      <c r="G242" s="289"/>
      <c r="H242" s="290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308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87" t="s">
        <v>186</v>
      </c>
      <c r="D268" s="287"/>
      <c r="E268" s="288" t="s">
        <v>187</v>
      </c>
      <c r="F268" s="289"/>
      <c r="G268" s="289"/>
      <c r="H268" s="290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WNNfjMejANGVl6TwNyOWjr6uE9FSKeYKc8G1xSRzhSSEEHHoiD4MGdHL+75tgTa2hkuargjtI146ITZNl/t3TQ==" saltValue="Rm8CBJr+fsZI1hzxuzToYA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B21" sqref="B21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1" t="s">
        <v>191</v>
      </c>
      <c r="C2" s="302"/>
      <c r="D2" s="302"/>
      <c r="E2" s="302"/>
      <c r="F2" s="302"/>
      <c r="G2" s="303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0"/>
      <c r="C4" s="300"/>
      <c r="D4" s="300"/>
      <c r="E4" s="300"/>
      <c r="F4" s="300"/>
      <c r="G4" s="300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297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296</v>
      </c>
      <c r="C7" s="109" t="s">
        <v>214</v>
      </c>
      <c r="D7" s="235"/>
      <c r="E7" s="110"/>
      <c r="F7" s="29" t="s">
        <v>296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302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310</v>
      </c>
      <c r="D14" s="236"/>
      <c r="E14" s="108"/>
      <c r="F14" s="116"/>
      <c r="G14" s="107" t="s">
        <v>295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296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0.26800000000000002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0.73199999999999998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bYYTRLA362MILumSLNbeoQ2hy+GJikiAN9JWuBENQVQ+g49rNjpbVQfv4HKmwJd5sECAbS9qnJ5D7VbOYAr62A==" saltValue="mhj60ytZCew56tNQmRqpzw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H3" sqref="BH3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07" t="s">
        <v>176</v>
      </c>
      <c r="C1" s="308"/>
      <c r="D1" s="308"/>
      <c r="E1" s="308"/>
      <c r="F1" s="308"/>
      <c r="G1" s="308"/>
      <c r="H1" s="309"/>
      <c r="I1" s="304" t="str">
        <f>IF('Données projet'!$B$9="","",'Données projet'!$B$9)</f>
        <v>Chêne pubescent</v>
      </c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6"/>
      <c r="AD1" s="305" t="str">
        <f>IF('Données projet'!$B$10="","",'Données projet'!$B$10)</f>
        <v>Chêne sessile</v>
      </c>
      <c r="AE1" s="305"/>
      <c r="AF1" s="305"/>
      <c r="AG1" s="305"/>
      <c r="AH1" s="305"/>
      <c r="AI1" s="305"/>
      <c r="AJ1" s="305"/>
      <c r="AK1" s="305"/>
      <c r="AL1" s="305"/>
      <c r="AM1" s="305"/>
      <c r="AN1" s="305"/>
      <c r="AO1" s="305"/>
      <c r="AP1" s="305"/>
      <c r="AQ1" s="305"/>
      <c r="AR1" s="305"/>
      <c r="AS1" s="305"/>
      <c r="AT1" s="305"/>
      <c r="AU1" s="305"/>
      <c r="AV1" s="305"/>
      <c r="AW1" s="305"/>
      <c r="AX1" s="306"/>
      <c r="AY1" s="304" t="str">
        <f>IF('Données projet'!$B$11="","",'Données projet'!$B$11)</f>
        <v>Cormier</v>
      </c>
      <c r="AZ1" s="305"/>
      <c r="BA1" s="305"/>
      <c r="BB1" s="305"/>
      <c r="BC1" s="305"/>
      <c r="BD1" s="305"/>
      <c r="BE1" s="305"/>
      <c r="BF1" s="305"/>
      <c r="BG1" s="305"/>
      <c r="BH1" s="305"/>
      <c r="BI1" s="305"/>
      <c r="BJ1" s="305"/>
      <c r="BK1" s="305"/>
      <c r="BL1" s="305"/>
      <c r="BM1" s="305"/>
      <c r="BN1" s="305"/>
      <c r="BO1" s="305"/>
      <c r="BP1" s="305"/>
      <c r="BQ1" s="305"/>
      <c r="BR1" s="305"/>
      <c r="BS1" s="306"/>
      <c r="BT1" s="304" t="str">
        <f>IF('Données projet'!$B$12="","",'Données projet'!$B$12)</f>
        <v>Aulne glutineux</v>
      </c>
      <c r="BU1" s="305"/>
      <c r="BV1" s="305"/>
      <c r="BW1" s="305"/>
      <c r="BX1" s="305"/>
      <c r="BY1" s="305"/>
      <c r="BZ1" s="305"/>
      <c r="CA1" s="305"/>
      <c r="CB1" s="305"/>
      <c r="CC1" s="305"/>
      <c r="CD1" s="305"/>
      <c r="CE1" s="305"/>
      <c r="CF1" s="305"/>
      <c r="CG1" s="305"/>
      <c r="CH1" s="305"/>
      <c r="CI1" s="305"/>
      <c r="CJ1" s="305"/>
      <c r="CK1" s="305"/>
      <c r="CL1" s="305"/>
      <c r="CM1" s="305"/>
      <c r="CN1" s="306"/>
      <c r="CO1" s="304" t="str">
        <f>IF('Données projet'!$B$13="","",'Données projet'!$B$13)</f>
        <v>Aulne à feuilles en cœur</v>
      </c>
      <c r="CP1" s="305"/>
      <c r="CQ1" s="305"/>
      <c r="CR1" s="305"/>
      <c r="CS1" s="305"/>
      <c r="CT1" s="305"/>
      <c r="CU1" s="305"/>
      <c r="CV1" s="305"/>
      <c r="CW1" s="305"/>
      <c r="CX1" s="305"/>
      <c r="CY1" s="305"/>
      <c r="CZ1" s="305"/>
      <c r="DA1" s="305"/>
      <c r="DB1" s="305"/>
      <c r="DC1" s="305"/>
      <c r="DD1" s="305"/>
      <c r="DE1" s="305"/>
      <c r="DF1" s="305"/>
      <c r="DG1" s="305"/>
      <c r="DH1" s="305"/>
      <c r="DI1" s="306"/>
      <c r="DJ1" s="304" t="str">
        <f>IF('Données projet'!$B$14="","",'Données projet'!$B$14)</f>
        <v/>
      </c>
      <c r="DK1" s="305"/>
      <c r="DL1" s="305"/>
      <c r="DM1" s="305"/>
      <c r="DN1" s="305"/>
      <c r="DO1" s="305"/>
      <c r="DP1" s="305"/>
      <c r="DQ1" s="305"/>
      <c r="DR1" s="305"/>
      <c r="DS1" s="305"/>
      <c r="DT1" s="305"/>
      <c r="DU1" s="305"/>
      <c r="DV1" s="305"/>
      <c r="DW1" s="305"/>
      <c r="DX1" s="305"/>
      <c r="DY1" s="305"/>
      <c r="DZ1" s="305"/>
      <c r="EA1" s="305"/>
      <c r="EB1" s="305"/>
      <c r="EC1" s="305"/>
      <c r="ED1" s="306"/>
      <c r="EE1" s="304" t="str">
        <f>IF('Données projet'!$B$15="","",'Données projet'!$B$15)</f>
        <v/>
      </c>
      <c r="EF1" s="305"/>
      <c r="EG1" s="305"/>
      <c r="EH1" s="305"/>
      <c r="EI1" s="305"/>
      <c r="EJ1" s="305"/>
      <c r="EK1" s="305"/>
      <c r="EL1" s="305"/>
      <c r="EM1" s="305"/>
      <c r="EN1" s="305"/>
      <c r="EO1" s="305"/>
      <c r="EP1" s="305"/>
      <c r="EQ1" s="305"/>
      <c r="ER1" s="305"/>
      <c r="ES1" s="305"/>
      <c r="ET1" s="305"/>
      <c r="EU1" s="305"/>
      <c r="EV1" s="305"/>
      <c r="EW1" s="305"/>
      <c r="EX1" s="305"/>
      <c r="EY1" s="306"/>
      <c r="EZ1" s="304" t="str">
        <f>IF('Données projet'!$B$16="","",'Données projet'!$B$16)</f>
        <v/>
      </c>
      <c r="FA1" s="305"/>
      <c r="FB1" s="305"/>
      <c r="FC1" s="305"/>
      <c r="FD1" s="305"/>
      <c r="FE1" s="305"/>
      <c r="FF1" s="305"/>
      <c r="FG1" s="305"/>
      <c r="FH1" s="305"/>
      <c r="FI1" s="305"/>
      <c r="FJ1" s="305"/>
      <c r="FK1" s="305"/>
      <c r="FL1" s="305"/>
      <c r="FM1" s="305"/>
      <c r="FN1" s="305"/>
      <c r="FO1" s="305"/>
      <c r="FP1" s="305"/>
      <c r="FQ1" s="305"/>
      <c r="FR1" s="305"/>
      <c r="FS1" s="305"/>
      <c r="FT1" s="306"/>
      <c r="FU1" s="304" t="str">
        <f>IF('Données projet'!$B$17="","",'Données projet'!$B$17)</f>
        <v/>
      </c>
      <c r="FV1" s="305"/>
      <c r="FW1" s="305"/>
      <c r="FX1" s="305"/>
      <c r="FY1" s="305"/>
      <c r="FZ1" s="305"/>
      <c r="GA1" s="305"/>
      <c r="GB1" s="305"/>
      <c r="GC1" s="305"/>
      <c r="GD1" s="305"/>
      <c r="GE1" s="305"/>
      <c r="GF1" s="305"/>
      <c r="GG1" s="305"/>
      <c r="GH1" s="305"/>
      <c r="GI1" s="305"/>
      <c r="GJ1" s="305"/>
      <c r="GK1" s="305"/>
      <c r="GL1" s="305"/>
      <c r="GM1" s="305"/>
      <c r="GN1" s="305"/>
      <c r="GO1" s="306"/>
      <c r="GP1" s="304" t="str">
        <f>IF('Données projet'!$B$18="","",'Données projet'!$B$18)</f>
        <v/>
      </c>
      <c r="GQ1" s="305"/>
      <c r="GR1" s="305"/>
      <c r="GS1" s="305"/>
      <c r="GT1" s="305"/>
      <c r="GU1" s="305"/>
      <c r="GV1" s="305"/>
      <c r="GW1" s="305"/>
      <c r="GX1" s="305"/>
      <c r="GY1" s="305"/>
      <c r="GZ1" s="305"/>
      <c r="HA1" s="305"/>
      <c r="HB1" s="305"/>
      <c r="HC1" s="305"/>
      <c r="HD1" s="305"/>
      <c r="HE1" s="305"/>
      <c r="HF1" s="305"/>
      <c r="HG1" s="305"/>
      <c r="HH1" s="305"/>
      <c r="HI1" s="305"/>
      <c r="HJ1" s="306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299</v>
      </c>
      <c r="F2" s="6" t="s">
        <v>298</v>
      </c>
      <c r="G2" s="6" t="s">
        <v>303</v>
      </c>
      <c r="H2" s="69" t="s">
        <v>300</v>
      </c>
      <c r="I2" s="72" t="s">
        <v>299</v>
      </c>
      <c r="J2" s="73" t="s">
        <v>298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303</v>
      </c>
      <c r="R2" s="7" t="s">
        <v>301</v>
      </c>
      <c r="S2" s="7" t="s">
        <v>309</v>
      </c>
      <c r="T2" s="7" t="s">
        <v>304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299</v>
      </c>
      <c r="AE2" s="73" t="s">
        <v>298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303</v>
      </c>
      <c r="AM2" s="7" t="s">
        <v>301</v>
      </c>
      <c r="AN2" s="7" t="s">
        <v>309</v>
      </c>
      <c r="AO2" s="7" t="s">
        <v>304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299</v>
      </c>
      <c r="AZ2" s="73" t="s">
        <v>298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303</v>
      </c>
      <c r="BH2" s="7" t="s">
        <v>301</v>
      </c>
      <c r="BI2" s="7" t="s">
        <v>309</v>
      </c>
      <c r="BJ2" s="7" t="s">
        <v>304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299</v>
      </c>
      <c r="BU2" s="73" t="s">
        <v>298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303</v>
      </c>
      <c r="CC2" s="7" t="s">
        <v>301</v>
      </c>
      <c r="CD2" s="7" t="s">
        <v>309</v>
      </c>
      <c r="CE2" s="7" t="s">
        <v>304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299</v>
      </c>
      <c r="CP2" s="73" t="s">
        <v>298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303</v>
      </c>
      <c r="CX2" s="7" t="s">
        <v>301</v>
      </c>
      <c r="CY2" s="7" t="s">
        <v>309</v>
      </c>
      <c r="CZ2" s="7" t="s">
        <v>304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299</v>
      </c>
      <c r="DK2" s="73" t="s">
        <v>298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303</v>
      </c>
      <c r="DS2" s="7" t="s">
        <v>301</v>
      </c>
      <c r="DT2" s="7" t="s">
        <v>309</v>
      </c>
      <c r="DU2" s="7" t="s">
        <v>304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299</v>
      </c>
      <c r="EF2" s="73" t="s">
        <v>298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303</v>
      </c>
      <c r="EN2" s="7" t="s">
        <v>301</v>
      </c>
      <c r="EO2" s="7" t="s">
        <v>309</v>
      </c>
      <c r="EP2" s="7" t="s">
        <v>304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299</v>
      </c>
      <c r="FA2" s="73" t="s">
        <v>298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303</v>
      </c>
      <c r="FI2" s="7" t="s">
        <v>301</v>
      </c>
      <c r="FJ2" s="7" t="s">
        <v>309</v>
      </c>
      <c r="FK2" s="7" t="s">
        <v>304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299</v>
      </c>
      <c r="FV2" s="73" t="s">
        <v>298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303</v>
      </c>
      <c r="GD2" s="7" t="s">
        <v>301</v>
      </c>
      <c r="GE2" s="7" t="s">
        <v>309</v>
      </c>
      <c r="GF2" s="7" t="s">
        <v>304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299</v>
      </c>
      <c r="GQ2" s="73" t="s">
        <v>298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303</v>
      </c>
      <c r="GY2" s="7" t="s">
        <v>301</v>
      </c>
      <c r="GZ2" s="7" t="s">
        <v>309</v>
      </c>
      <c r="HA2" s="7" t="s">
        <v>304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1.34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4.9133333333333331</v>
      </c>
      <c r="H3" s="70">
        <f>(B3+E3+F3)*44/12+(C3+D3)*0.475*44/12</f>
        <v>237.01333333333332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63.300000000000004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232.10000000000002</v>
      </c>
      <c r="S3" s="62">
        <f ca="1">AVERAGE(OFFSET($R$3,0,0,'Données projet'!$E$9+1,1))-AVERAGE(OFFSET($H$3,0,0,'Données projet'!$E$9+1,1))</f>
        <v>488.16146816015231</v>
      </c>
      <c r="T3" s="62">
        <f>IF('Données projet'!E9&gt;30,$R$33-$H$33,LOOKUP('Données projet'!$E$9,$A$3:$A$203,R3:R203)-LOOKUP('Données projet'!$E$9,$A$3:$A$203,$H$3:$H$203))</f>
        <v>259.37115195552127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63.300000000000004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232.10000000000002</v>
      </c>
      <c r="AN3" s="62">
        <f ca="1">AVERAGE(OFFSET($AM$3,0,0,'Données projet'!$E$10+1,1))-AVERAGE(OFFSET($H$3,0,0,'Données projet'!$E$10+1,1))</f>
        <v>441.34749554136755</v>
      </c>
      <c r="AO3" s="62">
        <f>IF('Données projet'!E10&gt;30,$AM$33-$H$33,LOOKUP('Données projet'!$E$10,$A$3:$A$203,AM3:AM203)-LOOKUP('Données projet'!$E$10,$A$3:$A$203,$H$3:$H$203))</f>
        <v>236.49038586666222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63.300000000000004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232.10000000000002</v>
      </c>
      <c r="BI3" s="62">
        <f ca="1">AVERAGE(OFFSET($BH$3,0,0,'Données projet'!$E$11+1,1))-AVERAGE(OFFSET($H$3,0,0,'Données projet'!$E$11+1,1))</f>
        <v>514.86487884889584</v>
      </c>
      <c r="BJ3" s="62">
        <f>IF('Données projet'!E11&gt;30,$BH$33-$H$33,LOOKUP('Données projet'!$E$11,$A$3:$A$203,BH3:BH203)-LOOKUP('Données projet'!$E$11,$A$3:$A$203,$H$3:$H$203))</f>
        <v>272.4206208356191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63.300000000000004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projet'!$B$12,Paramètres!$A$1:$I$88,3,0)*VLOOKUP('Données projet'!$B$12,Paramètres!$A$1:$I$88,5,0)</f>
        <v>0</v>
      </c>
      <c r="CA3" s="13">
        <v>0</v>
      </c>
      <c r="CB3" s="15">
        <f>(BZ3+CA3)*0.475*44/12</f>
        <v>0</v>
      </c>
      <c r="CC3" s="62">
        <f>CB3+(BT3+BU3)*44/12</f>
        <v>232.10000000000002</v>
      </c>
      <c r="CD3" s="62">
        <f ca="1">AVERAGE(OFFSET($CC$3,0,0,'Données projet'!$E$12+1,1))-AVERAGE(OFFSET($H$3,0,0,'Données projet'!$E$12+1,1))</f>
        <v>270.10151451661864</v>
      </c>
      <c r="CE3" s="62">
        <f>IF('Données projet'!E12&gt;30,$CC$33-$H$33,LOOKUP('Données projet'!$E$12,$A$3:$A$203,CC3:CC203)-LOOKUP('Données projet'!$E$12,$A$3:$A$203,$H$3:$H$203))</f>
        <v>294.47934482366804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63.300000000000004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projet'!$B$13,Paramètres!$A$1:$I$88,3,0)*VLOOKUP('Données projet'!$B$13,Paramètres!$A$1:$I$88,5,0)</f>
        <v>0</v>
      </c>
      <c r="CV3" s="13">
        <v>0</v>
      </c>
      <c r="CW3" s="15">
        <f>(CU3+CV3)*0.475*44/12</f>
        <v>0</v>
      </c>
      <c r="CX3" s="62">
        <f>CW3+(CO3+CP3)*44/12</f>
        <v>232.10000000000002</v>
      </c>
      <c r="CY3" s="62">
        <f ca="1">AVERAGE(OFFSET($CX$3,0,0,'Données projet'!$E$13+1,1))-AVERAGE(OFFSET($H$3,0,0,'Données projet'!$E$13+1,1))</f>
        <v>270.10151451661864</v>
      </c>
      <c r="CZ3" s="62">
        <f>IF('Données projet'!E13&gt;30,$CX$33-$H$33,LOOKUP('Données projet'!$E$13,$A$3:$A$203,CX3:CX203)-LOOKUP('Données projet'!$E$13,$A$3:$A$203,$H$3:$H$203))</f>
        <v>294.47934482366804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63.300000000000004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63.300000000000004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63.300000000000004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63.300000000000004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63.300000000000004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1.34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4.9133333333333331</v>
      </c>
      <c r="H4" s="70">
        <f t="shared" ref="H4:H67" si="1">(B4+E4+F4)*44/12+(C4+D4)*0.475*44/12</f>
        <v>237.01333333333332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63.416230021044015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projet'!$B$9,Paramètres!$A$1:$I$88,3,0)*VLOOKUP('Données projet'!$B$9,Paramètres!$A$1:$I$88,5,0)</f>
        <v>1.2223636300497438</v>
      </c>
      <c r="P4" s="14">
        <f>EXP(-1.0587+0.8836*LN(O4)+0.284)</f>
        <v>0.55030360208821416</v>
      </c>
      <c r="Q4" s="22">
        <f t="shared" ref="Q4:Q34" si="2">(O4+P4)*0.475*44/12</f>
        <v>3.0873954293069432</v>
      </c>
      <c r="R4" s="62">
        <f t="shared" si="0"/>
        <v>236.83579439535725</v>
      </c>
      <c r="S4" s="62">
        <f ca="1">AVERAGE(OFFSET($R$3,0,0,'Données projet'!$E$9+1,1))-AVERAGE(OFFSET($H$3,0,0,'Données projet'!$E$9+1,1))</f>
        <v>488.16146816015231</v>
      </c>
      <c r="T4" s="62">
        <f>$T$3</f>
        <v>259.37115195552127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63.416230021044015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projet'!$B$10,Paramètres!$A$1:$I$88,3,0)*VLOOKUP('Données projet'!$B$10,Paramètres!$A$1:$I$88,5,0)</f>
        <v>1.0907244698905405</v>
      </c>
      <c r="AK4" s="14">
        <f>EXP(-1.0587+0.8836*LN(AJ4)+0.284)</f>
        <v>0.49759623852608204</v>
      </c>
      <c r="AL4" s="22">
        <f t="shared" ref="AL4:AL67" si="4">(AJ4+AK4)*0.475*44/12</f>
        <v>2.7663252338256172</v>
      </c>
      <c r="AM4" s="62">
        <f t="shared" ref="AM4:AM67" si="5">AL4+(AD4+AE4)*44/12</f>
        <v>236.51472419987593</v>
      </c>
      <c r="AN4" s="62">
        <f ca="1">AVERAGE(OFFSET($AM$3,0,0,'Données projet'!$E$10+1,1))-AVERAGE(OFFSET($H$3,0,0,'Données projet'!$E$10+1,1))</f>
        <v>441.34749554136755</v>
      </c>
      <c r="AO4" s="62">
        <f>$AO$3</f>
        <v>236.49038586666222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63.416230021044015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</v>
      </c>
      <c r="BD4" s="13">
        <f>IF('Données projet'!$A$88&gt;35,BD3+BC4-BL3,IF(A4&lt;'Données projet'!$A$88,$BA$205^A4,IF(A4='Données projet'!$A$88,'Données projet'!$B$88,BD3+BC4-BL3)))</f>
        <v>1.2054868146447177</v>
      </c>
      <c r="BE4" s="14">
        <f>BD4*VLOOKUP('Données projet'!$B$11,Paramètres!$A$1:$I$88,3,0)*VLOOKUP('Données projet'!$B$11,Paramètres!$A$1:$I$88,5,0)</f>
        <v>1.2975860072835741</v>
      </c>
      <c r="BF4" s="14">
        <f>EXP(-1.0587+0.8836*LN(BE4)+0.284)</f>
        <v>0.58012177912374829</v>
      </c>
      <c r="BG4" s="22">
        <f t="shared" ref="BG4:BG67" si="7">(BE4+BF4)*0.475*44/12</f>
        <v>3.2703410613260862</v>
      </c>
      <c r="BH4" s="62">
        <f t="shared" ref="BH4:BH67" si="8">BG4+(AY4+AZ4)*44/12</f>
        <v>237.0187400273764</v>
      </c>
      <c r="BI4" s="62">
        <f ca="1">AVERAGE(OFFSET($BH$3,0,0,'Données projet'!$E$11+1,1))-AVERAGE(OFFSET($H$3,0,0,'Données projet'!$E$11+1,1))</f>
        <v>514.86487884889584</v>
      </c>
      <c r="BJ4" s="62">
        <f>$BJ$3</f>
        <v>272.4206208356191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projet'!$B$11,Paramètres!$A$1:$I$88,3,0)*0.475*44/12</f>
        <v>0</v>
      </c>
      <c r="BQ4" s="23">
        <f>EXP(-LN(2)/25)*BQ3+(1-EXP(-LN(2)/25))/(LN(2)/25)*Calculateur!BL4*Calculateur!BN4*VLOOKUP('Données projet'!$B$11,Paramètres!$A$1:$I$88,3,0)*0.475*44/12</f>
        <v>0</v>
      </c>
      <c r="BR4" s="23">
        <f>EXP(-LN(2)/2)*BR3+(1-EXP(-LN(2)/2))/(LN(2)/2)*BL4*BO4*VLOOKUP('Données projet'!$B$11,Paramètres!$A$1:$I$88,3,0)*0.475*44/12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63.416230021044015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2.4666666666666668</v>
      </c>
      <c r="BY4" s="13">
        <f>IF('Données projet'!$A$114&gt;35,BY3+BX4-CG3,IF(A4&lt;'Données projet'!$A$114,$BV$205^A4,IF(A4='Données projet'!$A$114,'Données projet'!$B$114,BY3+BX4-CG3)))</f>
        <v>1.2721747796233518</v>
      </c>
      <c r="BZ4" s="14">
        <f>BY4*VLOOKUP('Données projet'!$B$12,Paramètres!$A$1:$I$88,3,0)*VLOOKUP('Données projet'!$B$12,Paramètres!$A$1:$I$88,5,0)</f>
        <v>0.83352891560922016</v>
      </c>
      <c r="CA4" s="14">
        <f>EXP(-1.0587+0.8836*LN(BZ4)+0.284)</f>
        <v>0.39235353441936577</v>
      </c>
      <c r="CB4" s="22">
        <f t="shared" ref="CB4:CB67" si="10">(BZ4+CA4)*0.475*44/12</f>
        <v>2.1350786004664535</v>
      </c>
      <c r="CC4" s="62">
        <f t="shared" ref="CC4:CC67" si="11">CB4+(BT4+BU4)*44/12</f>
        <v>235.88347756651675</v>
      </c>
      <c r="CD4" s="62">
        <f ca="1">AVERAGE(OFFSET($CC$3,0,0,'Données projet'!$E$12+1,1))-AVERAGE(OFFSET($H$3,0,0,'Données projet'!$E$12+1,1))</f>
        <v>270.10151451661864</v>
      </c>
      <c r="CE4" s="62">
        <f>$CE$3</f>
        <v>294.47934482366804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projet'!$B$12,Paramètres!$A$1:$I$88,3,0)*0.475*44/12</f>
        <v>0</v>
      </c>
      <c r="CL4" s="23">
        <f>EXP(-LN(2)/25)*CL3+(1-EXP(-LN(2)/25))/(LN(2)/25)*Calculateur!CG4*Calculateur!CI4*VLOOKUP('Données projet'!$B$12,Paramètres!$A$1:$I$88,3,0)*0.475*44/12</f>
        <v>0</v>
      </c>
      <c r="CM4" s="23">
        <f>EXP(-LN(2)/2)*CM3+(1-EXP(-LN(2)/2))/(LN(2)/2)*CG4*CJ4*VLOOKUP('Données projet'!$B$12,Paramètres!$A$1:$I$88,3,0)*0.475*44/12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63.416230021044015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2.4666666666666668</v>
      </c>
      <c r="CT4" s="13">
        <f>IF('Données projet'!$A$140&gt;35,CT3+CS4-DB3,IF(A4&lt;'Données projet'!$A$140,$CQ$205^A4,IF(A4='Données projet'!$A$140,'Données projet'!$B$140,CT3+CS4-DB3)))</f>
        <v>1.2721747796233518</v>
      </c>
      <c r="CU4" s="18">
        <f>CT4*VLOOKUP('Données projet'!$B$13,Paramètres!$A$1:$I$88,3,0)*VLOOKUP('Données projet'!$B$13,Paramètres!$A$1:$I$88,5,0)</f>
        <v>0.83352891560922016</v>
      </c>
      <c r="CV4" s="14">
        <f>EXP(-1.0587+0.8836*LN(CU4)+0.284)</f>
        <v>0.39235353441936577</v>
      </c>
      <c r="CW4" s="22">
        <f t="shared" ref="CW4:CW67" si="13">(CU4+CV4)*0.475*44/12</f>
        <v>2.1350786004664535</v>
      </c>
      <c r="CX4" s="62">
        <f t="shared" ref="CX4:CX67" si="14">CW4+(CO4+CP4)*44/12</f>
        <v>235.88347756651675</v>
      </c>
      <c r="CY4" s="62">
        <f ca="1">AVERAGE(OFFSET($CX$3,0,0,'Données projet'!$E$13+1,1))-AVERAGE(OFFSET($H$3,0,0,'Données projet'!$E$13+1,1))</f>
        <v>270.10151451661864</v>
      </c>
      <c r="CZ4" s="62">
        <f>$CZ$3</f>
        <v>294.47934482366804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projet'!$B$13,Paramètres!$A$1:$I$88,3,0)*0.475*44/12</f>
        <v>0</v>
      </c>
      <c r="DG4" s="23">
        <f>EXP(-LN(2)/25)*DG3+(1-EXP(-LN(2)/25))/(LN(2)/25)*Calculateur!DB4*Calculateur!DD4*VLOOKUP('Données projet'!$B$13,Paramètres!$A$1:$I$88,3,0)*0.475*44/12</f>
        <v>0</v>
      </c>
      <c r="DH4" s="23">
        <f>EXP(-LN(2)/2)*DH3+(1-EXP(-LN(2)/2))/(LN(2)/2)*DB4*DE4*VLOOKUP('Données projet'!$B$13,Paramètres!$A$1:$I$88,3,0)*0.475*44/12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63.416230021044015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projet'!$B$14,Paramètres!$A$1:$I$88,3,0)*0.475*44/12</f>
        <v>#N/A</v>
      </c>
      <c r="EB4" s="23" t="e">
        <f>EXP(-LN(2)/25)*EB3+(1-EXP(-LN(2)/25))/(LN(2)/25)*Calculateur!DW4*Calculateur!DY4*VLOOKUP('Données projet'!$B$14,Paramètres!$A$1:$I$88,3,0)*0.475*44/12</f>
        <v>#N/A</v>
      </c>
      <c r="EC4" s="23" t="e">
        <f>EXP(-LN(2)/2)*EC3+(1-EXP(-LN(2)/2))/(LN(2)/2)*DW4*DZ4*VLOOKUP('Données projet'!$B$14,Paramètres!$A$1:$I$88,3,0)*0.475*44/12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63.416230021044015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63.416230021044015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63.416230021044015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63.416230021044015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1.34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4.9133333333333331</v>
      </c>
      <c r="H5" s="70">
        <f t="shared" si="1"/>
        <v>237.01333333333332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63.530443711074305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projet'!$B$9,Paramètres!$A$1:$I$88,3,0)*VLOOKUP('Données projet'!$B$9,Paramètres!$A$1:$I$88,5,0)</f>
        <v>1.47354323872622</v>
      </c>
      <c r="P5" s="14">
        <f t="shared" ref="P5:P68" si="33">EXP(-1.0587+0.8836*LN(O5)+0.284)</f>
        <v>0.64910881835703094</v>
      </c>
      <c r="Q5" s="22">
        <f t="shared" si="2"/>
        <v>3.6969523327533285</v>
      </c>
      <c r="R5" s="62">
        <f t="shared" si="0"/>
        <v>239.08635705113687</v>
      </c>
      <c r="S5" s="62">
        <f ca="1">AVERAGE(OFFSET($R$3,0,0,'Données projet'!$E$9+1,1))-AVERAGE(OFFSET($H$3,0,0,'Données projet'!$E$9+1,1))</f>
        <v>488.16146816015231</v>
      </c>
      <c r="T5" s="62">
        <f t="shared" ref="T5:T68" si="34">$T$3</f>
        <v>259.37115195552127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63.530443711074305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projet'!$B$10,Paramètres!$A$1:$I$88,3,0)*VLOOKUP('Données projet'!$B$10,Paramètres!$A$1:$I$88,5,0)</f>
        <v>1.3148539668633961</v>
      </c>
      <c r="AK5" s="14">
        <f t="shared" ref="AK5:AK68" si="35">EXP(-1.0587+0.8836*LN(AJ5)+0.284)</f>
        <v>0.58693801963664449</v>
      </c>
      <c r="AL5" s="22">
        <f t="shared" si="4"/>
        <v>3.3122877098209038</v>
      </c>
      <c r="AM5" s="62">
        <f t="shared" si="5"/>
        <v>238.70169242820444</v>
      </c>
      <c r="AN5" s="62">
        <f ca="1">AVERAGE(OFFSET($AM$3,0,0,'Données projet'!$E$10+1,1))-AVERAGE(OFFSET($H$3,0,0,'Données projet'!$E$10+1,1))</f>
        <v>441.34749554136755</v>
      </c>
      <c r="AO5" s="62">
        <f t="shared" ref="AO5:AO68" si="36">$AO$3</f>
        <v>236.49038586666222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63.530443711074305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</v>
      </c>
      <c r="BD5" s="13">
        <f>IF('Données projet'!$A$88&gt;35,BD4+BC5-BL4,IF(A5&lt;'Données projet'!$A$88,$BA$205^A5,IF(A5='Données projet'!$A$88,'Données projet'!$B$88,BD4+BC5-BL4)))</f>
        <v>1.4531984602822681</v>
      </c>
      <c r="BE5" s="14">
        <f>BD5*VLOOKUP('Données projet'!$B$11,Paramètres!$A$1:$I$88,3,0)*VLOOKUP('Données projet'!$B$11,Paramètres!$A$1:$I$88,5,0)</f>
        <v>1.5642228226478332</v>
      </c>
      <c r="BF5" s="14">
        <f t="shared" ref="BF5:BF68" si="37">EXP(-1.0587+0.8836*LN(BE5)+0.284)</f>
        <v>0.68428075179095682</v>
      </c>
      <c r="BG5" s="22">
        <f t="shared" si="7"/>
        <v>3.9161437254808931</v>
      </c>
      <c r="BH5" s="62">
        <f t="shared" si="8"/>
        <v>239.30554844386444</v>
      </c>
      <c r="BI5" s="62">
        <f ca="1">AVERAGE(OFFSET($BH$3,0,0,'Données projet'!$E$11+1,1))-AVERAGE(OFFSET($H$3,0,0,'Données projet'!$E$11+1,1))</f>
        <v>514.86487884889584</v>
      </c>
      <c r="BJ5" s="62">
        <f t="shared" ref="BJ5:BJ68" si="38">$BJ$3</f>
        <v>272.4206208356191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projet'!$B$11,Paramètres!$A$1:$I$88,3,0)*0.475*44/12</f>
        <v>0</v>
      </c>
      <c r="BQ5" s="23">
        <f>EXP(-LN(2)/25)*BQ4+(1-EXP(-LN(2)/25))/(LN(2)/25)*Calculateur!BL5*Calculateur!BN5*VLOOKUP('Données projet'!$B$11,Paramètres!$A$1:$I$88,3,0)*0.475*44/12</f>
        <v>0</v>
      </c>
      <c r="BR5" s="23">
        <f>EXP(-LN(2)/2)*BR4+(1-EXP(-LN(2)/2))/(LN(2)/2)*BL5*BO5*VLOOKUP('Données projet'!$B$11,Paramètres!$A$1:$I$88,3,0)*0.475*44/12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63.530443711074305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2.4666666666666668</v>
      </c>
      <c r="BY5" s="13">
        <f>IF('Données projet'!$A$114&gt;35,BY4+BX5-CG4,IF(A5&lt;'Données projet'!$A$114,$BV$205^A5,IF(A5='Données projet'!$A$114,'Données projet'!$B$114,BY4+BX5-CG4)))</f>
        <v>1.6184286699097237</v>
      </c>
      <c r="BZ5" s="14">
        <f>BY5*VLOOKUP('Données projet'!$B$12,Paramètres!$A$1:$I$88,3,0)*VLOOKUP('Données projet'!$B$12,Paramètres!$A$1:$I$88,5,0)</f>
        <v>1.0603944645248509</v>
      </c>
      <c r="CA5" s="14">
        <f t="shared" ref="CA5:CA68" si="39">EXP(-1.0587+0.8836*LN(BZ5)+0.284)</f>
        <v>0.48535007986351425</v>
      </c>
      <c r="CB5" s="22">
        <f t="shared" si="10"/>
        <v>2.6921717481430694</v>
      </c>
      <c r="CC5" s="62">
        <f t="shared" si="11"/>
        <v>238.0815764665266</v>
      </c>
      <c r="CD5" s="62">
        <f ca="1">AVERAGE(OFFSET($CC$3,0,0,'Données projet'!$E$12+1,1))-AVERAGE(OFFSET($H$3,0,0,'Données projet'!$E$12+1,1))</f>
        <v>270.10151451661864</v>
      </c>
      <c r="CE5" s="62">
        <f t="shared" ref="CE5:CE68" si="40">$CE$3</f>
        <v>294.47934482366804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projet'!$B$12,Paramètres!$A$1:$I$88,3,0)*0.475*44/12</f>
        <v>0</v>
      </c>
      <c r="CL5" s="23">
        <f>EXP(-LN(2)/25)*CL4+(1-EXP(-LN(2)/25))/(LN(2)/25)*Calculateur!CG5*Calculateur!CI5*VLOOKUP('Données projet'!$B$12,Paramètres!$A$1:$I$88,3,0)*0.475*44/12</f>
        <v>0</v>
      </c>
      <c r="CM5" s="23">
        <f>EXP(-LN(2)/2)*CM4+(1-EXP(-LN(2)/2))/(LN(2)/2)*CG5*CJ5*VLOOKUP('Données projet'!$B$12,Paramètres!$A$1:$I$88,3,0)*0.475*44/12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63.530443711074305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2.4666666666666668</v>
      </c>
      <c r="CT5" s="13">
        <f>IF('Données projet'!$A$140&gt;35,CT4+CS5-DB4,IF(A5&lt;'Données projet'!$A$140,$CQ$205^A5,IF(A5='Données projet'!$A$140,'Données projet'!$B$140,CT4+CS5-DB4)))</f>
        <v>1.6184286699097237</v>
      </c>
      <c r="CU5" s="18">
        <f>CT5*VLOOKUP('Données projet'!$B$13,Paramètres!$A$1:$I$88,3,0)*VLOOKUP('Données projet'!$B$13,Paramètres!$A$1:$I$88,5,0)</f>
        <v>1.0603944645248509</v>
      </c>
      <c r="CV5" s="14">
        <f t="shared" ref="CV5:CV68" si="41">EXP(-1.0587+0.8836*LN(CU5)+0.284)</f>
        <v>0.48535007986351425</v>
      </c>
      <c r="CW5" s="22">
        <f t="shared" si="13"/>
        <v>2.6921717481430694</v>
      </c>
      <c r="CX5" s="62">
        <f t="shared" si="14"/>
        <v>238.0815764665266</v>
      </c>
      <c r="CY5" s="62">
        <f ca="1">AVERAGE(OFFSET($CX$3,0,0,'Données projet'!$E$13+1,1))-AVERAGE(OFFSET($H$3,0,0,'Données projet'!$E$13+1,1))</f>
        <v>270.10151451661864</v>
      </c>
      <c r="CZ5" s="62">
        <f t="shared" ref="CZ5:CZ68" si="42">$CZ$3</f>
        <v>294.47934482366804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projet'!$B$13,Paramètres!$A$1:$I$88,3,0)*0.475*44/12</f>
        <v>0</v>
      </c>
      <c r="DG5" s="23">
        <f>EXP(-LN(2)/25)*DG4+(1-EXP(-LN(2)/25))/(LN(2)/25)*Calculateur!DB5*Calculateur!DD5*VLOOKUP('Données projet'!$B$13,Paramètres!$A$1:$I$88,3,0)*0.475*44/12</f>
        <v>0</v>
      </c>
      <c r="DH5" s="23">
        <f>EXP(-LN(2)/2)*DH4+(1-EXP(-LN(2)/2))/(LN(2)/2)*DB5*DE5*VLOOKUP('Données projet'!$B$13,Paramètres!$A$1:$I$88,3,0)*0.475*44/12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63.530443711074305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projet'!$B$14,Paramètres!$A$1:$I$88,3,0)*0.475*44/12</f>
        <v>#N/A</v>
      </c>
      <c r="EB5" s="23" t="e">
        <f>EXP(-LN(2)/25)*EB4+(1-EXP(-LN(2)/25))/(LN(2)/25)*Calculateur!DW5*Calculateur!DY5*VLOOKUP('Données projet'!$B$14,Paramètres!$A$1:$I$88,3,0)*0.475*44/12</f>
        <v>#N/A</v>
      </c>
      <c r="EC5" s="23" t="e">
        <f>EXP(-LN(2)/2)*EC4+(1-EXP(-LN(2)/2))/(LN(2)/2)*DW5*DZ5*VLOOKUP('Données projet'!$B$14,Paramètres!$A$1:$I$88,3,0)*0.475*44/12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63.530443711074305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63.530443711074305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63.530443711074305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63.530443711074305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1.34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4.9133333333333331</v>
      </c>
      <c r="H6" s="70">
        <f t="shared" si="1"/>
        <v>237.01333333333332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63.642676048926134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projet'!$B$9,Paramètres!$A$1:$I$88,3,0)*VLOOKUP('Données projet'!$B$9,Paramètres!$A$1:$I$88,5,0)</f>
        <v>1.7763369450933317</v>
      </c>
      <c r="P6" s="14">
        <f t="shared" si="33"/>
        <v>0.76565418883323866</v>
      </c>
      <c r="Q6" s="22">
        <f t="shared" si="2"/>
        <v>4.4273012249221102</v>
      </c>
      <c r="R6" s="62">
        <f t="shared" si="0"/>
        <v>241.45044673765125</v>
      </c>
      <c r="S6" s="62">
        <f ca="1">AVERAGE(OFFSET($R$3,0,0,'Données projet'!$E$9+1,1))-AVERAGE(OFFSET($H$3,0,0,'Données projet'!$E$9+1,1))</f>
        <v>488.16146816015231</v>
      </c>
      <c r="T6" s="62">
        <f t="shared" si="34"/>
        <v>259.37115195552127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63.642676048926134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projet'!$B$10,Paramètres!$A$1:$I$88,3,0)*VLOOKUP('Données projet'!$B$10,Paramètres!$A$1:$I$88,5,0)</f>
        <v>1.5850391202371266</v>
      </c>
      <c r="AK6" s="14">
        <f t="shared" si="35"/>
        <v>0.69232082604846479</v>
      </c>
      <c r="AL6" s="22">
        <f t="shared" si="4"/>
        <v>3.966401906447405</v>
      </c>
      <c r="AM6" s="62">
        <f t="shared" si="5"/>
        <v>240.98954741917655</v>
      </c>
      <c r="AN6" s="62">
        <f ca="1">AVERAGE(OFFSET($AM$3,0,0,'Données projet'!$E$10+1,1))-AVERAGE(OFFSET($H$3,0,0,'Données projet'!$E$10+1,1))</f>
        <v>441.34749554136755</v>
      </c>
      <c r="AO6" s="62">
        <f t="shared" si="36"/>
        <v>236.49038586666222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63.642676048926134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</v>
      </c>
      <c r="BD6" s="13">
        <f>IF('Données projet'!$A$88&gt;35,BD5+BC6-BL5,IF(A6&lt;'Données projet'!$A$88,$BA$205^A6,IF(A6='Données projet'!$A$88,'Données projet'!$B$88,BD5+BC6-BL5)))</f>
        <v>1.7518115829322798</v>
      </c>
      <c r="BE6" s="14">
        <f>BD6*VLOOKUP('Données projet'!$B$11,Paramètres!$A$1:$I$88,3,0)*VLOOKUP('Données projet'!$B$11,Paramètres!$A$1:$I$88,5,0)</f>
        <v>1.885649987868306</v>
      </c>
      <c r="BF6" s="14">
        <f t="shared" si="37"/>
        <v>0.8071411281590839</v>
      </c>
      <c r="BG6" s="22">
        <f t="shared" si="7"/>
        <v>4.6899445270810372</v>
      </c>
      <c r="BH6" s="62">
        <f t="shared" si="8"/>
        <v>241.71309003981017</v>
      </c>
      <c r="BI6" s="62">
        <f ca="1">AVERAGE(OFFSET($BH$3,0,0,'Données projet'!$E$11+1,1))-AVERAGE(OFFSET($H$3,0,0,'Données projet'!$E$11+1,1))</f>
        <v>514.86487884889584</v>
      </c>
      <c r="BJ6" s="62">
        <f t="shared" si="38"/>
        <v>272.4206208356191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projet'!$B$11,Paramètres!$A$1:$I$88,3,0)*0.475*44/12</f>
        <v>0</v>
      </c>
      <c r="BQ6" s="23">
        <f>EXP(-LN(2)/25)*BQ5+(1-EXP(-LN(2)/25))/(LN(2)/25)*Calculateur!BL6*Calculateur!BN6*VLOOKUP('Données projet'!$B$11,Paramètres!$A$1:$I$88,3,0)*0.475*44/12</f>
        <v>0</v>
      </c>
      <c r="BR6" s="23">
        <f>EXP(-LN(2)/2)*BR5+(1-EXP(-LN(2)/2))/(LN(2)/2)*BL6*BO6*VLOOKUP('Données projet'!$B$11,Paramètres!$A$1:$I$88,3,0)*0.475*44/12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63.642676048926134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2.4666666666666668</v>
      </c>
      <c r="BY6" s="13">
        <f>IF('Données projet'!$A$114&gt;35,BY5+BX6-CG5,IF(A6&lt;'Données projet'!$A$114,$BV$205^A6,IF(A6='Données projet'!$A$114,'Données projet'!$B$114,BY5+BX6-CG5)))</f>
        <v>2.0589241364785171</v>
      </c>
      <c r="BZ6" s="14">
        <f>BY6*VLOOKUP('Données projet'!$B$12,Paramètres!$A$1:$I$88,3,0)*VLOOKUP('Données projet'!$B$12,Paramètres!$A$1:$I$88,5,0)</f>
        <v>1.3490070942207244</v>
      </c>
      <c r="CA6" s="14">
        <f t="shared" si="39"/>
        <v>0.60038888236887178</v>
      </c>
      <c r="CB6" s="22">
        <f t="shared" si="10"/>
        <v>3.3951979925602132</v>
      </c>
      <c r="CC6" s="62">
        <f t="shared" si="11"/>
        <v>240.41834350528936</v>
      </c>
      <c r="CD6" s="62">
        <f ca="1">AVERAGE(OFFSET($CC$3,0,0,'Données projet'!$E$12+1,1))-AVERAGE(OFFSET($H$3,0,0,'Données projet'!$E$12+1,1))</f>
        <v>270.10151451661864</v>
      </c>
      <c r="CE6" s="62">
        <f t="shared" si="40"/>
        <v>294.47934482366804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projet'!$B$12,Paramètres!$A$1:$I$88,3,0)*0.475*44/12</f>
        <v>0</v>
      </c>
      <c r="CL6" s="23">
        <f>EXP(-LN(2)/25)*CL5+(1-EXP(-LN(2)/25))/(LN(2)/25)*Calculateur!CG6*Calculateur!CI6*VLOOKUP('Données projet'!$B$12,Paramètres!$A$1:$I$88,3,0)*0.475*44/12</f>
        <v>0</v>
      </c>
      <c r="CM6" s="23">
        <f>EXP(-LN(2)/2)*CM5+(1-EXP(-LN(2)/2))/(LN(2)/2)*CG6*CJ6*VLOOKUP('Données projet'!$B$12,Paramètres!$A$1:$I$88,3,0)*0.475*44/12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63.642676048926134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2.4666666666666668</v>
      </c>
      <c r="CT6" s="13">
        <f>IF('Données projet'!$A$140&gt;35,CT5+CS6-DB5,IF(A6&lt;'Données projet'!$A$140,$CQ$205^A6,IF(A6='Données projet'!$A$140,'Données projet'!$B$140,CT5+CS6-DB5)))</f>
        <v>2.0589241364785171</v>
      </c>
      <c r="CU6" s="18">
        <f>CT6*VLOOKUP('Données projet'!$B$13,Paramètres!$A$1:$I$88,3,0)*VLOOKUP('Données projet'!$B$13,Paramètres!$A$1:$I$88,5,0)</f>
        <v>1.3490070942207244</v>
      </c>
      <c r="CV6" s="14">
        <f t="shared" si="41"/>
        <v>0.60038888236887178</v>
      </c>
      <c r="CW6" s="22">
        <f t="shared" si="13"/>
        <v>3.3951979925602132</v>
      </c>
      <c r="CX6" s="62">
        <f t="shared" si="14"/>
        <v>240.41834350528936</v>
      </c>
      <c r="CY6" s="62">
        <f ca="1">AVERAGE(OFFSET($CX$3,0,0,'Données projet'!$E$13+1,1))-AVERAGE(OFFSET($H$3,0,0,'Données projet'!$E$13+1,1))</f>
        <v>270.10151451661864</v>
      </c>
      <c r="CZ6" s="62">
        <f t="shared" si="42"/>
        <v>294.47934482366804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projet'!$B$13,Paramètres!$A$1:$I$88,3,0)*0.475*44/12</f>
        <v>0</v>
      </c>
      <c r="DG6" s="23">
        <f>EXP(-LN(2)/25)*DG5+(1-EXP(-LN(2)/25))/(LN(2)/25)*Calculateur!DB6*Calculateur!DD6*VLOOKUP('Données projet'!$B$13,Paramètres!$A$1:$I$88,3,0)*0.475*44/12</f>
        <v>0</v>
      </c>
      <c r="DH6" s="23">
        <f>EXP(-LN(2)/2)*DH5+(1-EXP(-LN(2)/2))/(LN(2)/2)*DB6*DE6*VLOOKUP('Données projet'!$B$13,Paramètres!$A$1:$I$88,3,0)*0.475*44/12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63.642676048926134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projet'!$B$14,Paramètres!$A$1:$I$88,3,0)*0.475*44/12</f>
        <v>#N/A</v>
      </c>
      <c r="EB6" s="23" t="e">
        <f>EXP(-LN(2)/25)*EB5+(1-EXP(-LN(2)/25))/(LN(2)/25)*Calculateur!DW6*Calculateur!DY6*VLOOKUP('Données projet'!$B$14,Paramètres!$A$1:$I$88,3,0)*0.475*44/12</f>
        <v>#N/A</v>
      </c>
      <c r="EC6" s="23" t="e">
        <f>EXP(-LN(2)/2)*EC5+(1-EXP(-LN(2)/2))/(LN(2)/2)*DW6*DZ6*VLOOKUP('Données projet'!$B$14,Paramètres!$A$1:$I$88,3,0)*0.475*44/12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63.642676048926134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63.642676048926134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63.642676048926134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63.642676048926134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1.34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4.9133333333333331</v>
      </c>
      <c r="H7" s="70">
        <f t="shared" si="1"/>
        <v>237.01333333333332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63.752961406630149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projet'!$B$9,Paramètres!$A$1:$I$88,3,0)*VLOOKUP('Données projet'!$B$9,Paramètres!$A$1:$I$88,5,0)</f>
        <v>2.1413507656762891</v>
      </c>
      <c r="P7" s="14">
        <f t="shared" si="33"/>
        <v>0.9031249003236328</v>
      </c>
      <c r="Q7" s="22">
        <f t="shared" si="2"/>
        <v>5.3024617849498643</v>
      </c>
      <c r="R7" s="62">
        <f t="shared" si="0"/>
        <v>243.95220916481594</v>
      </c>
      <c r="S7" s="62">
        <f ca="1">AVERAGE(OFFSET($R$3,0,0,'Données projet'!$E$9+1,1))-AVERAGE(OFFSET($H$3,0,0,'Données projet'!$E$9+1,1))</f>
        <v>488.16146816015231</v>
      </c>
      <c r="T7" s="62">
        <f t="shared" si="34"/>
        <v>259.37115195552127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63.752961406630149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projet'!$B$10,Paramètres!$A$1:$I$88,3,0)*VLOOKUP('Données projet'!$B$10,Paramètres!$A$1:$I$88,5,0)</f>
        <v>1.9107437601419195</v>
      </c>
      <c r="AK7" s="14">
        <f t="shared" si="35"/>
        <v>0.81662477151702284</v>
      </c>
      <c r="AL7" s="22">
        <f t="shared" si="4"/>
        <v>4.7501668593059909</v>
      </c>
      <c r="AM7" s="62">
        <f t="shared" si="5"/>
        <v>243.39991423917206</v>
      </c>
      <c r="AN7" s="62">
        <f ca="1">AVERAGE(OFFSET($AM$3,0,0,'Données projet'!$E$10+1,1))-AVERAGE(OFFSET($H$3,0,0,'Données projet'!$E$10+1,1))</f>
        <v>441.34749554136755</v>
      </c>
      <c r="AO7" s="62">
        <f t="shared" si="36"/>
        <v>236.49038586666222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63.752961406630149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</v>
      </c>
      <c r="BD7" s="13">
        <f>IF('Données projet'!$A$88&gt;35,BD6+BC7-BL6,IF(A7&lt;'Données projet'!$A$88,$BA$205^A7,IF(A7='Données projet'!$A$88,'Données projet'!$B$88,BD6+BC7-BL6)))</f>
        <v>2.1117857649667546</v>
      </c>
      <c r="BE7" s="14">
        <f>BD7*VLOOKUP('Données projet'!$B$11,Paramètres!$A$1:$I$88,3,0)*VLOOKUP('Données projet'!$B$11,Paramètres!$A$1:$I$88,5,0)</f>
        <v>2.2731261974102144</v>
      </c>
      <c r="BF7" s="14">
        <f t="shared" si="37"/>
        <v>0.95206068424520052</v>
      </c>
      <c r="BG7" s="22">
        <f t="shared" si="7"/>
        <v>5.617200485549847</v>
      </c>
      <c r="BH7" s="62">
        <f t="shared" si="8"/>
        <v>244.26694786541594</v>
      </c>
      <c r="BI7" s="62">
        <f ca="1">AVERAGE(OFFSET($BH$3,0,0,'Données projet'!$E$11+1,1))-AVERAGE(OFFSET($H$3,0,0,'Données projet'!$E$11+1,1))</f>
        <v>514.86487884889584</v>
      </c>
      <c r="BJ7" s="62">
        <f t="shared" si="38"/>
        <v>272.4206208356191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projet'!$B$11,Paramètres!$A$1:$I$88,3,0)*0.475*44/12</f>
        <v>0</v>
      </c>
      <c r="BQ7" s="23">
        <f>EXP(-LN(2)/25)*BQ6+(1-EXP(-LN(2)/25))/(LN(2)/25)*Calculateur!BL7*Calculateur!BN7*VLOOKUP('Données projet'!$B$11,Paramètres!$A$1:$I$88,3,0)*0.475*44/12</f>
        <v>0</v>
      </c>
      <c r="BR7" s="23">
        <f>EXP(-LN(2)/2)*BR6+(1-EXP(-LN(2)/2))/(LN(2)/2)*BL7*BO7*VLOOKUP('Données projet'!$B$11,Paramètres!$A$1:$I$88,3,0)*0.475*44/12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63.752961406630149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2.4666666666666668</v>
      </c>
      <c r="BY7" s="13">
        <f>IF('Données projet'!$A$114&gt;35,BY6+BX7-CG6,IF(A7&lt;'Données projet'!$A$114,$BV$205^A7,IF(A7='Données projet'!$A$114,'Données projet'!$B$114,BY6+BX7-CG6)))</f>
        <v>2.6193113595857573</v>
      </c>
      <c r="BZ7" s="14">
        <f>BY7*VLOOKUP('Données projet'!$B$12,Paramètres!$A$1:$I$88,3,0)*VLOOKUP('Données projet'!$B$12,Paramètres!$A$1:$I$88,5,0)</f>
        <v>1.7161728028005883</v>
      </c>
      <c r="CA7" s="14">
        <f t="shared" si="39"/>
        <v>0.74269444886773317</v>
      </c>
      <c r="CB7" s="22">
        <f t="shared" si="10"/>
        <v>4.2825271299889929</v>
      </c>
      <c r="CC7" s="62">
        <f t="shared" si="11"/>
        <v>242.93227450985509</v>
      </c>
      <c r="CD7" s="62">
        <f ca="1">AVERAGE(OFFSET($CC$3,0,0,'Données projet'!$E$12+1,1))-AVERAGE(OFFSET($H$3,0,0,'Données projet'!$E$12+1,1))</f>
        <v>270.10151451661864</v>
      </c>
      <c r="CE7" s="62">
        <f t="shared" si="40"/>
        <v>294.47934482366804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projet'!$B$12,Paramètres!$A$1:$I$88,3,0)*0.475*44/12</f>
        <v>0</v>
      </c>
      <c r="CL7" s="23">
        <f>EXP(-LN(2)/25)*CL6+(1-EXP(-LN(2)/25))/(LN(2)/25)*Calculateur!CG7*Calculateur!CI7*VLOOKUP('Données projet'!$B$12,Paramètres!$A$1:$I$88,3,0)*0.475*44/12</f>
        <v>0</v>
      </c>
      <c r="CM7" s="23">
        <f>EXP(-LN(2)/2)*CM6+(1-EXP(-LN(2)/2))/(LN(2)/2)*CG7*CJ7*VLOOKUP('Données projet'!$B$12,Paramètres!$A$1:$I$88,3,0)*0.475*44/12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63.752961406630149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2.4666666666666668</v>
      </c>
      <c r="CT7" s="13">
        <f>IF('Données projet'!$A$140&gt;35,CT6+CS7-DB6,IF(A7&lt;'Données projet'!$A$140,$CQ$205^A7,IF(A7='Données projet'!$A$140,'Données projet'!$B$140,CT6+CS7-DB6)))</f>
        <v>2.6193113595857573</v>
      </c>
      <c r="CU7" s="18">
        <f>CT7*VLOOKUP('Données projet'!$B$13,Paramètres!$A$1:$I$88,3,0)*VLOOKUP('Données projet'!$B$13,Paramètres!$A$1:$I$88,5,0)</f>
        <v>1.7161728028005883</v>
      </c>
      <c r="CV7" s="14">
        <f t="shared" si="41"/>
        <v>0.74269444886773317</v>
      </c>
      <c r="CW7" s="22">
        <f t="shared" si="13"/>
        <v>4.2825271299889929</v>
      </c>
      <c r="CX7" s="62">
        <f t="shared" si="14"/>
        <v>242.93227450985509</v>
      </c>
      <c r="CY7" s="62">
        <f ca="1">AVERAGE(OFFSET($CX$3,0,0,'Données projet'!$E$13+1,1))-AVERAGE(OFFSET($H$3,0,0,'Données projet'!$E$13+1,1))</f>
        <v>270.10151451661864</v>
      </c>
      <c r="CZ7" s="62">
        <f t="shared" si="42"/>
        <v>294.47934482366804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projet'!$B$13,Paramètres!$A$1:$I$88,3,0)*0.475*44/12</f>
        <v>0</v>
      </c>
      <c r="DG7" s="23">
        <f>EXP(-LN(2)/25)*DG6+(1-EXP(-LN(2)/25))/(LN(2)/25)*Calculateur!DB7*Calculateur!DD7*VLOOKUP('Données projet'!$B$13,Paramètres!$A$1:$I$88,3,0)*0.475*44/12</f>
        <v>0</v>
      </c>
      <c r="DH7" s="23">
        <f>EXP(-LN(2)/2)*DH6+(1-EXP(-LN(2)/2))/(LN(2)/2)*DB7*DE7*VLOOKUP('Données projet'!$B$13,Paramètres!$A$1:$I$88,3,0)*0.475*44/12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63.752961406630149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projet'!$B$14,Paramètres!$A$1:$I$88,3,0)*0.475*44/12</f>
        <v>#N/A</v>
      </c>
      <c r="EB7" s="23" t="e">
        <f>EXP(-LN(2)/25)*EB6+(1-EXP(-LN(2)/25))/(LN(2)/25)*Calculateur!DW7*Calculateur!DY7*VLOOKUP('Données projet'!$B$14,Paramètres!$A$1:$I$88,3,0)*0.475*44/12</f>
        <v>#N/A</v>
      </c>
      <c r="EC7" s="23" t="e">
        <f>EXP(-LN(2)/2)*EC6+(1-EXP(-LN(2)/2))/(LN(2)/2)*DW7*DZ7*VLOOKUP('Données projet'!$B$14,Paramètres!$A$1:$I$88,3,0)*0.475*44/12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63.752961406630149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63.752961406630149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63.752961406630149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63.752961406630149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1.34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4.9133333333333331</v>
      </c>
      <c r="H8" s="70">
        <f t="shared" si="1"/>
        <v>237.01333333333332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63.861333559939126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projet'!$B$9,Paramètres!$A$1:$I$88,3,0)*VLOOKUP('Données projet'!$B$9,Paramètres!$A$1:$I$88,5,0)</f>
        <v>2.5813701135521372</v>
      </c>
      <c r="P8" s="14">
        <f t="shared" si="33"/>
        <v>1.0652780295337991</v>
      </c>
      <c r="Q8" s="22">
        <f t="shared" si="2"/>
        <v>6.3512455158746723</v>
      </c>
      <c r="R8" s="62">
        <f t="shared" si="0"/>
        <v>246.62057968009591</v>
      </c>
      <c r="S8" s="62">
        <f ca="1">AVERAGE(OFFSET($R$3,0,0,'Données projet'!$E$9+1,1))-AVERAGE(OFFSET($H$3,0,0,'Données projet'!$E$9+1,1))</f>
        <v>488.16146816015231</v>
      </c>
      <c r="T8" s="62">
        <f t="shared" si="34"/>
        <v>259.37115195552127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63.861333559939126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projet'!$B$10,Paramètres!$A$1:$I$88,3,0)*VLOOKUP('Données projet'!$B$10,Paramètres!$A$1:$I$88,5,0)</f>
        <v>2.3033764090157529</v>
      </c>
      <c r="AK8" s="14">
        <f t="shared" si="35"/>
        <v>0.96324708482559218</v>
      </c>
      <c r="AL8" s="22">
        <f t="shared" si="4"/>
        <v>5.6893692517736758</v>
      </c>
      <c r="AM8" s="62">
        <f t="shared" si="5"/>
        <v>245.95870341599493</v>
      </c>
      <c r="AN8" s="62">
        <f ca="1">AVERAGE(OFFSET($AM$3,0,0,'Données projet'!$E$10+1,1))-AVERAGE(OFFSET($H$3,0,0,'Données projet'!$E$10+1,1))</f>
        <v>441.34749554136755</v>
      </c>
      <c r="AO8" s="62">
        <f t="shared" si="36"/>
        <v>236.49038586666222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63.861333559939126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</v>
      </c>
      <c r="BD8" s="13">
        <f>IF('Données projet'!$A$88&gt;35,BD7+BC8-BL7,IF(A8&lt;'Données projet'!$A$88,$BA$205^A8,IF(A8='Données projet'!$A$88,'Données projet'!$B$88,BD7+BC8-BL7)))</f>
        <v>2.5457298950218314</v>
      </c>
      <c r="BE8" s="14">
        <f>BD8*VLOOKUP('Données projet'!$B$11,Paramètres!$A$1:$I$88,3,0)*VLOOKUP('Données projet'!$B$11,Paramètres!$A$1:$I$88,5,0)</f>
        <v>2.740223659001499</v>
      </c>
      <c r="BF8" s="14">
        <f t="shared" si="37"/>
        <v>1.1230000737947632</v>
      </c>
      <c r="BG8" s="22">
        <f t="shared" si="7"/>
        <v>6.7284480012868242</v>
      </c>
      <c r="BH8" s="62">
        <f t="shared" si="8"/>
        <v>246.99778216550808</v>
      </c>
      <c r="BI8" s="62">
        <f ca="1">AVERAGE(OFFSET($BH$3,0,0,'Données projet'!$E$11+1,1))-AVERAGE(OFFSET($H$3,0,0,'Données projet'!$E$11+1,1))</f>
        <v>514.86487884889584</v>
      </c>
      <c r="BJ8" s="62">
        <f t="shared" si="38"/>
        <v>272.4206208356191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projet'!$B$11,Paramètres!$A$1:$I$88,3,0)*0.475*44/12</f>
        <v>0</v>
      </c>
      <c r="BQ8" s="23">
        <f>EXP(-LN(2)/25)*BQ7+(1-EXP(-LN(2)/25))/(LN(2)/25)*Calculateur!BL8*Calculateur!BN8*VLOOKUP('Données projet'!$B$11,Paramètres!$A$1:$I$88,3,0)*0.475*44/12</f>
        <v>0</v>
      </c>
      <c r="BR8" s="23">
        <f>EXP(-LN(2)/2)*BR7+(1-EXP(-LN(2)/2))/(LN(2)/2)*BL8*BO8*VLOOKUP('Données projet'!$B$11,Paramètres!$A$1:$I$88,3,0)*0.475*44/12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63.861333559939126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2.4666666666666668</v>
      </c>
      <c r="BY8" s="13">
        <f>IF('Données projet'!$A$114&gt;35,BY7+BX8-CG7,IF(A8&lt;'Données projet'!$A$114,$BV$205^A8,IF(A8='Données projet'!$A$114,'Données projet'!$B$114,BY7+BX8-CG7)))</f>
        <v>3.332221851645953</v>
      </c>
      <c r="BZ8" s="14">
        <f>BY8*VLOOKUP('Données projet'!$B$12,Paramètres!$A$1:$I$88,3,0)*VLOOKUP('Données projet'!$B$12,Paramètres!$A$1:$I$88,5,0)</f>
        <v>2.1832717571984284</v>
      </c>
      <c r="CA8" s="14">
        <f t="shared" si="39"/>
        <v>0.91872961105241191</v>
      </c>
      <c r="CB8" s="22">
        <f t="shared" si="10"/>
        <v>5.4026523830368793</v>
      </c>
      <c r="CC8" s="62">
        <f t="shared" si="11"/>
        <v>245.67198654725811</v>
      </c>
      <c r="CD8" s="62">
        <f ca="1">AVERAGE(OFFSET($CC$3,0,0,'Données projet'!$E$12+1,1))-AVERAGE(OFFSET($H$3,0,0,'Données projet'!$E$12+1,1))</f>
        <v>270.10151451661864</v>
      </c>
      <c r="CE8" s="62">
        <f t="shared" si="40"/>
        <v>294.47934482366804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projet'!$B$12,Paramètres!$A$1:$I$88,3,0)*0.475*44/12</f>
        <v>0</v>
      </c>
      <c r="CL8" s="23">
        <f>EXP(-LN(2)/25)*CL7+(1-EXP(-LN(2)/25))/(LN(2)/25)*Calculateur!CG8*Calculateur!CI8*VLOOKUP('Données projet'!$B$12,Paramètres!$A$1:$I$88,3,0)*0.475*44/12</f>
        <v>0</v>
      </c>
      <c r="CM8" s="23">
        <f>EXP(-LN(2)/2)*CM7+(1-EXP(-LN(2)/2))/(LN(2)/2)*CG8*CJ8*VLOOKUP('Données projet'!$B$12,Paramètres!$A$1:$I$88,3,0)*0.475*44/12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63.861333559939126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2.4666666666666668</v>
      </c>
      <c r="CT8" s="13">
        <f>IF('Données projet'!$A$140&gt;35,CT7+CS8-DB7,IF(A8&lt;'Données projet'!$A$140,$CQ$205^A8,IF(A8='Données projet'!$A$140,'Données projet'!$B$140,CT7+CS8-DB7)))</f>
        <v>3.332221851645953</v>
      </c>
      <c r="CU8" s="18">
        <f>CT8*VLOOKUP('Données projet'!$B$13,Paramètres!$A$1:$I$88,3,0)*VLOOKUP('Données projet'!$B$13,Paramètres!$A$1:$I$88,5,0)</f>
        <v>2.1832717571984284</v>
      </c>
      <c r="CV8" s="14">
        <f t="shared" si="41"/>
        <v>0.91872961105241191</v>
      </c>
      <c r="CW8" s="22">
        <f t="shared" si="13"/>
        <v>5.4026523830368793</v>
      </c>
      <c r="CX8" s="62">
        <f t="shared" si="14"/>
        <v>245.67198654725811</v>
      </c>
      <c r="CY8" s="62">
        <f ca="1">AVERAGE(OFFSET($CX$3,0,0,'Données projet'!$E$13+1,1))-AVERAGE(OFFSET($H$3,0,0,'Données projet'!$E$13+1,1))</f>
        <v>270.10151451661864</v>
      </c>
      <c r="CZ8" s="62">
        <f t="shared" si="42"/>
        <v>294.47934482366804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projet'!$B$13,Paramètres!$A$1:$I$88,3,0)*0.475*44/12</f>
        <v>0</v>
      </c>
      <c r="DG8" s="23">
        <f>EXP(-LN(2)/25)*DG7+(1-EXP(-LN(2)/25))/(LN(2)/25)*Calculateur!DB8*Calculateur!DD8*VLOOKUP('Données projet'!$B$13,Paramètres!$A$1:$I$88,3,0)*0.475*44/12</f>
        <v>0</v>
      </c>
      <c r="DH8" s="23">
        <f>EXP(-LN(2)/2)*DH7+(1-EXP(-LN(2)/2))/(LN(2)/2)*DB8*DE8*VLOOKUP('Données projet'!$B$13,Paramètres!$A$1:$I$88,3,0)*0.475*44/12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63.861333559939126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projet'!$B$14,Paramètres!$A$1:$I$88,3,0)*0.475*44/12</f>
        <v>#N/A</v>
      </c>
      <c r="EB8" s="23" t="e">
        <f>EXP(-LN(2)/25)*EB7+(1-EXP(-LN(2)/25))/(LN(2)/25)*Calculateur!DW8*Calculateur!DY8*VLOOKUP('Données projet'!$B$14,Paramètres!$A$1:$I$88,3,0)*0.475*44/12</f>
        <v>#N/A</v>
      </c>
      <c r="EC8" s="23" t="e">
        <f>EXP(-LN(2)/2)*EC7+(1-EXP(-LN(2)/2))/(LN(2)/2)*DW8*DZ8*VLOOKUP('Données projet'!$B$14,Paramètres!$A$1:$I$88,3,0)*0.475*44/12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63.861333559939126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63.861333559939126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63.861333559939126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63.861333559939126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1.34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4.9133333333333331</v>
      </c>
      <c r="H9" s="70">
        <f t="shared" si="1"/>
        <v>237.01333333333332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63.967825698672023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projet'!$B$9,Paramètres!$A$1:$I$88,3,0)*VLOOKUP('Données projet'!$B$9,Paramètres!$A$1:$I$88,5,0)</f>
        <v>3.111807635605039</v>
      </c>
      <c r="P9" s="14">
        <f t="shared" si="33"/>
        <v>1.2565452240335246</v>
      </c>
      <c r="Q9" s="22">
        <f t="shared" si="2"/>
        <v>7.6082145638704972</v>
      </c>
      <c r="R9" s="62">
        <f t="shared" si="0"/>
        <v>249.49024212566789</v>
      </c>
      <c r="S9" s="62">
        <f ca="1">AVERAGE(OFFSET($R$3,0,0,'Données projet'!$E$9+1,1))-AVERAGE(OFFSET($H$3,0,0,'Données projet'!$E$9+1,1))</f>
        <v>488.16146816015231</v>
      </c>
      <c r="T9" s="62">
        <f t="shared" si="34"/>
        <v>259.37115195552127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63.967825698672023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projet'!$B$10,Paramètres!$A$1:$I$88,3,0)*VLOOKUP('Données projet'!$B$10,Paramètres!$A$1:$I$88,5,0)</f>
        <v>2.7766898902321886</v>
      </c>
      <c r="AK9" s="14">
        <f t="shared" si="35"/>
        <v>1.1361949561012803</v>
      </c>
      <c r="AL9" s="22">
        <f t="shared" si="4"/>
        <v>6.8149411073641248</v>
      </c>
      <c r="AM9" s="62">
        <f t="shared" si="5"/>
        <v>248.69696866916152</v>
      </c>
      <c r="AN9" s="62">
        <f ca="1">AVERAGE(OFFSET($AM$3,0,0,'Données projet'!$E$10+1,1))-AVERAGE(OFFSET($H$3,0,0,'Données projet'!$E$10+1,1))</f>
        <v>441.34749554136755</v>
      </c>
      <c r="AO9" s="62">
        <f t="shared" si="36"/>
        <v>236.49038586666222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63.967825698672023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</v>
      </c>
      <c r="BD9" s="13">
        <f>IF('Données projet'!$A$88&gt;35,BD8+BC9-BL8,IF(A9&lt;'Données projet'!$A$88,$BA$205^A9,IF(A9='Données projet'!$A$88,'Données projet'!$B$88,BD8+BC9-BL8)))</f>
        <v>3.0688438220956993</v>
      </c>
      <c r="BE9" s="14">
        <f>BD9*VLOOKUP('Données projet'!$B$11,Paramètres!$A$1:$I$88,3,0)*VLOOKUP('Données projet'!$B$11,Paramètres!$A$1:$I$88,5,0)</f>
        <v>3.3033034901038101</v>
      </c>
      <c r="BF9" s="14">
        <f t="shared" si="37"/>
        <v>1.3246310730107231</v>
      </c>
      <c r="BG9" s="22">
        <f t="shared" si="7"/>
        <v>8.0603193640911446</v>
      </c>
      <c r="BH9" s="62">
        <f t="shared" si="8"/>
        <v>249.94234692588856</v>
      </c>
      <c r="BI9" s="62">
        <f ca="1">AVERAGE(OFFSET($BH$3,0,0,'Données projet'!$E$11+1,1))-AVERAGE(OFFSET($H$3,0,0,'Données projet'!$E$11+1,1))</f>
        <v>514.86487884889584</v>
      </c>
      <c r="BJ9" s="62">
        <f t="shared" si="38"/>
        <v>272.4206208356191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projet'!$B$11,Paramètres!$A$1:$I$88,3,0)*0.475*44/12</f>
        <v>0</v>
      </c>
      <c r="BQ9" s="23">
        <f>EXP(-LN(2)/25)*BQ8+(1-EXP(-LN(2)/25))/(LN(2)/25)*Calculateur!BL9*Calculateur!BN9*VLOOKUP('Données projet'!$B$11,Paramètres!$A$1:$I$88,3,0)*0.475*44/12</f>
        <v>0</v>
      </c>
      <c r="BR9" s="23">
        <f>EXP(-LN(2)/2)*BR8+(1-EXP(-LN(2)/2))/(LN(2)/2)*BL9*BO9*VLOOKUP('Données projet'!$B$11,Paramètres!$A$1:$I$88,3,0)*0.475*44/12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63.967825698672023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2.4666666666666668</v>
      </c>
      <c r="BY9" s="13">
        <f>IF('Données projet'!$A$114&gt;35,BY8+BX9-CG8,IF(A9&lt;'Données projet'!$A$114,$BV$205^A9,IF(A9='Données projet'!$A$114,'Données projet'!$B$114,BY8+BX9-CG8)))</f>
        <v>4.2391685997738069</v>
      </c>
      <c r="BZ9" s="14">
        <f>BY9*VLOOKUP('Données projet'!$B$12,Paramètres!$A$1:$I$88,3,0)*VLOOKUP('Données projet'!$B$12,Paramètres!$A$1:$I$88,5,0)</f>
        <v>2.7775032665717982</v>
      </c>
      <c r="CA9" s="14">
        <f t="shared" si="39"/>
        <v>1.1364890359842124</v>
      </c>
      <c r="CB9" s="22">
        <f t="shared" si="10"/>
        <v>6.8168699269517186</v>
      </c>
      <c r="CC9" s="62">
        <f t="shared" si="11"/>
        <v>248.69889748874911</v>
      </c>
      <c r="CD9" s="62">
        <f ca="1">AVERAGE(OFFSET($CC$3,0,0,'Données projet'!$E$12+1,1))-AVERAGE(OFFSET($H$3,0,0,'Données projet'!$E$12+1,1))</f>
        <v>270.10151451661864</v>
      </c>
      <c r="CE9" s="62">
        <f t="shared" si="40"/>
        <v>294.47934482366804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projet'!$B$12,Paramètres!$A$1:$I$88,3,0)*0.475*44/12</f>
        <v>0</v>
      </c>
      <c r="CL9" s="23">
        <f>EXP(-LN(2)/25)*CL8+(1-EXP(-LN(2)/25))/(LN(2)/25)*Calculateur!CG9*Calculateur!CI9*VLOOKUP('Données projet'!$B$12,Paramètres!$A$1:$I$88,3,0)*0.475*44/12</f>
        <v>0</v>
      </c>
      <c r="CM9" s="23">
        <f>EXP(-LN(2)/2)*CM8+(1-EXP(-LN(2)/2))/(LN(2)/2)*CG9*CJ9*VLOOKUP('Données projet'!$B$12,Paramètres!$A$1:$I$88,3,0)*0.475*44/12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63.967825698672023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2.4666666666666668</v>
      </c>
      <c r="CT9" s="13">
        <f>IF('Données projet'!$A$140&gt;35,CT8+CS9-DB8,IF(A9&lt;'Données projet'!$A$140,$CQ$205^A9,IF(A9='Données projet'!$A$140,'Données projet'!$B$140,CT8+CS9-DB8)))</f>
        <v>4.2391685997738069</v>
      </c>
      <c r="CU9" s="18">
        <f>CT9*VLOOKUP('Données projet'!$B$13,Paramètres!$A$1:$I$88,3,0)*VLOOKUP('Données projet'!$B$13,Paramètres!$A$1:$I$88,5,0)</f>
        <v>2.7775032665717982</v>
      </c>
      <c r="CV9" s="14">
        <f t="shared" si="41"/>
        <v>1.1364890359842124</v>
      </c>
      <c r="CW9" s="22">
        <f t="shared" si="13"/>
        <v>6.8168699269517186</v>
      </c>
      <c r="CX9" s="62">
        <f t="shared" si="14"/>
        <v>248.69889748874911</v>
      </c>
      <c r="CY9" s="62">
        <f ca="1">AVERAGE(OFFSET($CX$3,0,0,'Données projet'!$E$13+1,1))-AVERAGE(OFFSET($H$3,0,0,'Données projet'!$E$13+1,1))</f>
        <v>270.10151451661864</v>
      </c>
      <c r="CZ9" s="62">
        <f t="shared" si="42"/>
        <v>294.47934482366804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projet'!$B$13,Paramètres!$A$1:$I$88,3,0)*0.475*44/12</f>
        <v>0</v>
      </c>
      <c r="DG9" s="23">
        <f>EXP(-LN(2)/25)*DG8+(1-EXP(-LN(2)/25))/(LN(2)/25)*Calculateur!DB9*Calculateur!DD9*VLOOKUP('Données projet'!$B$13,Paramètres!$A$1:$I$88,3,0)*0.475*44/12</f>
        <v>0</v>
      </c>
      <c r="DH9" s="23">
        <f>EXP(-LN(2)/2)*DH8+(1-EXP(-LN(2)/2))/(LN(2)/2)*DB9*DE9*VLOOKUP('Données projet'!$B$13,Paramètres!$A$1:$I$88,3,0)*0.475*44/12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63.967825698672023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projet'!$B$14,Paramètres!$A$1:$I$88,3,0)*0.475*44/12</f>
        <v>#N/A</v>
      </c>
      <c r="EB9" s="23" t="e">
        <f>EXP(-LN(2)/25)*EB8+(1-EXP(-LN(2)/25))/(LN(2)/25)*Calculateur!DW9*Calculateur!DY9*VLOOKUP('Données projet'!$B$14,Paramètres!$A$1:$I$88,3,0)*0.475*44/12</f>
        <v>#N/A</v>
      </c>
      <c r="EC9" s="23" t="e">
        <f>EXP(-LN(2)/2)*EC8+(1-EXP(-LN(2)/2))/(LN(2)/2)*DW9*DZ9*VLOOKUP('Données projet'!$B$14,Paramètres!$A$1:$I$88,3,0)*0.475*44/12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63.967825698672023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63.967825698672023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63.967825698672023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63.967825698672023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1.34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4.9133333333333331</v>
      </c>
      <c r="H10" s="70">
        <f t="shared" si="1"/>
        <v>237.01333333333332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64.07247043687866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projet'!$B$9,Paramètres!$A$1:$I$88,3,0)*VLOOKUP('Données projet'!$B$9,Paramètres!$A$1:$I$88,5,0)</f>
        <v>3.7512430744326299</v>
      </c>
      <c r="P10" s="14">
        <f t="shared" si="33"/>
        <v>1.4821538192545303</v>
      </c>
      <c r="Q10" s="22">
        <f t="shared" si="2"/>
        <v>9.1148329231718037</v>
      </c>
      <c r="R10" s="62">
        <f t="shared" si="0"/>
        <v>252.60278008061576</v>
      </c>
      <c r="S10" s="62">
        <f ca="1">AVERAGE(OFFSET($R$3,0,0,'Données projet'!$E$9+1,1))-AVERAGE(OFFSET($H$3,0,0,'Données projet'!$E$9+1,1))</f>
        <v>488.16146816015231</v>
      </c>
      <c r="T10" s="62">
        <f t="shared" si="34"/>
        <v>259.37115195552127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64.07247043687866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projet'!$B$10,Paramètres!$A$1:$I$88,3,0)*VLOOKUP('Données projet'!$B$10,Paramètres!$A$1:$I$88,5,0)</f>
        <v>3.3472630510321921</v>
      </c>
      <c r="AK10" s="14">
        <f t="shared" si="35"/>
        <v>1.34019505338418</v>
      </c>
      <c r="AL10" s="22">
        <f t="shared" si="4"/>
        <v>8.1639895318585136</v>
      </c>
      <c r="AM10" s="62">
        <f t="shared" si="5"/>
        <v>251.65193668930246</v>
      </c>
      <c r="AN10" s="62">
        <f ca="1">AVERAGE(OFFSET($AM$3,0,0,'Données projet'!$E$10+1,1))-AVERAGE(OFFSET($H$3,0,0,'Données projet'!$E$10+1,1))</f>
        <v>441.34749554136755</v>
      </c>
      <c r="AO10" s="62">
        <f t="shared" si="36"/>
        <v>236.49038586666222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64.07247043687866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</v>
      </c>
      <c r="BD10" s="13">
        <f>IF('Données projet'!$A$88&gt;35,BD9+BC10-BL9,IF(A10&lt;'Données projet'!$A$88,$BA$205^A10,IF(A10='Données projet'!$A$88,'Données projet'!$B$88,BD9+BC10-BL9)))</f>
        <v>3.6994507637402658</v>
      </c>
      <c r="BE10" s="14">
        <f>BD10*VLOOKUP('Données projet'!$B$11,Paramètres!$A$1:$I$88,3,0)*VLOOKUP('Données projet'!$B$11,Paramètres!$A$1:$I$88,5,0)</f>
        <v>3.982088802090022</v>
      </c>
      <c r="BF10" s="14">
        <f t="shared" si="37"/>
        <v>1.5624642602705792</v>
      </c>
      <c r="BG10" s="22">
        <f t="shared" si="7"/>
        <v>9.6567632502780452</v>
      </c>
      <c r="BH10" s="62">
        <f t="shared" si="8"/>
        <v>253.14471040772199</v>
      </c>
      <c r="BI10" s="62">
        <f ca="1">AVERAGE(OFFSET($BH$3,0,0,'Données projet'!$E$11+1,1))-AVERAGE(OFFSET($H$3,0,0,'Données projet'!$E$11+1,1))</f>
        <v>514.86487884889584</v>
      </c>
      <c r="BJ10" s="62">
        <f t="shared" si="38"/>
        <v>272.4206208356191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projet'!$B$11,Paramètres!$A$1:$I$88,3,0)*0.475*44/12</f>
        <v>0</v>
      </c>
      <c r="BQ10" s="23">
        <f>EXP(-LN(2)/25)*BQ9+(1-EXP(-LN(2)/25))/(LN(2)/25)*Calculateur!BL10*Calculateur!BN10*VLOOKUP('Données projet'!$B$11,Paramètres!$A$1:$I$88,3,0)*0.475*44/12</f>
        <v>0</v>
      </c>
      <c r="BR10" s="23">
        <f>EXP(-LN(2)/2)*BR9+(1-EXP(-LN(2)/2))/(LN(2)/2)*BL10*BO10*VLOOKUP('Données projet'!$B$11,Paramètres!$A$1:$I$88,3,0)*0.475*44/12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64.07247043687866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2.4666666666666668</v>
      </c>
      <c r="BY10" s="13">
        <f>IF('Données projet'!$A$114&gt;35,BY9+BX10-CG9,IF(A10&lt;'Données projet'!$A$114,$BV$205^A10,IF(A10='Données projet'!$A$114,'Données projet'!$B$114,BY9+BX10-CG9)))</f>
        <v>5.3929633792034757</v>
      </c>
      <c r="BZ10" s="14">
        <f>BY10*VLOOKUP('Données projet'!$B$12,Paramètres!$A$1:$I$88,3,0)*VLOOKUP('Données projet'!$B$12,Paramètres!$A$1:$I$88,5,0)</f>
        <v>3.5334696060541173</v>
      </c>
      <c r="CA10" s="14">
        <f t="shared" si="39"/>
        <v>1.4058623052682262</v>
      </c>
      <c r="CB10" s="22">
        <f t="shared" si="10"/>
        <v>8.6026697455530794</v>
      </c>
      <c r="CC10" s="62">
        <f t="shared" si="11"/>
        <v>252.09061690299703</v>
      </c>
      <c r="CD10" s="62">
        <f ca="1">AVERAGE(OFFSET($CC$3,0,0,'Données projet'!$E$12+1,1))-AVERAGE(OFFSET($H$3,0,0,'Données projet'!$E$12+1,1))</f>
        <v>270.10151451661864</v>
      </c>
      <c r="CE10" s="62">
        <f t="shared" si="40"/>
        <v>294.47934482366804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projet'!$B$12,Paramètres!$A$1:$I$88,3,0)*0.475*44/12</f>
        <v>0</v>
      </c>
      <c r="CL10" s="23">
        <f>EXP(-LN(2)/25)*CL9+(1-EXP(-LN(2)/25))/(LN(2)/25)*Calculateur!CG10*Calculateur!CI10*VLOOKUP('Données projet'!$B$12,Paramètres!$A$1:$I$88,3,0)*0.475*44/12</f>
        <v>0</v>
      </c>
      <c r="CM10" s="23">
        <f>EXP(-LN(2)/2)*CM9+(1-EXP(-LN(2)/2))/(LN(2)/2)*CG10*CJ10*VLOOKUP('Données projet'!$B$12,Paramètres!$A$1:$I$88,3,0)*0.475*44/12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64.07247043687866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2.4666666666666668</v>
      </c>
      <c r="CT10" s="13">
        <f>IF('Données projet'!$A$140&gt;35,CT9+CS10-DB9,IF(A10&lt;'Données projet'!$A$140,$CQ$205^A10,IF(A10='Données projet'!$A$140,'Données projet'!$B$140,CT9+CS10-DB9)))</f>
        <v>5.3929633792034757</v>
      </c>
      <c r="CU10" s="18">
        <f>CT10*VLOOKUP('Données projet'!$B$13,Paramètres!$A$1:$I$88,3,0)*VLOOKUP('Données projet'!$B$13,Paramètres!$A$1:$I$88,5,0)</f>
        <v>3.5334696060541173</v>
      </c>
      <c r="CV10" s="14">
        <f t="shared" si="41"/>
        <v>1.4058623052682262</v>
      </c>
      <c r="CW10" s="22">
        <f t="shared" si="13"/>
        <v>8.6026697455530794</v>
      </c>
      <c r="CX10" s="62">
        <f t="shared" si="14"/>
        <v>252.09061690299703</v>
      </c>
      <c r="CY10" s="62">
        <f ca="1">AVERAGE(OFFSET($CX$3,0,0,'Données projet'!$E$13+1,1))-AVERAGE(OFFSET($H$3,0,0,'Données projet'!$E$13+1,1))</f>
        <v>270.10151451661864</v>
      </c>
      <c r="CZ10" s="62">
        <f t="shared" si="42"/>
        <v>294.47934482366804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projet'!$B$13,Paramètres!$A$1:$I$88,3,0)*0.475*44/12</f>
        <v>0</v>
      </c>
      <c r="DG10" s="23">
        <f>EXP(-LN(2)/25)*DG9+(1-EXP(-LN(2)/25))/(LN(2)/25)*Calculateur!DB10*Calculateur!DD10*VLOOKUP('Données projet'!$B$13,Paramètres!$A$1:$I$88,3,0)*0.475*44/12</f>
        <v>0</v>
      </c>
      <c r="DH10" s="23">
        <f>EXP(-LN(2)/2)*DH9+(1-EXP(-LN(2)/2))/(LN(2)/2)*DB10*DE10*VLOOKUP('Données projet'!$B$13,Paramètres!$A$1:$I$88,3,0)*0.475*44/12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64.07247043687866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projet'!$B$14,Paramètres!$A$1:$I$88,3,0)*0.475*44/12</f>
        <v>#N/A</v>
      </c>
      <c r="EB10" s="23" t="e">
        <f>EXP(-LN(2)/25)*EB9+(1-EXP(-LN(2)/25))/(LN(2)/25)*Calculateur!DW10*Calculateur!DY10*VLOOKUP('Données projet'!$B$14,Paramètres!$A$1:$I$88,3,0)*0.475*44/12</f>
        <v>#N/A</v>
      </c>
      <c r="EC10" s="23" t="e">
        <f>EXP(-LN(2)/2)*EC9+(1-EXP(-LN(2)/2))/(LN(2)/2)*DW10*DZ10*VLOOKUP('Données projet'!$B$14,Paramètres!$A$1:$I$88,3,0)*0.475*44/12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64.07247043687866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64.07247043687866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64.07247043687866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64.07247043687866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1.34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4.9133333333333331</v>
      </c>
      <c r="H11" s="70">
        <f t="shared" si="1"/>
        <v>237.01333333333332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64.175299822828009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projet'!$B$9,Paramètres!$A$1:$I$88,3,0)*VLOOKUP('Données projet'!$B$9,Paramètres!$A$1:$I$88,5,0)</f>
        <v>4.5220740647558486</v>
      </c>
      <c r="P11" s="14">
        <f t="shared" si="33"/>
        <v>1.7482697016499746</v>
      </c>
      <c r="Q11" s="22">
        <f t="shared" si="2"/>
        <v>10.92084872649014</v>
      </c>
      <c r="R11" s="62">
        <f t="shared" si="0"/>
        <v>256.00805918797062</v>
      </c>
      <c r="S11" s="62">
        <f ca="1">AVERAGE(OFFSET($R$3,0,0,'Données projet'!$E$9+1,1))-AVERAGE(OFFSET($H$3,0,0,'Données projet'!$E$9+1,1))</f>
        <v>488.16146816015231</v>
      </c>
      <c r="T11" s="62">
        <f t="shared" si="34"/>
        <v>259.37115195552127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64.175299822828009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projet'!$B$10,Paramètres!$A$1:$I$88,3,0)*VLOOKUP('Données projet'!$B$10,Paramètres!$A$1:$I$88,5,0)</f>
        <v>4.0350814731667564</v>
      </c>
      <c r="AK11" s="14">
        <f t="shared" si="35"/>
        <v>1.5808227025391921</v>
      </c>
      <c r="AL11" s="22">
        <f t="shared" si="4"/>
        <v>9.7810331060211926</v>
      </c>
      <c r="AM11" s="62">
        <f t="shared" si="5"/>
        <v>254.86824356750168</v>
      </c>
      <c r="AN11" s="62">
        <f ca="1">AVERAGE(OFFSET($AM$3,0,0,'Données projet'!$E$10+1,1))-AVERAGE(OFFSET($H$3,0,0,'Données projet'!$E$10+1,1))</f>
        <v>441.34749554136755</v>
      </c>
      <c r="AO11" s="62">
        <f t="shared" si="36"/>
        <v>236.49038586666222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64.175299822828009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</v>
      </c>
      <c r="BD11" s="13">
        <f>IF('Données projet'!$A$88&gt;35,BD10+BC11-BL10,IF(A11&lt;'Données projet'!$A$88,$BA$205^A11,IF(A11='Données projet'!$A$88,'Données projet'!$B$88,BD10+BC11-BL10)))</f>
        <v>4.4596391171162209</v>
      </c>
      <c r="BE11" s="14">
        <f>BD11*VLOOKUP('Données projet'!$B$11,Paramètres!$A$1:$I$88,3,0)*VLOOKUP('Données projet'!$B$11,Paramètres!$A$1:$I$88,5,0)</f>
        <v>4.8003555456638995</v>
      </c>
      <c r="BF11" s="14">
        <f t="shared" si="37"/>
        <v>1.8429996203200378</v>
      </c>
      <c r="BG11" s="22">
        <f t="shared" si="7"/>
        <v>11.570510247422023</v>
      </c>
      <c r="BH11" s="62">
        <f t="shared" si="8"/>
        <v>256.6577207089025</v>
      </c>
      <c r="BI11" s="62">
        <f ca="1">AVERAGE(OFFSET($BH$3,0,0,'Données projet'!$E$11+1,1))-AVERAGE(OFFSET($H$3,0,0,'Données projet'!$E$11+1,1))</f>
        <v>514.86487884889584</v>
      </c>
      <c r="BJ11" s="62">
        <f t="shared" si="38"/>
        <v>272.4206208356191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projet'!$B$11,Paramètres!$A$1:$I$88,3,0)*0.475*44/12</f>
        <v>0</v>
      </c>
      <c r="BQ11" s="23">
        <f>EXP(-LN(2)/25)*BQ10+(1-EXP(-LN(2)/25))/(LN(2)/25)*Calculateur!BL11*Calculateur!BN11*VLOOKUP('Données projet'!$B$11,Paramètres!$A$1:$I$88,3,0)*0.475*44/12</f>
        <v>0</v>
      </c>
      <c r="BR11" s="23">
        <f>EXP(-LN(2)/2)*BR10+(1-EXP(-LN(2)/2))/(LN(2)/2)*BL11*BO11*VLOOKUP('Données projet'!$B$11,Paramètres!$A$1:$I$88,3,0)*0.475*44/12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64.175299822828009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2.4666666666666668</v>
      </c>
      <c r="BY11" s="13">
        <f>IF('Données projet'!$A$114&gt;35,BY10+BX11-CG10,IF(A11&lt;'Données projet'!$A$114,$BV$205^A11,IF(A11='Données projet'!$A$114,'Données projet'!$B$114,BY10+BX11-CG10)))</f>
        <v>6.8607919984549888</v>
      </c>
      <c r="BZ11" s="14">
        <f>BY11*VLOOKUP('Données projet'!$B$12,Paramètres!$A$1:$I$88,3,0)*VLOOKUP('Données projet'!$B$12,Paramètres!$A$1:$I$88,5,0)</f>
        <v>4.4951909173877089</v>
      </c>
      <c r="CA11" s="14">
        <f t="shared" si="39"/>
        <v>1.7390830520969034</v>
      </c>
      <c r="CB11" s="22">
        <f t="shared" si="10"/>
        <v>10.858027163519033</v>
      </c>
      <c r="CC11" s="62">
        <f t="shared" si="11"/>
        <v>255.94523762499952</v>
      </c>
      <c r="CD11" s="62">
        <f ca="1">AVERAGE(OFFSET($CC$3,0,0,'Données projet'!$E$12+1,1))-AVERAGE(OFFSET($H$3,0,0,'Données projet'!$E$12+1,1))</f>
        <v>270.10151451661864</v>
      </c>
      <c r="CE11" s="62">
        <f t="shared" si="40"/>
        <v>294.47934482366804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projet'!$B$12,Paramètres!$A$1:$I$88,3,0)*0.475*44/12</f>
        <v>0</v>
      </c>
      <c r="CL11" s="23">
        <f>EXP(-LN(2)/25)*CL10+(1-EXP(-LN(2)/25))/(LN(2)/25)*Calculateur!CG11*Calculateur!CI11*VLOOKUP('Données projet'!$B$12,Paramètres!$A$1:$I$88,3,0)*0.475*44/12</f>
        <v>0</v>
      </c>
      <c r="CM11" s="23">
        <f>EXP(-LN(2)/2)*CM10+(1-EXP(-LN(2)/2))/(LN(2)/2)*CG11*CJ11*VLOOKUP('Données projet'!$B$12,Paramètres!$A$1:$I$88,3,0)*0.475*44/12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64.175299822828009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2.4666666666666668</v>
      </c>
      <c r="CT11" s="13">
        <f>IF('Données projet'!$A$140&gt;35,CT10+CS11-DB10,IF(A11&lt;'Données projet'!$A$140,$CQ$205^A11,IF(A11='Données projet'!$A$140,'Données projet'!$B$140,CT10+CS11-DB10)))</f>
        <v>6.8607919984549888</v>
      </c>
      <c r="CU11" s="18">
        <f>CT11*VLOOKUP('Données projet'!$B$13,Paramètres!$A$1:$I$88,3,0)*VLOOKUP('Données projet'!$B$13,Paramètres!$A$1:$I$88,5,0)</f>
        <v>4.4951909173877089</v>
      </c>
      <c r="CV11" s="14">
        <f t="shared" si="41"/>
        <v>1.7390830520969034</v>
      </c>
      <c r="CW11" s="22">
        <f t="shared" si="13"/>
        <v>10.858027163519033</v>
      </c>
      <c r="CX11" s="62">
        <f t="shared" si="14"/>
        <v>255.94523762499952</v>
      </c>
      <c r="CY11" s="62">
        <f ca="1">AVERAGE(OFFSET($CX$3,0,0,'Données projet'!$E$13+1,1))-AVERAGE(OFFSET($H$3,0,0,'Données projet'!$E$13+1,1))</f>
        <v>270.10151451661864</v>
      </c>
      <c r="CZ11" s="62">
        <f t="shared" si="42"/>
        <v>294.47934482366804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projet'!$B$13,Paramètres!$A$1:$I$88,3,0)*0.475*44/12</f>
        <v>0</v>
      </c>
      <c r="DG11" s="23">
        <f>EXP(-LN(2)/25)*DG10+(1-EXP(-LN(2)/25))/(LN(2)/25)*Calculateur!DB11*Calculateur!DD11*VLOOKUP('Données projet'!$B$13,Paramètres!$A$1:$I$88,3,0)*0.475*44/12</f>
        <v>0</v>
      </c>
      <c r="DH11" s="23">
        <f>EXP(-LN(2)/2)*DH10+(1-EXP(-LN(2)/2))/(LN(2)/2)*DB11*DE11*VLOOKUP('Données projet'!$B$13,Paramètres!$A$1:$I$88,3,0)*0.475*44/12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64.175299822828009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projet'!$B$14,Paramètres!$A$1:$I$88,3,0)*0.475*44/12</f>
        <v>#N/A</v>
      </c>
      <c r="EB11" s="23" t="e">
        <f>EXP(-LN(2)/25)*EB10+(1-EXP(-LN(2)/25))/(LN(2)/25)*Calculateur!DW11*Calculateur!DY11*VLOOKUP('Données projet'!$B$14,Paramètres!$A$1:$I$88,3,0)*0.475*44/12</f>
        <v>#N/A</v>
      </c>
      <c r="EC11" s="23" t="e">
        <f>EXP(-LN(2)/2)*EC10+(1-EXP(-LN(2)/2))/(LN(2)/2)*DW11*DZ11*VLOOKUP('Données projet'!$B$14,Paramètres!$A$1:$I$88,3,0)*0.475*44/12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64.175299822828009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64.175299822828009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64.175299822828009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64.175299822828009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1.34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4.9133333333333331</v>
      </c>
      <c r="H12" s="70">
        <f t="shared" si="1"/>
        <v>237.01333333333332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64.276345348823185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projet'!$B$9,Paramètres!$A$1:$I$88,3,0)*VLOOKUP('Données projet'!$B$9,Paramètres!$A$1:$I$88,5,0)</f>
        <v>5.4513006599100189</v>
      </c>
      <c r="P12" s="14">
        <f t="shared" si="33"/>
        <v>2.062165822468125</v>
      </c>
      <c r="Q12" s="22">
        <f t="shared" si="2"/>
        <v>13.085954123475267</v>
      </c>
      <c r="R12" s="62">
        <f t="shared" si="0"/>
        <v>259.76588706916027</v>
      </c>
      <c r="S12" s="62">
        <f ca="1">AVERAGE(OFFSET($R$3,0,0,'Données projet'!$E$9+1,1))-AVERAGE(OFFSET($H$3,0,0,'Données projet'!$E$9+1,1))</f>
        <v>488.16146816015231</v>
      </c>
      <c r="T12" s="62">
        <f t="shared" si="34"/>
        <v>259.37115195552127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64.276345348823185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projet'!$B$10,Paramètres!$A$1:$I$88,3,0)*VLOOKUP('Données projet'!$B$10,Paramètres!$A$1:$I$88,5,0)</f>
        <v>4.8642375119197085</v>
      </c>
      <c r="AK12" s="14">
        <f t="shared" si="35"/>
        <v>1.8646542609995393</v>
      </c>
      <c r="AL12" s="22">
        <f t="shared" si="4"/>
        <v>11.719486504501022</v>
      </c>
      <c r="AM12" s="62">
        <f t="shared" si="5"/>
        <v>258.39941945018603</v>
      </c>
      <c r="AN12" s="62">
        <f ca="1">AVERAGE(OFFSET($AM$3,0,0,'Données projet'!$E$10+1,1))-AVERAGE(OFFSET($H$3,0,0,'Données projet'!$E$10+1,1))</f>
        <v>441.34749554136755</v>
      </c>
      <c r="AO12" s="62">
        <f t="shared" si="36"/>
        <v>236.49038586666222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64.276345348823185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</v>
      </c>
      <c r="BD12" s="13">
        <f>IF('Données projet'!$A$88&gt;35,BD11+BC12-BL11,IF(A12&lt;'Données projet'!$A$88,$BA$205^A12,IF(A12='Données projet'!$A$88,'Données projet'!$B$88,BD11+BC12-BL11)))</f>
        <v>5.3760361537574148</v>
      </c>
      <c r="BE12" s="14">
        <f>BD12*VLOOKUP('Données projet'!$B$11,Paramètres!$A$1:$I$88,3,0)*VLOOKUP('Données projet'!$B$11,Paramètres!$A$1:$I$88,5,0)</f>
        <v>5.7867653159044812</v>
      </c>
      <c r="BF12" s="14">
        <f t="shared" si="37"/>
        <v>2.1739041889582755</v>
      </c>
      <c r="BG12" s="22">
        <f t="shared" si="7"/>
        <v>13.864832720969302</v>
      </c>
      <c r="BH12" s="62">
        <f t="shared" si="8"/>
        <v>260.54476566665431</v>
      </c>
      <c r="BI12" s="62">
        <f ca="1">AVERAGE(OFFSET($BH$3,0,0,'Données projet'!$E$11+1,1))-AVERAGE(OFFSET($H$3,0,0,'Données projet'!$E$11+1,1))</f>
        <v>514.86487884889584</v>
      </c>
      <c r="BJ12" s="62">
        <f t="shared" si="38"/>
        <v>272.4206208356191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projet'!$B$11,Paramètres!$A$1:$I$88,3,0)*0.475*44/12</f>
        <v>0</v>
      </c>
      <c r="BQ12" s="23">
        <f>EXP(-LN(2)/25)*BQ11+(1-EXP(-LN(2)/25))/(LN(2)/25)*Calculateur!BL12*Calculateur!BN12*VLOOKUP('Données projet'!$B$11,Paramètres!$A$1:$I$88,3,0)*0.475*44/12</f>
        <v>0</v>
      </c>
      <c r="BR12" s="23">
        <f>EXP(-LN(2)/2)*BR11+(1-EXP(-LN(2)/2))/(LN(2)/2)*BL12*BO12*VLOOKUP('Données projet'!$B$11,Paramètres!$A$1:$I$88,3,0)*0.475*44/12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64.276345348823185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2.4666666666666668</v>
      </c>
      <c r="BY12" s="13">
        <f>IF('Données projet'!$A$114&gt;35,BY11+BX12-CG11,IF(A12&lt;'Données projet'!$A$114,$BV$205^A12,IF(A12='Données projet'!$A$114,'Données projet'!$B$114,BY11+BX12-CG11)))</f>
        <v>8.7281265486761299</v>
      </c>
      <c r="BZ12" s="14">
        <f>BY12*VLOOKUP('Données projet'!$B$12,Paramètres!$A$1:$I$88,3,0)*VLOOKUP('Données projet'!$B$12,Paramètres!$A$1:$I$88,5,0)</f>
        <v>5.7186685146926006</v>
      </c>
      <c r="CA12" s="14">
        <f t="shared" si="39"/>
        <v>2.1512845537982104</v>
      </c>
      <c r="CB12" s="22">
        <f t="shared" si="10"/>
        <v>13.706834927621495</v>
      </c>
      <c r="CC12" s="62">
        <f t="shared" si="11"/>
        <v>260.3867678733065</v>
      </c>
      <c r="CD12" s="62">
        <f ca="1">AVERAGE(OFFSET($CC$3,0,0,'Données projet'!$E$12+1,1))-AVERAGE(OFFSET($H$3,0,0,'Données projet'!$E$12+1,1))</f>
        <v>270.10151451661864</v>
      </c>
      <c r="CE12" s="62">
        <f t="shared" si="40"/>
        <v>294.47934482366804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projet'!$B$12,Paramètres!$A$1:$I$88,3,0)*0.475*44/12</f>
        <v>0</v>
      </c>
      <c r="CL12" s="23">
        <f>EXP(-LN(2)/25)*CL11+(1-EXP(-LN(2)/25))/(LN(2)/25)*Calculateur!CG12*Calculateur!CI12*VLOOKUP('Données projet'!$B$12,Paramètres!$A$1:$I$88,3,0)*0.475*44/12</f>
        <v>0</v>
      </c>
      <c r="CM12" s="23">
        <f>EXP(-LN(2)/2)*CM11+(1-EXP(-LN(2)/2))/(LN(2)/2)*CG12*CJ12*VLOOKUP('Données projet'!$B$12,Paramètres!$A$1:$I$88,3,0)*0.475*44/12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64.276345348823185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2.4666666666666668</v>
      </c>
      <c r="CT12" s="13">
        <f>IF('Données projet'!$A$140&gt;35,CT11+CS12-DB11,IF(A12&lt;'Données projet'!$A$140,$CQ$205^A12,IF(A12='Données projet'!$A$140,'Données projet'!$B$140,CT11+CS12-DB11)))</f>
        <v>8.7281265486761299</v>
      </c>
      <c r="CU12" s="18">
        <f>CT12*VLOOKUP('Données projet'!$B$13,Paramètres!$A$1:$I$88,3,0)*VLOOKUP('Données projet'!$B$13,Paramètres!$A$1:$I$88,5,0)</f>
        <v>5.7186685146926006</v>
      </c>
      <c r="CV12" s="14">
        <f t="shared" si="41"/>
        <v>2.1512845537982104</v>
      </c>
      <c r="CW12" s="22">
        <f t="shared" si="13"/>
        <v>13.706834927621495</v>
      </c>
      <c r="CX12" s="62">
        <f t="shared" si="14"/>
        <v>260.3867678733065</v>
      </c>
      <c r="CY12" s="62">
        <f ca="1">AVERAGE(OFFSET($CX$3,0,0,'Données projet'!$E$13+1,1))-AVERAGE(OFFSET($H$3,0,0,'Données projet'!$E$13+1,1))</f>
        <v>270.10151451661864</v>
      </c>
      <c r="CZ12" s="62">
        <f t="shared" si="42"/>
        <v>294.47934482366804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projet'!$B$13,Paramètres!$A$1:$I$88,3,0)*0.475*44/12</f>
        <v>0</v>
      </c>
      <c r="DG12" s="23">
        <f>EXP(-LN(2)/25)*DG11+(1-EXP(-LN(2)/25))/(LN(2)/25)*Calculateur!DB12*Calculateur!DD12*VLOOKUP('Données projet'!$B$13,Paramètres!$A$1:$I$88,3,0)*0.475*44/12</f>
        <v>0</v>
      </c>
      <c r="DH12" s="23">
        <f>EXP(-LN(2)/2)*DH11+(1-EXP(-LN(2)/2))/(LN(2)/2)*DB12*DE12*VLOOKUP('Données projet'!$B$13,Paramètres!$A$1:$I$88,3,0)*0.475*44/12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64.276345348823185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projet'!$B$14,Paramètres!$A$1:$I$88,3,0)*0.475*44/12</f>
        <v>#N/A</v>
      </c>
      <c r="EB12" s="23" t="e">
        <f>EXP(-LN(2)/25)*EB11+(1-EXP(-LN(2)/25))/(LN(2)/25)*Calculateur!DW12*Calculateur!DY12*VLOOKUP('Données projet'!$B$14,Paramètres!$A$1:$I$88,3,0)*0.475*44/12</f>
        <v>#N/A</v>
      </c>
      <c r="EC12" s="23" t="e">
        <f>EXP(-LN(2)/2)*EC11+(1-EXP(-LN(2)/2))/(LN(2)/2)*DW12*DZ12*VLOOKUP('Données projet'!$B$14,Paramètres!$A$1:$I$88,3,0)*0.475*44/12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64.276345348823185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64.276345348823185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64.276345348823185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64.276345348823185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1.34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4.9133333333333331</v>
      </c>
      <c r="H13" s="70">
        <f t="shared" si="1"/>
        <v>237.01333333333332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64.375637960846319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projet'!$B$9,Paramètres!$A$1:$I$88,3,0)*VLOOKUP('Données projet'!$B$9,Paramètres!$A$1:$I$88,5,0)</f>
        <v>6.5714710681855761</v>
      </c>
      <c r="P13" s="14">
        <f t="shared" si="33"/>
        <v>2.4324209676242781</v>
      </c>
      <c r="Q13" s="22">
        <f t="shared" si="2"/>
        <v>15.681778629035497</v>
      </c>
      <c r="R13" s="62">
        <f t="shared" si="0"/>
        <v>263.94800670769422</v>
      </c>
      <c r="S13" s="62">
        <f ca="1">AVERAGE(OFFSET($R$3,0,0,'Données projet'!$E$9+1,1))-AVERAGE(OFFSET($H$3,0,0,'Données projet'!$E$9+1,1))</f>
        <v>488.16146816015231</v>
      </c>
      <c r="T13" s="62">
        <f t="shared" si="34"/>
        <v>259.37115195552127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64.375637960846319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projet'!$B$10,Paramètres!$A$1:$I$88,3,0)*VLOOKUP('Données projet'!$B$10,Paramètres!$A$1:$I$88,5,0)</f>
        <v>5.8637741839194364</v>
      </c>
      <c r="AK13" s="14">
        <f t="shared" si="35"/>
        <v>2.1994468497187687</v>
      </c>
      <c r="AL13" s="22">
        <f t="shared" si="4"/>
        <v>14.043443300253207</v>
      </c>
      <c r="AM13" s="62">
        <f t="shared" si="5"/>
        <v>262.3096713789119</v>
      </c>
      <c r="AN13" s="62">
        <f ca="1">AVERAGE(OFFSET($AM$3,0,0,'Données projet'!$E$10+1,1))-AVERAGE(OFFSET($H$3,0,0,'Données projet'!$E$10+1,1))</f>
        <v>441.34749554136755</v>
      </c>
      <c r="AO13" s="62">
        <f t="shared" si="36"/>
        <v>236.49038586666222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64.375637960846319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</v>
      </c>
      <c r="BD13" s="13">
        <f>IF('Données projet'!$A$88&gt;35,BD12+BC13-BL12,IF(A13&lt;'Données projet'!$A$88,$BA$205^A13,IF(A13='Données projet'!$A$88,'Données projet'!$B$88,BD12+BC13-BL12)))</f>
        <v>6.4807406984078657</v>
      </c>
      <c r="BE13" s="14">
        <f>BD13*VLOOKUP('Données projet'!$B$11,Paramètres!$A$1:$I$88,3,0)*VLOOKUP('Données projet'!$B$11,Paramètres!$A$1:$I$88,5,0)</f>
        <v>6.9758692877662263</v>
      </c>
      <c r="BF13" s="14">
        <f t="shared" si="37"/>
        <v>2.5642215932468222</v>
      </c>
      <c r="BG13" s="22">
        <f t="shared" si="7"/>
        <v>16.61565828443106</v>
      </c>
      <c r="BH13" s="62">
        <f t="shared" si="8"/>
        <v>264.88188636308979</v>
      </c>
      <c r="BI13" s="62">
        <f ca="1">AVERAGE(OFFSET($BH$3,0,0,'Données projet'!$E$11+1,1))-AVERAGE(OFFSET($H$3,0,0,'Données projet'!$E$11+1,1))</f>
        <v>514.86487884889584</v>
      </c>
      <c r="BJ13" s="62">
        <f t="shared" si="38"/>
        <v>272.4206208356191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projet'!$B$11,Paramètres!$A$1:$I$88,3,0)*0.475*44/12</f>
        <v>0</v>
      </c>
      <c r="BQ13" s="23">
        <f>EXP(-LN(2)/25)*BQ12+(1-EXP(-LN(2)/25))/(LN(2)/25)*Calculateur!BL13*Calculateur!BN13*VLOOKUP('Données projet'!$B$11,Paramètres!$A$1:$I$88,3,0)*0.475*44/12</f>
        <v>0</v>
      </c>
      <c r="BR13" s="23">
        <f>EXP(-LN(2)/2)*BR12+(1-EXP(-LN(2)/2))/(LN(2)/2)*BL13*BO13*VLOOKUP('Données projet'!$B$11,Paramètres!$A$1:$I$88,3,0)*0.475*44/12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64.375637960846319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2.4666666666666668</v>
      </c>
      <c r="BY13" s="13">
        <f>IF('Données projet'!$A$114&gt;35,BY12+BX13-CG12,IF(A13&lt;'Données projet'!$A$114,$BV$205^A13,IF(A13='Données projet'!$A$114,'Données projet'!$B$114,BY12+BX13-CG12)))</f>
        <v>11.103702468586782</v>
      </c>
      <c r="BZ13" s="14">
        <f>BY13*VLOOKUP('Données projet'!$B$12,Paramètres!$A$1:$I$88,3,0)*VLOOKUP('Données projet'!$B$12,Paramètres!$A$1:$I$88,5,0)</f>
        <v>7.2751458574180594</v>
      </c>
      <c r="CA13" s="14">
        <f t="shared" si="39"/>
        <v>2.6611870122191768</v>
      </c>
      <c r="CB13" s="22">
        <f t="shared" si="10"/>
        <v>17.305779747951522</v>
      </c>
      <c r="CC13" s="62">
        <f t="shared" si="11"/>
        <v>265.57200782661022</v>
      </c>
      <c r="CD13" s="62">
        <f ca="1">AVERAGE(OFFSET($CC$3,0,0,'Données projet'!$E$12+1,1))-AVERAGE(OFFSET($H$3,0,0,'Données projet'!$E$12+1,1))</f>
        <v>270.10151451661864</v>
      </c>
      <c r="CE13" s="62">
        <f t="shared" si="40"/>
        <v>294.47934482366804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projet'!$B$12,Paramètres!$A$1:$I$88,3,0)*0.475*44/12</f>
        <v>0</v>
      </c>
      <c r="CL13" s="23">
        <f>EXP(-LN(2)/25)*CL12+(1-EXP(-LN(2)/25))/(LN(2)/25)*Calculateur!CG13*Calculateur!CI13*VLOOKUP('Données projet'!$B$12,Paramètres!$A$1:$I$88,3,0)*0.475*44/12</f>
        <v>0</v>
      </c>
      <c r="CM13" s="23">
        <f>EXP(-LN(2)/2)*CM12+(1-EXP(-LN(2)/2))/(LN(2)/2)*CG13*CJ13*VLOOKUP('Données projet'!$B$12,Paramètres!$A$1:$I$88,3,0)*0.475*44/12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64.375637960846319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2.4666666666666668</v>
      </c>
      <c r="CT13" s="13">
        <f>IF('Données projet'!$A$140&gt;35,CT12+CS13-DB12,IF(A13&lt;'Données projet'!$A$140,$CQ$205^A13,IF(A13='Données projet'!$A$140,'Données projet'!$B$140,CT12+CS13-DB12)))</f>
        <v>11.103702468586782</v>
      </c>
      <c r="CU13" s="18">
        <f>CT13*VLOOKUP('Données projet'!$B$13,Paramètres!$A$1:$I$88,3,0)*VLOOKUP('Données projet'!$B$13,Paramètres!$A$1:$I$88,5,0)</f>
        <v>7.2751458574180594</v>
      </c>
      <c r="CV13" s="14">
        <f t="shared" si="41"/>
        <v>2.6611870122191768</v>
      </c>
      <c r="CW13" s="22">
        <f t="shared" si="13"/>
        <v>17.305779747951522</v>
      </c>
      <c r="CX13" s="62">
        <f t="shared" si="14"/>
        <v>265.57200782661022</v>
      </c>
      <c r="CY13" s="62">
        <f ca="1">AVERAGE(OFFSET($CX$3,0,0,'Données projet'!$E$13+1,1))-AVERAGE(OFFSET($H$3,0,0,'Données projet'!$E$13+1,1))</f>
        <v>270.10151451661864</v>
      </c>
      <c r="CZ13" s="62">
        <f t="shared" si="42"/>
        <v>294.47934482366804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projet'!$B$13,Paramètres!$A$1:$I$88,3,0)*0.475*44/12</f>
        <v>0</v>
      </c>
      <c r="DG13" s="23">
        <f>EXP(-LN(2)/25)*DG12+(1-EXP(-LN(2)/25))/(LN(2)/25)*Calculateur!DB13*Calculateur!DD13*VLOOKUP('Données projet'!$B$13,Paramètres!$A$1:$I$88,3,0)*0.475*44/12</f>
        <v>0</v>
      </c>
      <c r="DH13" s="23">
        <f>EXP(-LN(2)/2)*DH12+(1-EXP(-LN(2)/2))/(LN(2)/2)*DB13*DE13*VLOOKUP('Données projet'!$B$13,Paramètres!$A$1:$I$88,3,0)*0.475*44/12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64.375637960846319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projet'!$B$14,Paramètres!$A$1:$I$88,3,0)*0.475*44/12</f>
        <v>#N/A</v>
      </c>
      <c r="EB13" s="23" t="e">
        <f>EXP(-LN(2)/25)*EB12+(1-EXP(-LN(2)/25))/(LN(2)/25)*Calculateur!DW13*Calculateur!DY13*VLOOKUP('Données projet'!$B$14,Paramètres!$A$1:$I$88,3,0)*0.475*44/12</f>
        <v>#N/A</v>
      </c>
      <c r="EC13" s="23" t="e">
        <f>EXP(-LN(2)/2)*EC12+(1-EXP(-LN(2)/2))/(LN(2)/2)*DW13*DZ13*VLOOKUP('Données projet'!$B$14,Paramètres!$A$1:$I$88,3,0)*0.475*44/12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64.375637960846319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64.375637960846319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64.375637960846319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64.375637960846319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1.34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4.9133333333333331</v>
      </c>
      <c r="H14" s="70">
        <f t="shared" si="1"/>
        <v>237.01333333333332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64.473208068035859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projet'!$B$9,Paramètres!$A$1:$I$88,3,0)*VLOOKUP('Données projet'!$B$9,Paramètres!$A$1:$I$88,5,0)</f>
        <v>7.921821725516951</v>
      </c>
      <c r="P14" s="14">
        <f t="shared" si="33"/>
        <v>2.869154216054651</v>
      </c>
      <c r="Q14" s="22">
        <f t="shared" si="2"/>
        <v>18.794283098237205</v>
      </c>
      <c r="R14" s="62">
        <f t="shared" si="0"/>
        <v>268.64049045881313</v>
      </c>
      <c r="S14" s="62">
        <f ca="1">AVERAGE(OFFSET($R$3,0,0,'Données projet'!$E$9+1,1))-AVERAGE(OFFSET($H$3,0,0,'Données projet'!$E$9+1,1))</f>
        <v>488.16146816015231</v>
      </c>
      <c r="T14" s="62">
        <f t="shared" si="34"/>
        <v>259.37115195552127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64.473208068035859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projet'!$B$10,Paramètres!$A$1:$I$88,3,0)*VLOOKUP('Données projet'!$B$10,Paramètres!$A$1:$I$88,5,0)</f>
        <v>7.0687024627689707</v>
      </c>
      <c r="AK14" s="14">
        <f t="shared" si="35"/>
        <v>2.5943503554083325</v>
      </c>
      <c r="AL14" s="22">
        <f t="shared" si="4"/>
        <v>16.829816991658799</v>
      </c>
      <c r="AM14" s="62">
        <f t="shared" si="5"/>
        <v>266.67602435223472</v>
      </c>
      <c r="AN14" s="62">
        <f ca="1">AVERAGE(OFFSET($AM$3,0,0,'Données projet'!$E$10+1,1))-AVERAGE(OFFSET($H$3,0,0,'Données projet'!$E$10+1,1))</f>
        <v>441.34749554136755</v>
      </c>
      <c r="AO14" s="62">
        <f t="shared" si="36"/>
        <v>236.49038586666222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64.473208068035859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</v>
      </c>
      <c r="BD14" s="13">
        <f>IF('Données projet'!$A$88&gt;35,BD13+BC14-BL13,IF(A14&lt;'Données projet'!$A$88,$BA$205^A14,IF(A14='Données projet'!$A$88,'Données projet'!$B$88,BD13+BC14-BL13)))</f>
        <v>7.8124474610620815</v>
      </c>
      <c r="BE14" s="14">
        <f>BD14*VLOOKUP('Données projet'!$B$11,Paramètres!$A$1:$I$88,3,0)*VLOOKUP('Données projet'!$B$11,Paramètres!$A$1:$I$88,5,0)</f>
        <v>8.4093184470872249</v>
      </c>
      <c r="BF14" s="14">
        <f t="shared" si="37"/>
        <v>3.0246192139792929</v>
      </c>
      <c r="BG14" s="22">
        <f t="shared" si="7"/>
        <v>19.914108093024186</v>
      </c>
      <c r="BH14" s="62">
        <f t="shared" si="8"/>
        <v>269.76031545360013</v>
      </c>
      <c r="BI14" s="62">
        <f ca="1">AVERAGE(OFFSET($BH$3,0,0,'Données projet'!$E$11+1,1))-AVERAGE(OFFSET($H$3,0,0,'Données projet'!$E$11+1,1))</f>
        <v>514.86487884889584</v>
      </c>
      <c r="BJ14" s="62">
        <f t="shared" si="38"/>
        <v>272.4206208356191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projet'!$B$11,Paramètres!$A$1:$I$88,3,0)*0.475*44/12</f>
        <v>0</v>
      </c>
      <c r="BQ14" s="23">
        <f>EXP(-LN(2)/25)*BQ13+(1-EXP(-LN(2)/25))/(LN(2)/25)*Calculateur!BL14*Calculateur!BN14*VLOOKUP('Données projet'!$B$11,Paramètres!$A$1:$I$88,3,0)*0.475*44/12</f>
        <v>0</v>
      </c>
      <c r="BR14" s="23">
        <f>EXP(-LN(2)/2)*BR13+(1-EXP(-LN(2)/2))/(LN(2)/2)*BL14*BO14*VLOOKUP('Données projet'!$B$11,Paramètres!$A$1:$I$88,3,0)*0.475*44/12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64.473208068035859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2.4666666666666668</v>
      </c>
      <c r="BY14" s="13">
        <f>IF('Données projet'!$A$114&gt;35,BY13+BX14-CG13,IF(A14&lt;'Données projet'!$A$114,$BV$205^A14,IF(A14='Données projet'!$A$114,'Données projet'!$B$114,BY13+BX14-CG13)))</f>
        <v>14.125850240977657</v>
      </c>
      <c r="BZ14" s="14">
        <f>BY14*VLOOKUP('Données projet'!$B$12,Paramètres!$A$1:$I$88,3,0)*VLOOKUP('Données projet'!$B$12,Paramètres!$A$1:$I$88,5,0)</f>
        <v>9.2552570778885617</v>
      </c>
      <c r="CA14" s="14">
        <f t="shared" si="39"/>
        <v>3.2919477349012349</v>
      </c>
      <c r="CB14" s="22">
        <f t="shared" si="10"/>
        <v>21.853048382275563</v>
      </c>
      <c r="CC14" s="62">
        <f t="shared" si="11"/>
        <v>271.69925574285151</v>
      </c>
      <c r="CD14" s="62">
        <f ca="1">AVERAGE(OFFSET($CC$3,0,0,'Données projet'!$E$12+1,1))-AVERAGE(OFFSET($H$3,0,0,'Données projet'!$E$12+1,1))</f>
        <v>270.10151451661864</v>
      </c>
      <c r="CE14" s="62">
        <f t="shared" si="40"/>
        <v>294.47934482366804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projet'!$B$12,Paramètres!$A$1:$I$88,3,0)*0.475*44/12</f>
        <v>0</v>
      </c>
      <c r="CL14" s="23">
        <f>EXP(-LN(2)/25)*CL13+(1-EXP(-LN(2)/25))/(LN(2)/25)*Calculateur!CG14*Calculateur!CI14*VLOOKUP('Données projet'!$B$12,Paramètres!$A$1:$I$88,3,0)*0.475*44/12</f>
        <v>0</v>
      </c>
      <c r="CM14" s="23">
        <f>EXP(-LN(2)/2)*CM13+(1-EXP(-LN(2)/2))/(LN(2)/2)*CG14*CJ14*VLOOKUP('Données projet'!$B$12,Paramètres!$A$1:$I$88,3,0)*0.475*44/12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64.473208068035859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2.4666666666666668</v>
      </c>
      <c r="CT14" s="13">
        <f>IF('Données projet'!$A$140&gt;35,CT13+CS14-DB13,IF(A14&lt;'Données projet'!$A$140,$CQ$205^A14,IF(A14='Données projet'!$A$140,'Données projet'!$B$140,CT13+CS14-DB13)))</f>
        <v>14.125850240977657</v>
      </c>
      <c r="CU14" s="18">
        <f>CT14*VLOOKUP('Données projet'!$B$13,Paramètres!$A$1:$I$88,3,0)*VLOOKUP('Données projet'!$B$13,Paramètres!$A$1:$I$88,5,0)</f>
        <v>9.2552570778885617</v>
      </c>
      <c r="CV14" s="14">
        <f t="shared" si="41"/>
        <v>3.2919477349012349</v>
      </c>
      <c r="CW14" s="22">
        <f t="shared" si="13"/>
        <v>21.853048382275563</v>
      </c>
      <c r="CX14" s="62">
        <f t="shared" si="14"/>
        <v>271.69925574285151</v>
      </c>
      <c r="CY14" s="62">
        <f ca="1">AVERAGE(OFFSET($CX$3,0,0,'Données projet'!$E$13+1,1))-AVERAGE(OFFSET($H$3,0,0,'Données projet'!$E$13+1,1))</f>
        <v>270.10151451661864</v>
      </c>
      <c r="CZ14" s="62">
        <f t="shared" si="42"/>
        <v>294.47934482366804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projet'!$B$13,Paramètres!$A$1:$I$88,3,0)*0.475*44/12</f>
        <v>0</v>
      </c>
      <c r="DG14" s="23">
        <f>EXP(-LN(2)/25)*DG13+(1-EXP(-LN(2)/25))/(LN(2)/25)*Calculateur!DB14*Calculateur!DD14*VLOOKUP('Données projet'!$B$13,Paramètres!$A$1:$I$88,3,0)*0.475*44/12</f>
        <v>0</v>
      </c>
      <c r="DH14" s="23">
        <f>EXP(-LN(2)/2)*DH13+(1-EXP(-LN(2)/2))/(LN(2)/2)*DB14*DE14*VLOOKUP('Données projet'!$B$13,Paramètres!$A$1:$I$88,3,0)*0.475*44/12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64.473208068035859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projet'!$B$14,Paramètres!$A$1:$I$88,3,0)*0.475*44/12</f>
        <v>#N/A</v>
      </c>
      <c r="EB14" s="23" t="e">
        <f>EXP(-LN(2)/25)*EB13+(1-EXP(-LN(2)/25))/(LN(2)/25)*Calculateur!DW14*Calculateur!DY14*VLOOKUP('Données projet'!$B$14,Paramètres!$A$1:$I$88,3,0)*0.475*44/12</f>
        <v>#N/A</v>
      </c>
      <c r="EC14" s="23" t="e">
        <f>EXP(-LN(2)/2)*EC13+(1-EXP(-LN(2)/2))/(LN(2)/2)*DW14*DZ14*VLOOKUP('Données projet'!$B$14,Paramètres!$A$1:$I$88,3,0)*0.475*44/12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64.473208068035859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64.473208068035859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64.473208068035859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64.473208068035859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1.34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4.9133333333333331</v>
      </c>
      <c r="H15" s="70">
        <f t="shared" si="1"/>
        <v>237.01333333333332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64.569085551999748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projet'!$B$9,Paramètres!$A$1:$I$88,3,0)*VLOOKUP('Données projet'!$B$9,Paramètres!$A$1:$I$88,5,0)</f>
        <v>9.5496516380767513</v>
      </c>
      <c r="P15" s="14">
        <f t="shared" si="33"/>
        <v>3.3843014943027487</v>
      </c>
      <c r="Q15" s="22">
        <f t="shared" si="2"/>
        <v>22.526635038894295</v>
      </c>
      <c r="R15" s="62">
        <f t="shared" si="0"/>
        <v>273.94661539622672</v>
      </c>
      <c r="S15" s="62">
        <f ca="1">AVERAGE(OFFSET($R$3,0,0,'Données projet'!$E$9+1,1))-AVERAGE(OFFSET($H$3,0,0,'Données projet'!$E$9+1,1))</f>
        <v>488.16146816015231</v>
      </c>
      <c r="T15" s="62">
        <f t="shared" si="34"/>
        <v>259.37115195552127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64.569085551999748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projet'!$B$10,Paramètres!$A$1:$I$88,3,0)*VLOOKUP('Données projet'!$B$10,Paramètres!$A$1:$I$88,5,0)</f>
        <v>8.521227615514638</v>
      </c>
      <c r="AK15" s="14">
        <f t="shared" si="35"/>
        <v>3.0601574970852128</v>
      </c>
      <c r="AL15" s="22">
        <f t="shared" si="4"/>
        <v>20.170912404444739</v>
      </c>
      <c r="AM15" s="62">
        <f t="shared" si="5"/>
        <v>271.59089276177713</v>
      </c>
      <c r="AN15" s="62">
        <f ca="1">AVERAGE(OFFSET($AM$3,0,0,'Données projet'!$E$10+1,1))-AVERAGE(OFFSET($H$3,0,0,'Données projet'!$E$10+1,1))</f>
        <v>441.34749554136755</v>
      </c>
      <c r="AO15" s="62">
        <f t="shared" si="36"/>
        <v>236.49038586666222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64.569085551999748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</v>
      </c>
      <c r="BD15" s="13">
        <f>IF('Données projet'!$A$88&gt;35,BD14+BC15-BL14,IF(A15&lt;'Données projet'!$A$88,$BA$205^A15,IF(A15='Données projet'!$A$88,'Données projet'!$B$88,BD14+BC15-BL14)))</f>
        <v>9.4178024044149407</v>
      </c>
      <c r="BE15" s="14">
        <f>BD15*VLOOKUP('Données projet'!$B$11,Paramètres!$A$1:$I$88,3,0)*VLOOKUP('Données projet'!$B$11,Paramètres!$A$1:$I$88,5,0)</f>
        <v>10.137322508112241</v>
      </c>
      <c r="BF15" s="14">
        <f t="shared" si="37"/>
        <v>3.5676797253661268</v>
      </c>
      <c r="BG15" s="22">
        <f t="shared" si="7"/>
        <v>23.869545556641487</v>
      </c>
      <c r="BH15" s="62">
        <f t="shared" si="8"/>
        <v>275.28952591397388</v>
      </c>
      <c r="BI15" s="62">
        <f ca="1">AVERAGE(OFFSET($BH$3,0,0,'Données projet'!$E$11+1,1))-AVERAGE(OFFSET($H$3,0,0,'Données projet'!$E$11+1,1))</f>
        <v>514.86487884889584</v>
      </c>
      <c r="BJ15" s="62">
        <f t="shared" si="38"/>
        <v>272.4206208356191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projet'!$B$11,Paramètres!$A$1:$I$88,3,0)*0.475*44/12</f>
        <v>0</v>
      </c>
      <c r="BQ15" s="23">
        <f>EXP(-LN(2)/25)*BQ14+(1-EXP(-LN(2)/25))/(LN(2)/25)*Calculateur!BL15*Calculateur!BN15*VLOOKUP('Données projet'!$B$11,Paramètres!$A$1:$I$88,3,0)*0.475*44/12</f>
        <v>0</v>
      </c>
      <c r="BR15" s="23">
        <f>EXP(-LN(2)/2)*BR14+(1-EXP(-LN(2)/2))/(LN(2)/2)*BL15*BO15*VLOOKUP('Données projet'!$B$11,Paramètres!$A$1:$I$88,3,0)*0.475*44/12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64.569085551999748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2.4666666666666668</v>
      </c>
      <c r="BY15" s="13">
        <f>IF('Données projet'!$A$114&gt;35,BY14+BX15-CG14,IF(A15&lt;'Données projet'!$A$114,$BV$205^A15,IF(A15='Données projet'!$A$114,'Données projet'!$B$114,BY14+BX15-CG14)))</f>
        <v>17.970550417308221</v>
      </c>
      <c r="BZ15" s="14">
        <f>BY15*VLOOKUP('Données projet'!$B$12,Paramètres!$A$1:$I$88,3,0)*VLOOKUP('Données projet'!$B$12,Paramètres!$A$1:$I$88,5,0)</f>
        <v>11.774304633420346</v>
      </c>
      <c r="CA15" s="14">
        <f t="shared" si="39"/>
        <v>4.0722128281711418</v>
      </c>
      <c r="CB15" s="22">
        <f t="shared" si="10"/>
        <v>27.599351245605177</v>
      </c>
      <c r="CC15" s="62">
        <f t="shared" si="11"/>
        <v>279.0193316029376</v>
      </c>
      <c r="CD15" s="62">
        <f ca="1">AVERAGE(OFFSET($CC$3,0,0,'Données projet'!$E$12+1,1))-AVERAGE(OFFSET($H$3,0,0,'Données projet'!$E$12+1,1))</f>
        <v>270.10151451661864</v>
      </c>
      <c r="CE15" s="62">
        <f t="shared" si="40"/>
        <v>294.47934482366804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projet'!$B$12,Paramètres!$A$1:$I$88,3,0)*0.475*44/12</f>
        <v>0</v>
      </c>
      <c r="CL15" s="23">
        <f>EXP(-LN(2)/25)*CL14+(1-EXP(-LN(2)/25))/(LN(2)/25)*Calculateur!CG15*Calculateur!CI15*VLOOKUP('Données projet'!$B$12,Paramètres!$A$1:$I$88,3,0)*0.475*44/12</f>
        <v>0</v>
      </c>
      <c r="CM15" s="23">
        <f>EXP(-LN(2)/2)*CM14+(1-EXP(-LN(2)/2))/(LN(2)/2)*CG15*CJ15*VLOOKUP('Données projet'!$B$12,Paramètres!$A$1:$I$88,3,0)*0.475*44/12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64.569085551999748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2.4666666666666668</v>
      </c>
      <c r="CT15" s="13">
        <f>IF('Données projet'!$A$140&gt;35,CT14+CS15-DB14,IF(A15&lt;'Données projet'!$A$140,$CQ$205^A15,IF(A15='Données projet'!$A$140,'Données projet'!$B$140,CT14+CS15-DB14)))</f>
        <v>17.970550417308221</v>
      </c>
      <c r="CU15" s="18">
        <f>CT15*VLOOKUP('Données projet'!$B$13,Paramètres!$A$1:$I$88,3,0)*VLOOKUP('Données projet'!$B$13,Paramètres!$A$1:$I$88,5,0)</f>
        <v>11.774304633420346</v>
      </c>
      <c r="CV15" s="14">
        <f t="shared" si="41"/>
        <v>4.0722128281711418</v>
      </c>
      <c r="CW15" s="22">
        <f t="shared" si="13"/>
        <v>27.599351245605177</v>
      </c>
      <c r="CX15" s="62">
        <f t="shared" si="14"/>
        <v>279.0193316029376</v>
      </c>
      <c r="CY15" s="62">
        <f ca="1">AVERAGE(OFFSET($CX$3,0,0,'Données projet'!$E$13+1,1))-AVERAGE(OFFSET($H$3,0,0,'Données projet'!$E$13+1,1))</f>
        <v>270.10151451661864</v>
      </c>
      <c r="CZ15" s="62">
        <f t="shared" si="42"/>
        <v>294.47934482366804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projet'!$B$13,Paramètres!$A$1:$I$88,3,0)*0.475*44/12</f>
        <v>0</v>
      </c>
      <c r="DG15" s="23">
        <f>EXP(-LN(2)/25)*DG14+(1-EXP(-LN(2)/25))/(LN(2)/25)*Calculateur!DB15*Calculateur!DD15*VLOOKUP('Données projet'!$B$13,Paramètres!$A$1:$I$88,3,0)*0.475*44/12</f>
        <v>0</v>
      </c>
      <c r="DH15" s="23">
        <f>EXP(-LN(2)/2)*DH14+(1-EXP(-LN(2)/2))/(LN(2)/2)*DB15*DE15*VLOOKUP('Données projet'!$B$13,Paramètres!$A$1:$I$88,3,0)*0.475*44/12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64.569085551999748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projet'!$B$14,Paramètres!$A$1:$I$88,3,0)*0.475*44/12</f>
        <v>#N/A</v>
      </c>
      <c r="EB15" s="23" t="e">
        <f>EXP(-LN(2)/25)*EB14+(1-EXP(-LN(2)/25))/(LN(2)/25)*Calculateur!DW15*Calculateur!DY15*VLOOKUP('Données projet'!$B$14,Paramètres!$A$1:$I$88,3,0)*0.475*44/12</f>
        <v>#N/A</v>
      </c>
      <c r="EC15" s="23" t="e">
        <f>EXP(-LN(2)/2)*EC14+(1-EXP(-LN(2)/2))/(LN(2)/2)*DW15*DZ15*VLOOKUP('Données projet'!$B$14,Paramètres!$A$1:$I$88,3,0)*0.475*44/12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64.569085551999748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64.569085551999748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64.569085551999748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64.569085551999748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1.34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4.9133333333333331</v>
      </c>
      <c r="H16" s="70">
        <f t="shared" si="1"/>
        <v>237.01333333333332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64.663299775966806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projet'!$B$9,Paramètres!$A$1:$I$88,3,0)*VLOOKUP('Données projet'!$B$9,Paramètres!$A$1:$I$88,5,0)</f>
        <v>11.511979134151852</v>
      </c>
      <c r="P16" s="14">
        <f t="shared" si="33"/>
        <v>3.9919417855793822</v>
      </c>
      <c r="Q16" s="22">
        <f t="shared" si="2"/>
        <v>27.002662268531896</v>
      </c>
      <c r="R16" s="62">
        <f t="shared" si="0"/>
        <v>279.99031700263237</v>
      </c>
      <c r="S16" s="62">
        <f ca="1">AVERAGE(OFFSET($R$3,0,0,'Données projet'!$E$9+1,1))-AVERAGE(OFFSET($H$3,0,0,'Données projet'!$E$9+1,1))</f>
        <v>488.16146816015231</v>
      </c>
      <c r="T16" s="62">
        <f t="shared" si="34"/>
        <v>259.37115195552127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64.663299775966806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projet'!$B$10,Paramètres!$A$1:$I$88,3,0)*VLOOKUP('Données projet'!$B$10,Paramètres!$A$1:$I$88,5,0)</f>
        <v>10.272227535089344</v>
      </c>
      <c r="AK16" s="14">
        <f t="shared" si="35"/>
        <v>3.6095987912522753</v>
      </c>
      <c r="AL16" s="22">
        <f t="shared" si="4"/>
        <v>24.177514185044988</v>
      </c>
      <c r="AM16" s="62">
        <f t="shared" si="5"/>
        <v>277.16516891914546</v>
      </c>
      <c r="AN16" s="62">
        <f ca="1">AVERAGE(OFFSET($AM$3,0,0,'Données projet'!$E$10+1,1))-AVERAGE(OFFSET($H$3,0,0,'Données projet'!$E$10+1,1))</f>
        <v>441.34749554136755</v>
      </c>
      <c r="AO16" s="62">
        <f t="shared" si="36"/>
        <v>236.49038586666222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64.663299775966806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</v>
      </c>
      <c r="BD16" s="13">
        <f>IF('Données projet'!$A$88&gt;35,BD15+BC16-BL15,IF(A16&lt;'Données projet'!$A$88,$BA$205^A16,IF(A16='Données projet'!$A$88,'Données projet'!$B$88,BD15+BC16-BL15)))</f>
        <v>11.35303662145153</v>
      </c>
      <c r="BE16" s="14">
        <f>BD16*VLOOKUP('Données projet'!$B$11,Paramètres!$A$1:$I$88,3,0)*VLOOKUP('Données projet'!$B$11,Paramètres!$A$1:$I$88,5,0)</f>
        <v>12.220408619330426</v>
      </c>
      <c r="BF16" s="14">
        <f t="shared" si="37"/>
        <v>4.2082449797185175</v>
      </c>
      <c r="BG16" s="22">
        <f t="shared" si="7"/>
        <v>28.613238351676909</v>
      </c>
      <c r="BH16" s="62">
        <f t="shared" si="8"/>
        <v>281.60089308577739</v>
      </c>
      <c r="BI16" s="62">
        <f ca="1">AVERAGE(OFFSET($BH$3,0,0,'Données projet'!$E$11+1,1))-AVERAGE(OFFSET($H$3,0,0,'Données projet'!$E$11+1,1))</f>
        <v>514.86487884889584</v>
      </c>
      <c r="BJ16" s="62">
        <f t="shared" si="38"/>
        <v>272.4206208356191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projet'!$B$11,Paramètres!$A$1:$I$88,3,0)*0.475*44/12</f>
        <v>0</v>
      </c>
      <c r="BQ16" s="23">
        <f>EXP(-LN(2)/25)*BQ15+(1-EXP(-LN(2)/25))/(LN(2)/25)*Calculateur!BL16*Calculateur!BN16*VLOOKUP('Données projet'!$B$11,Paramètres!$A$1:$I$88,3,0)*0.475*44/12</f>
        <v>0</v>
      </c>
      <c r="BR16" s="23">
        <f>EXP(-LN(2)/2)*BR15+(1-EXP(-LN(2)/2))/(LN(2)/2)*BL16*BO16*VLOOKUP('Données projet'!$B$11,Paramètres!$A$1:$I$88,3,0)*0.475*44/12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64.663299775966806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2.4666666666666668</v>
      </c>
      <c r="BY16" s="13">
        <f>IF('Données projet'!$A$114&gt;35,BY15+BX16-CG15,IF(A16&lt;'Données projet'!$A$114,$BV$205^A16,IF(A16='Données projet'!$A$114,'Données projet'!$B$114,BY15+BX16-CG15)))</f>
        <v>22.86168101684942</v>
      </c>
      <c r="BZ16" s="14">
        <f>BY16*VLOOKUP('Données projet'!$B$12,Paramètres!$A$1:$I$88,3,0)*VLOOKUP('Données projet'!$B$12,Paramètres!$A$1:$I$88,5,0)</f>
        <v>14.97897340223974</v>
      </c>
      <c r="CA16" s="14">
        <f t="shared" si="39"/>
        <v>5.0374181649694805</v>
      </c>
      <c r="CB16" s="22">
        <f t="shared" si="10"/>
        <v>34.861881979556053</v>
      </c>
      <c r="CC16" s="62">
        <f t="shared" si="11"/>
        <v>287.84953671365656</v>
      </c>
      <c r="CD16" s="62">
        <f ca="1">AVERAGE(OFFSET($CC$3,0,0,'Données projet'!$E$12+1,1))-AVERAGE(OFFSET($H$3,0,0,'Données projet'!$E$12+1,1))</f>
        <v>270.10151451661864</v>
      </c>
      <c r="CE16" s="62">
        <f t="shared" si="40"/>
        <v>294.47934482366804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projet'!$B$12,Paramètres!$A$1:$I$88,3,0)*0.475*44/12</f>
        <v>0</v>
      </c>
      <c r="CL16" s="23">
        <f>EXP(-LN(2)/25)*CL15+(1-EXP(-LN(2)/25))/(LN(2)/25)*Calculateur!CG16*Calculateur!CI16*VLOOKUP('Données projet'!$B$12,Paramètres!$A$1:$I$88,3,0)*0.475*44/12</f>
        <v>0</v>
      </c>
      <c r="CM16" s="23">
        <f>EXP(-LN(2)/2)*CM15+(1-EXP(-LN(2)/2))/(LN(2)/2)*CG16*CJ16*VLOOKUP('Données projet'!$B$12,Paramètres!$A$1:$I$88,3,0)*0.475*44/12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64.663299775966806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2.4666666666666668</v>
      </c>
      <c r="CT16" s="13">
        <f>IF('Données projet'!$A$140&gt;35,CT15+CS16-DB15,IF(A16&lt;'Données projet'!$A$140,$CQ$205^A16,IF(A16='Données projet'!$A$140,'Données projet'!$B$140,CT15+CS16-DB15)))</f>
        <v>22.86168101684942</v>
      </c>
      <c r="CU16" s="18">
        <f>CT16*VLOOKUP('Données projet'!$B$13,Paramètres!$A$1:$I$88,3,0)*VLOOKUP('Données projet'!$B$13,Paramètres!$A$1:$I$88,5,0)</f>
        <v>14.97897340223974</v>
      </c>
      <c r="CV16" s="14">
        <f t="shared" si="41"/>
        <v>5.0374181649694805</v>
      </c>
      <c r="CW16" s="22">
        <f t="shared" si="13"/>
        <v>34.861881979556053</v>
      </c>
      <c r="CX16" s="62">
        <f t="shared" si="14"/>
        <v>287.84953671365656</v>
      </c>
      <c r="CY16" s="62">
        <f ca="1">AVERAGE(OFFSET($CX$3,0,0,'Données projet'!$E$13+1,1))-AVERAGE(OFFSET($H$3,0,0,'Données projet'!$E$13+1,1))</f>
        <v>270.10151451661864</v>
      </c>
      <c r="CZ16" s="62">
        <f t="shared" si="42"/>
        <v>294.47934482366804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projet'!$B$13,Paramètres!$A$1:$I$88,3,0)*0.475*44/12</f>
        <v>0</v>
      </c>
      <c r="DG16" s="23">
        <f>EXP(-LN(2)/25)*DG15+(1-EXP(-LN(2)/25))/(LN(2)/25)*Calculateur!DB16*Calculateur!DD16*VLOOKUP('Données projet'!$B$13,Paramètres!$A$1:$I$88,3,0)*0.475*44/12</f>
        <v>0</v>
      </c>
      <c r="DH16" s="23">
        <f>EXP(-LN(2)/2)*DH15+(1-EXP(-LN(2)/2))/(LN(2)/2)*DB16*DE16*VLOOKUP('Données projet'!$B$13,Paramètres!$A$1:$I$88,3,0)*0.475*44/12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64.663299775966806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projet'!$B$14,Paramètres!$A$1:$I$88,3,0)*0.475*44/12</f>
        <v>#N/A</v>
      </c>
      <c r="EB16" s="23" t="e">
        <f>EXP(-LN(2)/25)*EB15+(1-EXP(-LN(2)/25))/(LN(2)/25)*Calculateur!DW16*Calculateur!DY16*VLOOKUP('Données projet'!$B$14,Paramètres!$A$1:$I$88,3,0)*0.475*44/12</f>
        <v>#N/A</v>
      </c>
      <c r="EC16" s="23" t="e">
        <f>EXP(-LN(2)/2)*EC15+(1-EXP(-LN(2)/2))/(LN(2)/2)*DW16*DZ16*VLOOKUP('Données projet'!$B$14,Paramètres!$A$1:$I$88,3,0)*0.475*44/12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64.663299775966806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64.663299775966806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64.663299775966806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64.663299775966806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1.34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4.9133333333333331</v>
      </c>
      <c r="H17" s="70">
        <f t="shared" si="1"/>
        <v>237.01333333333332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64.755879593779483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projet'!$B$9,Paramètres!$A$1:$I$88,3,0)*VLOOKUP('Données projet'!$B$9,Paramètres!$A$1:$I$88,5,0)</f>
        <v>13.877539056685173</v>
      </c>
      <c r="P17" s="14">
        <f t="shared" si="33"/>
        <v>4.7086819085950955</v>
      </c>
      <c r="Q17" s="22">
        <f t="shared" si="2"/>
        <v>32.371001514529802</v>
      </c>
      <c r="R17" s="62">
        <f t="shared" si="0"/>
        <v>286.92033780283236</v>
      </c>
      <c r="S17" s="62">
        <f ca="1">AVERAGE(OFFSET($R$3,0,0,'Données projet'!$E$9+1,1))-AVERAGE(OFFSET($H$3,0,0,'Données projet'!$E$9+1,1))</f>
        <v>488.16146816015231</v>
      </c>
      <c r="T17" s="62">
        <f t="shared" si="34"/>
        <v>259.37115195552127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64.755879593779483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projet'!$B$10,Paramètres!$A$1:$I$88,3,0)*VLOOKUP('Données projet'!$B$10,Paramètres!$A$1:$I$88,5,0)</f>
        <v>12.383034850580612</v>
      </c>
      <c r="AK17" s="14">
        <f t="shared" si="35"/>
        <v>4.2576904771143838</v>
      </c>
      <c r="AL17" s="22">
        <f t="shared" si="4"/>
        <v>28.982596612402116</v>
      </c>
      <c r="AM17" s="62">
        <f t="shared" si="5"/>
        <v>283.5319329007047</v>
      </c>
      <c r="AN17" s="62">
        <f ca="1">AVERAGE(OFFSET($AM$3,0,0,'Données projet'!$E$10+1,1))-AVERAGE(OFFSET($H$3,0,0,'Données projet'!$E$10+1,1))</f>
        <v>441.34749554136755</v>
      </c>
      <c r="AO17" s="62">
        <f t="shared" si="36"/>
        <v>236.49038586666222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64.755879593779483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</v>
      </c>
      <c r="BD17" s="13">
        <f>IF('Données projet'!$A$88&gt;35,BD16+BC17-BL16,IF(A17&lt;'Données projet'!$A$88,$BA$205^A17,IF(A17='Données projet'!$A$88,'Données projet'!$B$88,BD16+BC17-BL16)))</f>
        <v>13.685935953338433</v>
      </c>
      <c r="BE17" s="14">
        <f>BD17*VLOOKUP('Données projet'!$B$11,Paramètres!$A$1:$I$88,3,0)*VLOOKUP('Données projet'!$B$11,Paramètres!$A$1:$I$88,5,0)</f>
        <v>14.731541460173487</v>
      </c>
      <c r="BF17" s="14">
        <f t="shared" si="37"/>
        <v>4.9638216355053304</v>
      </c>
      <c r="BG17" s="22">
        <f t="shared" si="7"/>
        <v>34.302757391640604</v>
      </c>
      <c r="BH17" s="62">
        <f t="shared" si="8"/>
        <v>288.85209367994321</v>
      </c>
      <c r="BI17" s="62">
        <f ca="1">AVERAGE(OFFSET($BH$3,0,0,'Données projet'!$E$11+1,1))-AVERAGE(OFFSET($H$3,0,0,'Données projet'!$E$11+1,1))</f>
        <v>514.86487884889584</v>
      </c>
      <c r="BJ17" s="62">
        <f t="shared" si="38"/>
        <v>272.4206208356191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projet'!$B$11,Paramètres!$A$1:$I$88,3,0)*0.475*44/12</f>
        <v>0</v>
      </c>
      <c r="BQ17" s="23">
        <f>EXP(-LN(2)/25)*BQ16+(1-EXP(-LN(2)/25))/(LN(2)/25)*Calculateur!BL17*Calculateur!BN17*VLOOKUP('Données projet'!$B$11,Paramètres!$A$1:$I$88,3,0)*0.475*44/12</f>
        <v>0</v>
      </c>
      <c r="BR17" s="23">
        <f>EXP(-LN(2)/2)*BR16+(1-EXP(-LN(2)/2))/(LN(2)/2)*BL17*BO17*VLOOKUP('Données projet'!$B$11,Paramètres!$A$1:$I$88,3,0)*0.475*44/12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64.755879593779483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2.4666666666666668</v>
      </c>
      <c r="BY17" s="13">
        <f>IF('Données projet'!$A$114&gt;35,BY16+BX17-CG16,IF(A17&lt;'Données projet'!$A$114,$BV$205^A17,IF(A17='Données projet'!$A$114,'Données projet'!$B$114,BY16+BX17-CG16)))</f>
        <v>29.084054009429774</v>
      </c>
      <c r="BZ17" s="14">
        <f>BY17*VLOOKUP('Données projet'!$B$12,Paramètres!$A$1:$I$88,3,0)*VLOOKUP('Données projet'!$B$12,Paramètres!$A$1:$I$88,5,0)</f>
        <v>19.055872186978391</v>
      </c>
      <c r="CA17" s="14">
        <f t="shared" si="39"/>
        <v>6.231398711093604</v>
      </c>
      <c r="CB17" s="22">
        <f t="shared" si="10"/>
        <v>44.041996814142045</v>
      </c>
      <c r="CC17" s="62">
        <f t="shared" si="11"/>
        <v>298.59133310244465</v>
      </c>
      <c r="CD17" s="62">
        <f ca="1">AVERAGE(OFFSET($CC$3,0,0,'Données projet'!$E$12+1,1))-AVERAGE(OFFSET($H$3,0,0,'Données projet'!$E$12+1,1))</f>
        <v>270.10151451661864</v>
      </c>
      <c r="CE17" s="62">
        <f t="shared" si="40"/>
        <v>294.47934482366804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projet'!$B$12,Paramètres!$A$1:$I$88,3,0)*0.475*44/12</f>
        <v>0</v>
      </c>
      <c r="CL17" s="23">
        <f>EXP(-LN(2)/25)*CL16+(1-EXP(-LN(2)/25))/(LN(2)/25)*Calculateur!CG17*Calculateur!CI17*VLOOKUP('Données projet'!$B$12,Paramètres!$A$1:$I$88,3,0)*0.475*44/12</f>
        <v>0</v>
      </c>
      <c r="CM17" s="23">
        <f>EXP(-LN(2)/2)*CM16+(1-EXP(-LN(2)/2))/(LN(2)/2)*CG17*CJ17*VLOOKUP('Données projet'!$B$12,Paramètres!$A$1:$I$88,3,0)*0.475*44/12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64.755879593779483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2.4666666666666668</v>
      </c>
      <c r="CT17" s="13">
        <f>IF('Données projet'!$A$140&gt;35,CT16+CS17-DB16,IF(A17&lt;'Données projet'!$A$140,$CQ$205^A17,IF(A17='Données projet'!$A$140,'Données projet'!$B$140,CT16+CS17-DB16)))</f>
        <v>29.084054009429774</v>
      </c>
      <c r="CU17" s="18">
        <f>CT17*VLOOKUP('Données projet'!$B$13,Paramètres!$A$1:$I$88,3,0)*VLOOKUP('Données projet'!$B$13,Paramètres!$A$1:$I$88,5,0)</f>
        <v>19.055872186978391</v>
      </c>
      <c r="CV17" s="14">
        <f t="shared" si="41"/>
        <v>6.231398711093604</v>
      </c>
      <c r="CW17" s="22">
        <f t="shared" si="13"/>
        <v>44.041996814142045</v>
      </c>
      <c r="CX17" s="62">
        <f t="shared" si="14"/>
        <v>298.59133310244465</v>
      </c>
      <c r="CY17" s="62">
        <f ca="1">AVERAGE(OFFSET($CX$3,0,0,'Données projet'!$E$13+1,1))-AVERAGE(OFFSET($H$3,0,0,'Données projet'!$E$13+1,1))</f>
        <v>270.10151451661864</v>
      </c>
      <c r="CZ17" s="62">
        <f t="shared" si="42"/>
        <v>294.47934482366804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projet'!$B$13,Paramètres!$A$1:$I$88,3,0)*0.475*44/12</f>
        <v>0</v>
      </c>
      <c r="DG17" s="23">
        <f>EXP(-LN(2)/25)*DG16+(1-EXP(-LN(2)/25))/(LN(2)/25)*Calculateur!DB17*Calculateur!DD17*VLOOKUP('Données projet'!$B$13,Paramètres!$A$1:$I$88,3,0)*0.475*44/12</f>
        <v>0</v>
      </c>
      <c r="DH17" s="23">
        <f>EXP(-LN(2)/2)*DH16+(1-EXP(-LN(2)/2))/(LN(2)/2)*DB17*DE17*VLOOKUP('Données projet'!$B$13,Paramètres!$A$1:$I$88,3,0)*0.475*44/12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64.755879593779483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projet'!$B$14,Paramètres!$A$1:$I$88,3,0)*0.475*44/12</f>
        <v>#N/A</v>
      </c>
      <c r="EB17" s="23" t="e">
        <f>EXP(-LN(2)/25)*EB16+(1-EXP(-LN(2)/25))/(LN(2)/25)*Calculateur!DW17*Calculateur!DY17*VLOOKUP('Données projet'!$B$14,Paramètres!$A$1:$I$88,3,0)*0.475*44/12</f>
        <v>#N/A</v>
      </c>
      <c r="EC17" s="23" t="e">
        <f>EXP(-LN(2)/2)*EC16+(1-EXP(-LN(2)/2))/(LN(2)/2)*DW17*DZ17*VLOOKUP('Données projet'!$B$14,Paramètres!$A$1:$I$88,3,0)*0.475*44/12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64.755879593779483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64.755879593779483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64.755879593779483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64.755879593779483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1.34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4.9133333333333331</v>
      </c>
      <c r="H18" s="70">
        <f t="shared" si="1"/>
        <v>237.01333333333332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64.846853358730584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projet'!$B$9,Paramètres!$A$1:$I$88,3,0)*VLOOKUP('Données projet'!$B$9,Paramètres!$A$1:$I$88,5,0)</f>
        <v>16.729190352551068</v>
      </c>
      <c r="P18" s="14">
        <f t="shared" si="33"/>
        <v>5.5541103821765283</v>
      </c>
      <c r="Q18" s="22">
        <f t="shared" si="2"/>
        <v>38.810082112983899</v>
      </c>
      <c r="R18" s="62">
        <f t="shared" si="0"/>
        <v>294.91521109499598</v>
      </c>
      <c r="S18" s="62">
        <f ca="1">AVERAGE(OFFSET($R$3,0,0,'Données projet'!$E$9+1,1))-AVERAGE(OFFSET($H$3,0,0,'Données projet'!$E$9+1,1))</f>
        <v>488.16146816015231</v>
      </c>
      <c r="T18" s="62">
        <f t="shared" si="34"/>
        <v>259.37115195552127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64.846853358730584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projet'!$B$10,Paramètres!$A$1:$I$88,3,0)*VLOOKUP('Données projet'!$B$10,Paramètres!$A$1:$I$88,5,0)</f>
        <v>14.927585237660953</v>
      </c>
      <c r="AK18" s="14">
        <f t="shared" si="35"/>
        <v>5.0221449106318534</v>
      </c>
      <c r="AL18" s="22">
        <f t="shared" si="4"/>
        <v>34.745780008276633</v>
      </c>
      <c r="AM18" s="62">
        <f t="shared" si="5"/>
        <v>290.85090899028876</v>
      </c>
      <c r="AN18" s="62">
        <f ca="1">AVERAGE(OFFSET($AM$3,0,0,'Données projet'!$E$10+1,1))-AVERAGE(OFFSET($H$3,0,0,'Données projet'!$E$10+1,1))</f>
        <v>441.34749554136755</v>
      </c>
      <c r="AO18" s="62">
        <f t="shared" si="36"/>
        <v>236.49038586666222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0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64.846853358730584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</v>
      </c>
      <c r="BD18" s="13">
        <f>IF('Données projet'!$A$88&gt;35,BD17+BC18-BL17,IF(A18&lt;'Données projet'!$A$88,$BA$205^A18,IF(A18='Données projet'!$A$88,'Données projet'!$B$88,BD17+BC18-BL17)))</f>
        <v>16.498215337821566</v>
      </c>
      <c r="BE18" s="14">
        <f>BD18*VLOOKUP('Données projet'!$B$11,Paramètres!$A$1:$I$88,3,0)*VLOOKUP('Données projet'!$B$11,Paramètres!$A$1:$I$88,5,0)</f>
        <v>17.758678989631132</v>
      </c>
      <c r="BF18" s="14">
        <f t="shared" si="37"/>
        <v>5.8550596146042126</v>
      </c>
      <c r="BG18" s="22">
        <f t="shared" si="7"/>
        <v>41.127261402376554</v>
      </c>
      <c r="BH18" s="62">
        <f t="shared" si="8"/>
        <v>297.23239038438868</v>
      </c>
      <c r="BI18" s="62">
        <f ca="1">AVERAGE(OFFSET($BH$3,0,0,'Données projet'!$E$11+1,1))-AVERAGE(OFFSET($H$3,0,0,'Données projet'!$E$11+1,1))</f>
        <v>514.86487884889584</v>
      </c>
      <c r="BJ18" s="62">
        <f t="shared" si="38"/>
        <v>272.4206208356191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projet'!$B$11,Paramètres!$A$1:$I$88,3,0)*0.475*44/12</f>
        <v>0</v>
      </c>
      <c r="BQ18" s="23">
        <f>EXP(-LN(2)/25)*BQ17+(1-EXP(-LN(2)/25))/(LN(2)/25)*Calculateur!BL18*Calculateur!BN18*VLOOKUP('Données projet'!$B$11,Paramètres!$A$1:$I$88,3,0)*0.475*44/12</f>
        <v>0</v>
      </c>
      <c r="BR18" s="23">
        <f>EXP(-LN(2)/2)*BR17+(1-EXP(-LN(2)/2))/(LN(2)/2)*BL18*BO18*VLOOKUP('Données projet'!$B$11,Paramètres!$A$1:$I$88,3,0)*0.475*44/12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64.846853358730584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37</v>
      </c>
      <c r="BW18" s="13">
        <f>VLOOKUP(A18,'Données projet'!$A$113:$I$133,9,0)</f>
        <v>2.4666666666666668</v>
      </c>
      <c r="BX18" s="13">
        <f t="array" ref="BX18">INDEX(BW:BW,MIN(IF(ISNUMBER(BW18:BW214),ROW(BW18:BW214),"")))</f>
        <v>2.4666666666666668</v>
      </c>
      <c r="BY18" s="13">
        <f>IF('Données projet'!$A$114&gt;35,BY17+BX18-CG17,IF(A18&lt;'Données projet'!$A$114,$BV$205^A18,IF(A18='Données projet'!$A$114,'Données projet'!$B$114,BY17+BX18-CG17)))</f>
        <v>37</v>
      </c>
      <c r="BZ18" s="14">
        <f>BY18*VLOOKUP('Données projet'!$B$12,Paramètres!$A$1:$I$88,3,0)*VLOOKUP('Données projet'!$B$12,Paramètres!$A$1:$I$88,5,0)</f>
        <v>24.2424</v>
      </c>
      <c r="CA18" s="14">
        <f t="shared" si="39"/>
        <v>7.7083792976822032</v>
      </c>
      <c r="CB18" s="22">
        <f t="shared" si="10"/>
        <v>55.647607276796499</v>
      </c>
      <c r="CC18" s="62">
        <f t="shared" si="11"/>
        <v>311.75273625880862</v>
      </c>
      <c r="CD18" s="62">
        <f ca="1">AVERAGE(OFFSET($CC$3,0,0,'Données projet'!$E$12+1,1))-AVERAGE(OFFSET($H$3,0,0,'Données projet'!$E$12+1,1))</f>
        <v>270.10151451661864</v>
      </c>
      <c r="CE18" s="62">
        <f t="shared" si="40"/>
        <v>294.47934482366804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projet'!$B$12,Paramètres!$A$1:$I$88,3,0)*0.475*44/12</f>
        <v>0</v>
      </c>
      <c r="CL18" s="23">
        <f>EXP(-LN(2)/25)*CL17+(1-EXP(-LN(2)/25))/(LN(2)/25)*Calculateur!CG18*Calculateur!CI18*VLOOKUP('Données projet'!$B$12,Paramètres!$A$1:$I$88,3,0)*0.475*44/12</f>
        <v>0</v>
      </c>
      <c r="CM18" s="23">
        <f>EXP(-LN(2)/2)*CM17+(1-EXP(-LN(2)/2))/(LN(2)/2)*CG18*CJ18*VLOOKUP('Données projet'!$B$12,Paramètres!$A$1:$I$88,3,0)*0.475*44/12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64.846853358730584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37</v>
      </c>
      <c r="CR18" s="13">
        <f>VLOOKUP(A18,'Données projet'!$A$139:$I$159,9,0)</f>
        <v>2.4666666666666668</v>
      </c>
      <c r="CS18" s="13">
        <f t="array" ref="CS18">INDEX(CR:CR,MIN(IF(ISNUMBER(CR18:CR214),ROW(CR18:CR214),"")))</f>
        <v>2.4666666666666668</v>
      </c>
      <c r="CT18" s="13">
        <f>IF('Données projet'!$A$140&gt;35,CT17+CS18-DB17,IF(A18&lt;'Données projet'!$A$140,$CQ$205^A18,IF(A18='Données projet'!$A$140,'Données projet'!$B$140,CT17+CS18-DB17)))</f>
        <v>37</v>
      </c>
      <c r="CU18" s="18">
        <f>CT18*VLOOKUP('Données projet'!$B$13,Paramètres!$A$1:$I$88,3,0)*VLOOKUP('Données projet'!$B$13,Paramètres!$A$1:$I$88,5,0)</f>
        <v>24.2424</v>
      </c>
      <c r="CV18" s="14">
        <f t="shared" si="41"/>
        <v>7.7083792976822032</v>
      </c>
      <c r="CW18" s="22">
        <f t="shared" si="13"/>
        <v>55.647607276796499</v>
      </c>
      <c r="CX18" s="62">
        <f t="shared" si="14"/>
        <v>311.75273625880862</v>
      </c>
      <c r="CY18" s="62">
        <f ca="1">AVERAGE(OFFSET($CX$3,0,0,'Données projet'!$E$13+1,1))-AVERAGE(OFFSET($H$3,0,0,'Données projet'!$E$13+1,1))</f>
        <v>270.10151451661864</v>
      </c>
      <c r="CZ18" s="62">
        <f t="shared" si="42"/>
        <v>294.47934482366804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projet'!$B$13,Paramètres!$A$1:$I$88,3,0)*0.475*44/12</f>
        <v>0</v>
      </c>
      <c r="DG18" s="23">
        <f>EXP(-LN(2)/25)*DG17+(1-EXP(-LN(2)/25))/(LN(2)/25)*Calculateur!DB18*Calculateur!DD18*VLOOKUP('Données projet'!$B$13,Paramètres!$A$1:$I$88,3,0)*0.475*44/12</f>
        <v>0</v>
      </c>
      <c r="DH18" s="23">
        <f>EXP(-LN(2)/2)*DH17+(1-EXP(-LN(2)/2))/(LN(2)/2)*DB18*DE18*VLOOKUP('Données projet'!$B$13,Paramètres!$A$1:$I$88,3,0)*0.475*44/12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64.846853358730584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projet'!$B$14,Paramètres!$A$1:$I$88,3,0)*0.475*44/12</f>
        <v>#N/A</v>
      </c>
      <c r="EB18" s="23" t="e">
        <f>EXP(-LN(2)/25)*EB17+(1-EXP(-LN(2)/25))/(LN(2)/25)*Calculateur!DW18*Calculateur!DY18*VLOOKUP('Données projet'!$B$14,Paramètres!$A$1:$I$88,3,0)*0.475*44/12</f>
        <v>#N/A</v>
      </c>
      <c r="EC18" s="23" t="e">
        <f>EXP(-LN(2)/2)*EC17+(1-EXP(-LN(2)/2))/(LN(2)/2)*DW18*DZ18*VLOOKUP('Données projet'!$B$14,Paramètres!$A$1:$I$88,3,0)*0.475*44/12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64.846853358730584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64.846853358730584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64.846853358730584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64.846853358730584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1.34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4.9133333333333331</v>
      </c>
      <c r="H19" s="70">
        <f t="shared" si="1"/>
        <v>237.01333333333332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64.936248932246642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projet'!$B$9,Paramètres!$A$1:$I$88,3,0)*VLOOKUP('Données projet'!$B$9,Paramètres!$A$1:$I$88,5,0)</f>
        <v>20.166818389681932</v>
      </c>
      <c r="P19" s="14">
        <f t="shared" si="33"/>
        <v>6.5513327797938032</v>
      </c>
      <c r="Q19" s="22">
        <f t="shared" si="2"/>
        <v>46.534113286836906</v>
      </c>
      <c r="R19" s="62">
        <f t="shared" si="0"/>
        <v>304.18924826063011</v>
      </c>
      <c r="S19" s="62">
        <f ca="1">AVERAGE(OFFSET($R$3,0,0,'Données projet'!$E$9+1,1))-AVERAGE(OFFSET($H$3,0,0,'Données projet'!$E$9+1,1))</f>
        <v>488.16146816015231</v>
      </c>
      <c r="T19" s="62">
        <f t="shared" si="34"/>
        <v>259.37115195552127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64.936248932246642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projet'!$B$10,Paramètres!$A$1:$I$88,3,0)*VLOOKUP('Données projet'!$B$10,Paramètres!$A$1:$I$88,5,0)</f>
        <v>17.995007178485412</v>
      </c>
      <c r="AK19" s="14">
        <f t="shared" si="35"/>
        <v>5.9238546434872337</v>
      </c>
      <c r="AL19" s="22">
        <f t="shared" si="4"/>
        <v>41.658684339935689</v>
      </c>
      <c r="AM19" s="62">
        <f t="shared" si="5"/>
        <v>299.31381931372891</v>
      </c>
      <c r="AN19" s="62">
        <f ca="1">AVERAGE(OFFSET($AM$3,0,0,'Données projet'!$E$10+1,1))-AVERAGE(OFFSET($H$3,0,0,'Données projet'!$E$10+1,1))</f>
        <v>441.34749554136755</v>
      </c>
      <c r="AO19" s="62">
        <f t="shared" si="36"/>
        <v>236.49038586666222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0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64.936248932246642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</v>
      </c>
      <c r="BD19" s="13">
        <f>IF('Données projet'!$A$88&gt;35,BD18+BC19-BL18,IF(A19&lt;'Données projet'!$A$88,$BA$205^A19,IF(A19='Données projet'!$A$88,'Données projet'!$B$88,BD18+BC19-BL18)))</f>
        <v>19.888381054913147</v>
      </c>
      <c r="BE19" s="14">
        <f>BD19*VLOOKUP('Données projet'!$B$11,Paramètres!$A$1:$I$88,3,0)*VLOOKUP('Données projet'!$B$11,Paramètres!$A$1:$I$88,5,0)</f>
        <v>21.407853367508512</v>
      </c>
      <c r="BF19" s="14">
        <f t="shared" si="37"/>
        <v>6.906316464991046</v>
      </c>
      <c r="BG19" s="22">
        <f t="shared" si="7"/>
        <v>49.313845791603399</v>
      </c>
      <c r="BH19" s="62">
        <f t="shared" si="8"/>
        <v>306.96898076539662</v>
      </c>
      <c r="BI19" s="62">
        <f ca="1">AVERAGE(OFFSET($BH$3,0,0,'Données projet'!$E$11+1,1))-AVERAGE(OFFSET($H$3,0,0,'Données projet'!$E$11+1,1))</f>
        <v>514.86487884889584</v>
      </c>
      <c r="BJ19" s="62">
        <f t="shared" si="38"/>
        <v>272.4206208356191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projet'!$B$11,Paramètres!$A$1:$I$88,3,0)*0.475*44/12</f>
        <v>0</v>
      </c>
      <c r="BQ19" s="23">
        <f>EXP(-LN(2)/25)*BQ18+(1-EXP(-LN(2)/25))/(LN(2)/25)*Calculateur!BL19*Calculateur!BN19*VLOOKUP('Données projet'!$B$11,Paramètres!$A$1:$I$88,3,0)*0.475*44/12</f>
        <v>0</v>
      </c>
      <c r="BR19" s="23">
        <f>EXP(-LN(2)/2)*BR18+(1-EXP(-LN(2)/2))/(LN(2)/2)*BL19*BO19*VLOOKUP('Données projet'!$B$11,Paramètres!$A$1:$I$88,3,0)*0.475*44/12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64.936248932246642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11.6</v>
      </c>
      <c r="BY19" s="13">
        <f>IF('Données projet'!$A$114&gt;35,BY18+BX19-CG18,IF(A19&lt;'Données projet'!$A$114,$BV$205^A19,IF(A19='Données projet'!$A$114,'Données projet'!$B$114,BY18+BX19-CG18)))</f>
        <v>48.6</v>
      </c>
      <c r="BZ19" s="14">
        <f>BY19*VLOOKUP('Données projet'!$B$12,Paramètres!$A$1:$I$88,3,0)*VLOOKUP('Données projet'!$B$12,Paramètres!$A$1:$I$88,5,0)</f>
        <v>31.84272</v>
      </c>
      <c r="CA19" s="14">
        <f t="shared" si="39"/>
        <v>9.8087087787373655</v>
      </c>
      <c r="CB19" s="22">
        <f t="shared" si="10"/>
        <v>72.542905122967582</v>
      </c>
      <c r="CC19" s="62">
        <f t="shared" si="11"/>
        <v>330.19804009676079</v>
      </c>
      <c r="CD19" s="62">
        <f ca="1">AVERAGE(OFFSET($CC$3,0,0,'Données projet'!$E$12+1,1))-AVERAGE(OFFSET($H$3,0,0,'Données projet'!$E$12+1,1))</f>
        <v>270.10151451661864</v>
      </c>
      <c r="CE19" s="62">
        <f t="shared" si="40"/>
        <v>294.47934482366804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projet'!$B$12,Paramètres!$A$1:$I$88,3,0)*0.475*44/12</f>
        <v>0</v>
      </c>
      <c r="CL19" s="23">
        <f>EXP(-LN(2)/25)*CL18+(1-EXP(-LN(2)/25))/(LN(2)/25)*Calculateur!CG19*Calculateur!CI19*VLOOKUP('Données projet'!$B$12,Paramètres!$A$1:$I$88,3,0)*0.475*44/12</f>
        <v>0</v>
      </c>
      <c r="CM19" s="23">
        <f>EXP(-LN(2)/2)*CM18+(1-EXP(-LN(2)/2))/(LN(2)/2)*CG19*CJ19*VLOOKUP('Données projet'!$B$12,Paramètres!$A$1:$I$88,3,0)*0.475*44/12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64.936248932246642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11.6</v>
      </c>
      <c r="CT19" s="13">
        <f>IF('Données projet'!$A$140&gt;35,CT18+CS19-DB18,IF(A19&lt;'Données projet'!$A$140,$CQ$205^A19,IF(A19='Données projet'!$A$140,'Données projet'!$B$140,CT18+CS19-DB18)))</f>
        <v>48.6</v>
      </c>
      <c r="CU19" s="18">
        <f>CT19*VLOOKUP('Données projet'!$B$13,Paramètres!$A$1:$I$88,3,0)*VLOOKUP('Données projet'!$B$13,Paramètres!$A$1:$I$88,5,0)</f>
        <v>31.84272</v>
      </c>
      <c r="CV19" s="14">
        <f t="shared" si="41"/>
        <v>9.8087087787373655</v>
      </c>
      <c r="CW19" s="22">
        <f t="shared" si="13"/>
        <v>72.542905122967582</v>
      </c>
      <c r="CX19" s="62">
        <f t="shared" si="14"/>
        <v>330.19804009676079</v>
      </c>
      <c r="CY19" s="62">
        <f ca="1">AVERAGE(OFFSET($CX$3,0,0,'Données projet'!$E$13+1,1))-AVERAGE(OFFSET($H$3,0,0,'Données projet'!$E$13+1,1))</f>
        <v>270.10151451661864</v>
      </c>
      <c r="CZ19" s="62">
        <f t="shared" si="42"/>
        <v>294.47934482366804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projet'!$B$13,Paramètres!$A$1:$I$88,3,0)*0.475*44/12</f>
        <v>0</v>
      </c>
      <c r="DG19" s="23">
        <f>EXP(-LN(2)/25)*DG18+(1-EXP(-LN(2)/25))/(LN(2)/25)*Calculateur!DB19*Calculateur!DD19*VLOOKUP('Données projet'!$B$13,Paramètres!$A$1:$I$88,3,0)*0.475*44/12</f>
        <v>0</v>
      </c>
      <c r="DH19" s="23">
        <f>EXP(-LN(2)/2)*DH18+(1-EXP(-LN(2)/2))/(LN(2)/2)*DB19*DE19*VLOOKUP('Données projet'!$B$13,Paramètres!$A$1:$I$88,3,0)*0.475*44/12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64.936248932246642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projet'!$B$14,Paramètres!$A$1:$I$88,3,0)*0.475*44/12</f>
        <v>#N/A</v>
      </c>
      <c r="EB19" s="23" t="e">
        <f>EXP(-LN(2)/25)*EB18+(1-EXP(-LN(2)/25))/(LN(2)/25)*Calculateur!DW19*Calculateur!DY19*VLOOKUP('Données projet'!$B$14,Paramètres!$A$1:$I$88,3,0)*0.475*44/12</f>
        <v>#N/A</v>
      </c>
      <c r="EC19" s="23" t="e">
        <f>EXP(-LN(2)/2)*EC18+(1-EXP(-LN(2)/2))/(LN(2)/2)*DW19*DZ19*VLOOKUP('Données projet'!$B$14,Paramètres!$A$1:$I$88,3,0)*0.475*44/12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64.936248932246642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64.936248932246642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64.936248932246642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64.936248932246642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1.34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4.9133333333333331</v>
      </c>
      <c r="H20" s="70">
        <f t="shared" si="1"/>
        <v>237.01333333333332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65.024093692420763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projet'!$B$9,Paramètres!$A$1:$I$88,3,0)*VLOOKUP('Données projet'!$B$9,Paramètres!$A$1:$I$88,5,0)</f>
        <v>24.31083366209619</v>
      </c>
      <c r="P20" s="14">
        <f t="shared" si="33"/>
        <v>7.7276032052466093</v>
      </c>
      <c r="Q20" s="22">
        <f t="shared" si="2"/>
        <v>55.800277543955367</v>
      </c>
      <c r="R20" s="62">
        <f t="shared" si="0"/>
        <v>314.99973219394263</v>
      </c>
      <c r="S20" s="62">
        <f ca="1">AVERAGE(OFFSET($R$3,0,0,'Données projet'!$E$9+1,1))-AVERAGE(OFFSET($H$3,0,0,'Données projet'!$E$9+1,1))</f>
        <v>488.16146816015231</v>
      </c>
      <c r="T20" s="62">
        <f t="shared" si="34"/>
        <v>259.37115195552127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65.024093692420763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projet'!$B$10,Paramètres!$A$1:$I$88,3,0)*VLOOKUP('Données projet'!$B$10,Paramètres!$A$1:$I$88,5,0)</f>
        <v>21.692743883101215</v>
      </c>
      <c r="AK20" s="14">
        <f t="shared" si="35"/>
        <v>6.98746341685115</v>
      </c>
      <c r="AL20" s="22">
        <f t="shared" si="4"/>
        <v>49.951361047417038</v>
      </c>
      <c r="AM20" s="62">
        <f t="shared" si="5"/>
        <v>309.15081569740431</v>
      </c>
      <c r="AN20" s="62">
        <f ca="1">AVERAGE(OFFSET($AM$3,0,0,'Données projet'!$E$10+1,1))-AVERAGE(OFFSET($H$3,0,0,'Données projet'!$E$10+1,1))</f>
        <v>441.34749554136755</v>
      </c>
      <c r="AO20" s="62">
        <f t="shared" si="36"/>
        <v>236.49038586666222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0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65.024093692420763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</v>
      </c>
      <c r="BD20" s="13">
        <f>IF('Données projet'!$A$88&gt;35,BD19+BC20-BL19,IF(A20&lt;'Données projet'!$A$88,$BA$205^A20,IF(A20='Données projet'!$A$88,'Données projet'!$B$88,BD19+BC20-BL19)))</f>
        <v>23.975181126327602</v>
      </c>
      <c r="BE20" s="14">
        <f>BD20*VLOOKUP('Données projet'!$B$11,Paramètres!$A$1:$I$88,3,0)*VLOOKUP('Données projet'!$B$11,Paramètres!$A$1:$I$88,5,0)</f>
        <v>25.80688496437903</v>
      </c>
      <c r="BF20" s="14">
        <f t="shared" si="37"/>
        <v>8.146323052908933</v>
      </c>
      <c r="BG20" s="22">
        <f t="shared" si="7"/>
        <v>59.135170630109862</v>
      </c>
      <c r="BH20" s="62">
        <f t="shared" si="8"/>
        <v>318.33462528009716</v>
      </c>
      <c r="BI20" s="62">
        <f ca="1">AVERAGE(OFFSET($BH$3,0,0,'Données projet'!$E$11+1,1))-AVERAGE(OFFSET($H$3,0,0,'Données projet'!$E$11+1,1))</f>
        <v>514.86487884889584</v>
      </c>
      <c r="BJ20" s="62">
        <f t="shared" si="38"/>
        <v>272.4206208356191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projet'!$B$11,Paramètres!$A$1:$I$88,3,0)*0.475*44/12</f>
        <v>0</v>
      </c>
      <c r="BQ20" s="23">
        <f>EXP(-LN(2)/25)*BQ19+(1-EXP(-LN(2)/25))/(LN(2)/25)*Calculateur!BL20*Calculateur!BN20*VLOOKUP('Données projet'!$B$11,Paramètres!$A$1:$I$88,3,0)*0.475*44/12</f>
        <v>0</v>
      </c>
      <c r="BR20" s="23">
        <f>EXP(-LN(2)/2)*BR19+(1-EXP(-LN(2)/2))/(LN(2)/2)*BL20*BO20*VLOOKUP('Données projet'!$B$11,Paramètres!$A$1:$I$88,3,0)*0.475*44/12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65.024093692420763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11.6</v>
      </c>
      <c r="BY20" s="13">
        <f>IF('Données projet'!$A$114&gt;35,BY19+BX20-CG19,IF(A20&lt;'Données projet'!$A$114,$BV$205^A20,IF(A20='Données projet'!$A$114,'Données projet'!$B$114,BY19+BX20-CG19)))</f>
        <v>60.2</v>
      </c>
      <c r="BZ20" s="14">
        <f>BY20*VLOOKUP('Données projet'!$B$12,Paramètres!$A$1:$I$88,3,0)*VLOOKUP('Données projet'!$B$12,Paramètres!$A$1:$I$88,5,0)</f>
        <v>39.443039999999996</v>
      </c>
      <c r="CA20" s="14">
        <f t="shared" si="39"/>
        <v>11.850904343164059</v>
      </c>
      <c r="CB20" s="22">
        <f t="shared" si="10"/>
        <v>89.336953064344058</v>
      </c>
      <c r="CC20" s="62">
        <f t="shared" si="11"/>
        <v>348.53640771433135</v>
      </c>
      <c r="CD20" s="62">
        <f ca="1">AVERAGE(OFFSET($CC$3,0,0,'Données projet'!$E$12+1,1))-AVERAGE(OFFSET($H$3,0,0,'Données projet'!$E$12+1,1))</f>
        <v>270.10151451661864</v>
      </c>
      <c r="CE20" s="62">
        <f t="shared" si="40"/>
        <v>294.47934482366804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projet'!$B$12,Paramètres!$A$1:$I$88,3,0)*0.475*44/12</f>
        <v>0</v>
      </c>
      <c r="CL20" s="23">
        <f>EXP(-LN(2)/25)*CL19+(1-EXP(-LN(2)/25))/(LN(2)/25)*Calculateur!CG20*Calculateur!CI20*VLOOKUP('Données projet'!$B$12,Paramètres!$A$1:$I$88,3,0)*0.475*44/12</f>
        <v>0</v>
      </c>
      <c r="CM20" s="23">
        <f>EXP(-LN(2)/2)*CM19+(1-EXP(-LN(2)/2))/(LN(2)/2)*CG20*CJ20*VLOOKUP('Données projet'!$B$12,Paramètres!$A$1:$I$88,3,0)*0.475*44/12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65.024093692420763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11.6</v>
      </c>
      <c r="CT20" s="13">
        <f>IF('Données projet'!$A$140&gt;35,CT19+CS20-DB19,IF(A20&lt;'Données projet'!$A$140,$CQ$205^A20,IF(A20='Données projet'!$A$140,'Données projet'!$B$140,CT19+CS20-DB19)))</f>
        <v>60.2</v>
      </c>
      <c r="CU20" s="18">
        <f>CT20*VLOOKUP('Données projet'!$B$13,Paramètres!$A$1:$I$88,3,0)*VLOOKUP('Données projet'!$B$13,Paramètres!$A$1:$I$88,5,0)</f>
        <v>39.443039999999996</v>
      </c>
      <c r="CV20" s="14">
        <f t="shared" si="41"/>
        <v>11.850904343164059</v>
      </c>
      <c r="CW20" s="22">
        <f t="shared" si="13"/>
        <v>89.336953064344058</v>
      </c>
      <c r="CX20" s="62">
        <f t="shared" si="14"/>
        <v>348.53640771433135</v>
      </c>
      <c r="CY20" s="62">
        <f ca="1">AVERAGE(OFFSET($CX$3,0,0,'Données projet'!$E$13+1,1))-AVERAGE(OFFSET($H$3,0,0,'Données projet'!$E$13+1,1))</f>
        <v>270.10151451661864</v>
      </c>
      <c r="CZ20" s="62">
        <f t="shared" si="42"/>
        <v>294.47934482366804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projet'!$B$13,Paramètres!$A$1:$I$88,3,0)*0.475*44/12</f>
        <v>0</v>
      </c>
      <c r="DG20" s="23">
        <f>EXP(-LN(2)/25)*DG19+(1-EXP(-LN(2)/25))/(LN(2)/25)*Calculateur!DB20*Calculateur!DD20*VLOOKUP('Données projet'!$B$13,Paramètres!$A$1:$I$88,3,0)*0.475*44/12</f>
        <v>0</v>
      </c>
      <c r="DH20" s="23">
        <f>EXP(-LN(2)/2)*DH19+(1-EXP(-LN(2)/2))/(LN(2)/2)*DB20*DE20*VLOOKUP('Données projet'!$B$13,Paramètres!$A$1:$I$88,3,0)*0.475*44/12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65.024093692420763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projet'!$B$14,Paramètres!$A$1:$I$88,3,0)*0.475*44/12</f>
        <v>#N/A</v>
      </c>
      <c r="EB20" s="23" t="e">
        <f>EXP(-LN(2)/25)*EB19+(1-EXP(-LN(2)/25))/(LN(2)/25)*Calculateur!DW20*Calculateur!DY20*VLOOKUP('Données projet'!$B$14,Paramètres!$A$1:$I$88,3,0)*0.475*44/12</f>
        <v>#N/A</v>
      </c>
      <c r="EC20" s="23" t="e">
        <f>EXP(-LN(2)/2)*EC19+(1-EXP(-LN(2)/2))/(LN(2)/2)*DW20*DZ20*VLOOKUP('Données projet'!$B$14,Paramètres!$A$1:$I$88,3,0)*0.475*44/12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65.024093692420763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65.024093692420763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65.024093692420763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65.024093692420763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1.34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4.9133333333333331</v>
      </c>
      <c r="H21" s="70">
        <f t="shared" si="1"/>
        <v>237.01333333333332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65.110414542397322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projet'!$B$9,Paramètres!$A$1:$I$88,3,0)*VLOOKUP('Données projet'!$B$9,Paramètres!$A$1:$I$88,5,0)</f>
        <v>29.306389432677911</v>
      </c>
      <c r="P21" s="14">
        <f t="shared" si="33"/>
        <v>9.1150691477493808</v>
      </c>
      <c r="Q21" s="22">
        <f t="shared" si="2"/>
        <v>66.917373694244205</v>
      </c>
      <c r="R21" s="62">
        <f t="shared" si="0"/>
        <v>327.65556034970103</v>
      </c>
      <c r="S21" s="62">
        <f ca="1">AVERAGE(OFFSET($R$3,0,0,'Données projet'!$E$9+1,1))-AVERAGE(OFFSET($H$3,0,0,'Données projet'!$E$9+1,1))</f>
        <v>488.16146816015231</v>
      </c>
      <c r="T21" s="62">
        <f t="shared" si="34"/>
        <v>259.37115195552127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65.110414542397322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projet'!$B$10,Paramètres!$A$1:$I$88,3,0)*VLOOKUP('Données projet'!$B$10,Paramètres!$A$1:$I$88,5,0)</f>
        <v>26.150316724543362</v>
      </c>
      <c r="AK21" s="14">
        <f t="shared" si="35"/>
        <v>8.2420396752158016</v>
      </c>
      <c r="AL21" s="22">
        <f t="shared" si="4"/>
        <v>59.900020729580547</v>
      </c>
      <c r="AM21" s="62">
        <f t="shared" si="5"/>
        <v>320.63820738503739</v>
      </c>
      <c r="AN21" s="62">
        <f ca="1">AVERAGE(OFFSET($AM$3,0,0,'Données projet'!$E$10+1,1))-AVERAGE(OFFSET($H$3,0,0,'Données projet'!$E$10+1,1))</f>
        <v>441.34749554136755</v>
      </c>
      <c r="AO21" s="62">
        <f t="shared" si="36"/>
        <v>236.49038586666222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0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65.110414542397322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</v>
      </c>
      <c r="BD21" s="13">
        <f>IF('Données projet'!$A$88&gt;35,BD20+BC21-BL20,IF(A21&lt;'Données projet'!$A$88,$BA$205^A21,IF(A21='Données projet'!$A$88,'Données projet'!$B$88,BD20+BC21-BL20)))</f>
        <v>28.901764726506816</v>
      </c>
      <c r="BE21" s="14">
        <f>BD21*VLOOKUP('Données projet'!$B$11,Paramètres!$A$1:$I$88,3,0)*VLOOKUP('Données projet'!$B$11,Paramètres!$A$1:$I$88,5,0)</f>
        <v>31.109859551611933</v>
      </c>
      <c r="BF21" s="14">
        <f t="shared" si="37"/>
        <v>9.6089687778941872</v>
      </c>
      <c r="BG21" s="22">
        <f t="shared" si="7"/>
        <v>70.918626007223153</v>
      </c>
      <c r="BH21" s="62">
        <f t="shared" si="8"/>
        <v>331.65681266268001</v>
      </c>
      <c r="BI21" s="62">
        <f ca="1">AVERAGE(OFFSET($BH$3,0,0,'Données projet'!$E$11+1,1))-AVERAGE(OFFSET($H$3,0,0,'Données projet'!$E$11+1,1))</f>
        <v>514.86487884889584</v>
      </c>
      <c r="BJ21" s="62">
        <f t="shared" si="38"/>
        <v>272.4206208356191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projet'!$B$11,Paramètres!$A$1:$I$88,3,0)*0.475*44/12</f>
        <v>0</v>
      </c>
      <c r="BQ21" s="23">
        <f>EXP(-LN(2)/25)*BQ20+(1-EXP(-LN(2)/25))/(LN(2)/25)*Calculateur!BL21*Calculateur!BN21*VLOOKUP('Données projet'!$B$11,Paramètres!$A$1:$I$88,3,0)*0.475*44/12</f>
        <v>0</v>
      </c>
      <c r="BR21" s="23">
        <f>EXP(-LN(2)/2)*BR20+(1-EXP(-LN(2)/2))/(LN(2)/2)*BL21*BO21*VLOOKUP('Données projet'!$B$11,Paramètres!$A$1:$I$88,3,0)*0.475*44/12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65.110414542397322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11.6</v>
      </c>
      <c r="BY21" s="13">
        <f>IF('Données projet'!$A$114&gt;35,BY20+BX21-CG20,IF(A21&lt;'Données projet'!$A$114,$BV$205^A21,IF(A21='Données projet'!$A$114,'Données projet'!$B$114,BY20+BX21-CG20)))</f>
        <v>71.8</v>
      </c>
      <c r="BZ21" s="14">
        <f>BY21*VLOOKUP('Données projet'!$B$12,Paramètres!$A$1:$I$88,3,0)*VLOOKUP('Données projet'!$B$12,Paramètres!$A$1:$I$88,5,0)</f>
        <v>47.04336</v>
      </c>
      <c r="CA21" s="14">
        <f t="shared" si="39"/>
        <v>13.847506953649479</v>
      </c>
      <c r="CB21" s="22">
        <f t="shared" si="10"/>
        <v>106.05159327760617</v>
      </c>
      <c r="CC21" s="62">
        <f t="shared" si="11"/>
        <v>366.78977993306302</v>
      </c>
      <c r="CD21" s="62">
        <f ca="1">AVERAGE(OFFSET($CC$3,0,0,'Données projet'!$E$12+1,1))-AVERAGE(OFFSET($H$3,0,0,'Données projet'!$E$12+1,1))</f>
        <v>270.10151451661864</v>
      </c>
      <c r="CE21" s="62">
        <f t="shared" si="40"/>
        <v>294.47934482366804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projet'!$B$12,Paramètres!$A$1:$I$88,3,0)*0.475*44/12</f>
        <v>0</v>
      </c>
      <c r="CL21" s="23">
        <f>EXP(-LN(2)/25)*CL20+(1-EXP(-LN(2)/25))/(LN(2)/25)*Calculateur!CG21*Calculateur!CI21*VLOOKUP('Données projet'!$B$12,Paramètres!$A$1:$I$88,3,0)*0.475*44/12</f>
        <v>0</v>
      </c>
      <c r="CM21" s="23">
        <f>EXP(-LN(2)/2)*CM20+(1-EXP(-LN(2)/2))/(LN(2)/2)*CG21*CJ21*VLOOKUP('Données projet'!$B$12,Paramètres!$A$1:$I$88,3,0)*0.475*44/12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65.110414542397322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11.6</v>
      </c>
      <c r="CT21" s="13">
        <f>IF('Données projet'!$A$140&gt;35,CT20+CS21-DB20,IF(A21&lt;'Données projet'!$A$140,$CQ$205^A21,IF(A21='Données projet'!$A$140,'Données projet'!$B$140,CT20+CS21-DB20)))</f>
        <v>71.8</v>
      </c>
      <c r="CU21" s="18">
        <f>CT21*VLOOKUP('Données projet'!$B$13,Paramètres!$A$1:$I$88,3,0)*VLOOKUP('Données projet'!$B$13,Paramètres!$A$1:$I$88,5,0)</f>
        <v>47.04336</v>
      </c>
      <c r="CV21" s="14">
        <f t="shared" si="41"/>
        <v>13.847506953649479</v>
      </c>
      <c r="CW21" s="22">
        <f t="shared" si="13"/>
        <v>106.05159327760617</v>
      </c>
      <c r="CX21" s="62">
        <f t="shared" si="14"/>
        <v>366.78977993306302</v>
      </c>
      <c r="CY21" s="62">
        <f ca="1">AVERAGE(OFFSET($CX$3,0,0,'Données projet'!$E$13+1,1))-AVERAGE(OFFSET($H$3,0,0,'Données projet'!$E$13+1,1))</f>
        <v>270.10151451661864</v>
      </c>
      <c r="CZ21" s="62">
        <f t="shared" si="42"/>
        <v>294.47934482366804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projet'!$B$13,Paramètres!$A$1:$I$88,3,0)*0.475*44/12</f>
        <v>0</v>
      </c>
      <c r="DG21" s="23">
        <f>EXP(-LN(2)/25)*DG20+(1-EXP(-LN(2)/25))/(LN(2)/25)*Calculateur!DB21*Calculateur!DD21*VLOOKUP('Données projet'!$B$13,Paramètres!$A$1:$I$88,3,0)*0.475*44/12</f>
        <v>0</v>
      </c>
      <c r="DH21" s="23">
        <f>EXP(-LN(2)/2)*DH20+(1-EXP(-LN(2)/2))/(LN(2)/2)*DB21*DE21*VLOOKUP('Données projet'!$B$13,Paramètres!$A$1:$I$88,3,0)*0.475*44/12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65.110414542397322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projet'!$B$14,Paramètres!$A$1:$I$88,3,0)*0.475*44/12</f>
        <v>#N/A</v>
      </c>
      <c r="EB21" s="23" t="e">
        <f>EXP(-LN(2)/25)*EB20+(1-EXP(-LN(2)/25))/(LN(2)/25)*Calculateur!DW21*Calculateur!DY21*VLOOKUP('Données projet'!$B$14,Paramètres!$A$1:$I$88,3,0)*0.475*44/12</f>
        <v>#N/A</v>
      </c>
      <c r="EC21" s="23" t="e">
        <f>EXP(-LN(2)/2)*EC20+(1-EXP(-LN(2)/2))/(LN(2)/2)*DW21*DZ21*VLOOKUP('Données projet'!$B$14,Paramètres!$A$1:$I$88,3,0)*0.475*44/12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65.110414542397322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65.110414542397322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65.110414542397322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65.110414542397322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1.34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4.9133333333333331</v>
      </c>
      <c r="H22" s="70">
        <f t="shared" si="1"/>
        <v>237.01333333333332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65.195237918611298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projet'!$B$9,Paramètres!$A$1:$I$88,3,0)*VLOOKUP('Données projet'!$B$9,Paramètres!$A$1:$I$88,5,0)</f>
        <v>35.328466045936516</v>
      </c>
      <c r="P22" s="14">
        <f t="shared" si="33"/>
        <v>10.751650073316766</v>
      </c>
      <c r="Q22" s="22">
        <f t="shared" si="2"/>
        <v>80.256202241032796</v>
      </c>
      <c r="R22" s="62">
        <f t="shared" si="0"/>
        <v>342.52763016482976</v>
      </c>
      <c r="S22" s="62">
        <f ca="1">AVERAGE(OFFSET($R$3,0,0,'Données projet'!$E$9+1,1))-AVERAGE(OFFSET($H$3,0,0,'Données projet'!$E$9+1,1))</f>
        <v>488.16146816015231</v>
      </c>
      <c r="T22" s="62">
        <f t="shared" si="34"/>
        <v>259.37115195552127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65.195237918611298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projet'!$B$10,Paramètres!$A$1:$I$88,3,0)*VLOOKUP('Données projet'!$B$10,Paramètres!$A$1:$I$88,5,0)</f>
        <v>31.52386201022027</v>
      </c>
      <c r="AK22" s="14">
        <f t="shared" si="35"/>
        <v>9.7218710074397983</v>
      </c>
      <c r="AL22" s="22">
        <f t="shared" si="4"/>
        <v>71.836318339091292</v>
      </c>
      <c r="AM22" s="62">
        <f t="shared" si="5"/>
        <v>334.10774626288827</v>
      </c>
      <c r="AN22" s="62">
        <f ca="1">AVERAGE(OFFSET($AM$3,0,0,'Données projet'!$E$10+1,1))-AVERAGE(OFFSET($H$3,0,0,'Données projet'!$E$10+1,1))</f>
        <v>441.34749554136755</v>
      </c>
      <c r="AO22" s="62">
        <f t="shared" si="36"/>
        <v>236.49038586666222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0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65.195237918611298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</v>
      </c>
      <c r="BD22" s="13">
        <f>IF('Données projet'!$A$88&gt;35,BD21+BC22-BL21,IF(A22&lt;'Données projet'!$A$88,$BA$205^A22,IF(A22='Données projet'!$A$88,'Données projet'!$B$88,BD21+BC22-BL21)))</f>
        <v>34.840696297767764</v>
      </c>
      <c r="BE22" s="14">
        <f>BD22*VLOOKUP('Données projet'!$B$11,Paramètres!$A$1:$I$88,3,0)*VLOOKUP('Données projet'!$B$11,Paramètres!$A$1:$I$88,5,0)</f>
        <v>37.502525494917215</v>
      </c>
      <c r="BF22" s="14">
        <f t="shared" si="37"/>
        <v>11.334227770598273</v>
      </c>
      <c r="BG22" s="22">
        <f t="shared" si="7"/>
        <v>85.057345270772814</v>
      </c>
      <c r="BH22" s="62">
        <f t="shared" si="8"/>
        <v>347.32877319456981</v>
      </c>
      <c r="BI22" s="62">
        <f ca="1">AVERAGE(OFFSET($BH$3,0,0,'Données projet'!$E$11+1,1))-AVERAGE(OFFSET($H$3,0,0,'Données projet'!$E$11+1,1))</f>
        <v>514.86487884889584</v>
      </c>
      <c r="BJ22" s="62">
        <f t="shared" si="38"/>
        <v>272.4206208356191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projet'!$B$11,Paramètres!$A$1:$I$88,3,0)*0.475*44/12</f>
        <v>0</v>
      </c>
      <c r="BQ22" s="23">
        <f>EXP(-LN(2)/25)*BQ21+(1-EXP(-LN(2)/25))/(LN(2)/25)*Calculateur!BL22*Calculateur!BN22*VLOOKUP('Données projet'!$B$11,Paramètres!$A$1:$I$88,3,0)*0.475*44/12</f>
        <v>0</v>
      </c>
      <c r="BR22" s="23">
        <f>EXP(-LN(2)/2)*BR21+(1-EXP(-LN(2)/2))/(LN(2)/2)*BL22*BO22*VLOOKUP('Données projet'!$B$11,Paramètres!$A$1:$I$88,3,0)*0.475*44/12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65.195237918611298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11.6</v>
      </c>
      <c r="BY22" s="13">
        <f>IF('Données projet'!$A$114&gt;35,BY21+BX22-CG21,IF(A22&lt;'Données projet'!$A$114,$BV$205^A22,IF(A22='Données projet'!$A$114,'Données projet'!$B$114,BY21+BX22-CG21)))</f>
        <v>83.399999999999991</v>
      </c>
      <c r="BZ22" s="14">
        <f>BY22*VLOOKUP('Données projet'!$B$12,Paramètres!$A$1:$I$88,3,0)*VLOOKUP('Données projet'!$B$12,Paramètres!$A$1:$I$88,5,0)</f>
        <v>54.643679999999989</v>
      </c>
      <c r="CA22" s="14">
        <f t="shared" si="39"/>
        <v>15.806741657278613</v>
      </c>
      <c r="CB22" s="22">
        <f t="shared" si="10"/>
        <v>122.70115105309355</v>
      </c>
      <c r="CC22" s="62">
        <f t="shared" si="11"/>
        <v>384.97257897689053</v>
      </c>
      <c r="CD22" s="62">
        <f ca="1">AVERAGE(OFFSET($CC$3,0,0,'Données projet'!$E$12+1,1))-AVERAGE(OFFSET($H$3,0,0,'Données projet'!$E$12+1,1))</f>
        <v>270.10151451661864</v>
      </c>
      <c r="CE22" s="62">
        <f t="shared" si="40"/>
        <v>294.47934482366804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projet'!$B$12,Paramètres!$A$1:$I$88,3,0)*0.475*44/12</f>
        <v>0</v>
      </c>
      <c r="CL22" s="23">
        <f>EXP(-LN(2)/25)*CL21+(1-EXP(-LN(2)/25))/(LN(2)/25)*Calculateur!CG22*Calculateur!CI22*VLOOKUP('Données projet'!$B$12,Paramètres!$A$1:$I$88,3,0)*0.475*44/12</f>
        <v>0</v>
      </c>
      <c r="CM22" s="23">
        <f>EXP(-LN(2)/2)*CM21+(1-EXP(-LN(2)/2))/(LN(2)/2)*CG22*CJ22*VLOOKUP('Données projet'!$B$12,Paramètres!$A$1:$I$88,3,0)*0.475*44/12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65.195237918611298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11.6</v>
      </c>
      <c r="CT22" s="13">
        <f>IF('Données projet'!$A$140&gt;35,CT21+CS22-DB21,IF(A22&lt;'Données projet'!$A$140,$CQ$205^A22,IF(A22='Données projet'!$A$140,'Données projet'!$B$140,CT21+CS22-DB21)))</f>
        <v>83.399999999999991</v>
      </c>
      <c r="CU22" s="18">
        <f>CT22*VLOOKUP('Données projet'!$B$13,Paramètres!$A$1:$I$88,3,0)*VLOOKUP('Données projet'!$B$13,Paramètres!$A$1:$I$88,5,0)</f>
        <v>54.643679999999989</v>
      </c>
      <c r="CV22" s="14">
        <f t="shared" si="41"/>
        <v>15.806741657278613</v>
      </c>
      <c r="CW22" s="22">
        <f t="shared" si="13"/>
        <v>122.70115105309355</v>
      </c>
      <c r="CX22" s="62">
        <f t="shared" si="14"/>
        <v>384.97257897689053</v>
      </c>
      <c r="CY22" s="62">
        <f ca="1">AVERAGE(OFFSET($CX$3,0,0,'Données projet'!$E$13+1,1))-AVERAGE(OFFSET($H$3,0,0,'Données projet'!$E$13+1,1))</f>
        <v>270.10151451661864</v>
      </c>
      <c r="CZ22" s="62">
        <f t="shared" si="42"/>
        <v>294.47934482366804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projet'!$B$13,Paramètres!$A$1:$I$88,3,0)*0.475*44/12</f>
        <v>0</v>
      </c>
      <c r="DG22" s="23">
        <f>EXP(-LN(2)/25)*DG21+(1-EXP(-LN(2)/25))/(LN(2)/25)*Calculateur!DB22*Calculateur!DD22*VLOOKUP('Données projet'!$B$13,Paramètres!$A$1:$I$88,3,0)*0.475*44/12</f>
        <v>0</v>
      </c>
      <c r="DH22" s="23">
        <f>EXP(-LN(2)/2)*DH21+(1-EXP(-LN(2)/2))/(LN(2)/2)*DB22*DE22*VLOOKUP('Données projet'!$B$13,Paramètres!$A$1:$I$88,3,0)*0.475*44/12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65.195237918611298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projet'!$B$14,Paramètres!$A$1:$I$88,3,0)*0.475*44/12</f>
        <v>#N/A</v>
      </c>
      <c r="EB22" s="23" t="e">
        <f>EXP(-LN(2)/25)*EB21+(1-EXP(-LN(2)/25))/(LN(2)/25)*Calculateur!DW22*Calculateur!DY22*VLOOKUP('Données projet'!$B$14,Paramètres!$A$1:$I$88,3,0)*0.475*44/12</f>
        <v>#N/A</v>
      </c>
      <c r="EC22" s="23" t="e">
        <f>EXP(-LN(2)/2)*EC21+(1-EXP(-LN(2)/2))/(LN(2)/2)*DW22*DZ22*VLOOKUP('Données projet'!$B$14,Paramètres!$A$1:$I$88,3,0)*0.475*44/12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65.195237918611298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65.195237918611298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65.195237918611298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65.195237918611298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1.34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4.9133333333333331</v>
      </c>
      <c r="H23" s="70">
        <f t="shared" si="1"/>
        <v>237.01333333333332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65.278589798884624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projet'!$B$9,Paramètres!$A$1:$I$88,3,0)*VLOOKUP('Données projet'!$B$9,Paramètres!$A$1:$I$88,5,0)</f>
        <v>42.588000000000001</v>
      </c>
      <c r="P23" s="14">
        <f t="shared" si="33"/>
        <v>12.682073764365764</v>
      </c>
      <c r="Q23" s="22">
        <f t="shared" si="2"/>
        <v>96.262045139603686</v>
      </c>
      <c r="R23" s="62">
        <f t="shared" si="0"/>
        <v>360.06131884662511</v>
      </c>
      <c r="S23" s="62">
        <f ca="1">AVERAGE(OFFSET($R$3,0,0,'Données projet'!$E$9+1,1))-AVERAGE(OFFSET($H$3,0,0,'Données projet'!$E$9+1,1))</f>
        <v>488.16146816015231</v>
      </c>
      <c r="T23" s="62">
        <f t="shared" si="34"/>
        <v>259.37115195552127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65.278589798884624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projet'!$B$10,Paramètres!$A$1:$I$88,3,0)*VLOOKUP('Données projet'!$B$10,Paramètres!$A$1:$I$88,5,0)</f>
        <v>38.001600000000003</v>
      </c>
      <c r="AK23" s="14">
        <f t="shared" si="35"/>
        <v>11.467401227090512</v>
      </c>
      <c r="AL23" s="22">
        <f t="shared" si="4"/>
        <v>86.158510470515978</v>
      </c>
      <c r="AM23" s="62">
        <f t="shared" si="5"/>
        <v>349.95778417753741</v>
      </c>
      <c r="AN23" s="62">
        <f ca="1">AVERAGE(OFFSET($AM$3,0,0,'Données projet'!$E$10+1,1))-AVERAGE(OFFSET($H$3,0,0,'Données projet'!$E$10+1,1))</f>
        <v>441.34749554136755</v>
      </c>
      <c r="AO23" s="62">
        <f t="shared" si="36"/>
        <v>236.49038586666222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projet'!$B$10,Paramètres!$A$1:$I$88,3,0)*0.475*44/12</f>
        <v>0</v>
      </c>
      <c r="AV23" s="23">
        <f>EXP(-LN(2)/25)*AV22+(1-EXP(-LN(2)/25))/(LN(2)/25)*Calculateur!AQ23*Calculateur!AS23*VLOOKUP('Données projet'!$B$10,Paramètres!$A$1:$I$88,3,0)*0.475*44/12</f>
        <v>0</v>
      </c>
      <c r="AW23" s="23">
        <f>EXP(-LN(2)/2)*AW22+(1-EXP(-LN(2)/2))/(LN(2)/2)*AQ23*AT23*VLOOKUP('Données projet'!$B$10,Paramètres!$A$1:$I$88,3,0)*0.475*44/12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65.278589798884624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42</v>
      </c>
      <c r="BB23" s="13">
        <f>VLOOKUP(A23,'Données projet'!$A$87:$I$107,9,0)</f>
        <v>2.1</v>
      </c>
      <c r="BC23" s="13">
        <f t="array" ref="BC23">INDEX(BB:BB,MIN(IF(ISNUMBER(BB23:BB219),ROW(BB23:BB219),"")))</f>
        <v>2.1</v>
      </c>
      <c r="BD23" s="13">
        <f>IF('Données projet'!$A$88&gt;35,BD22+BC23-BL22,IF(A23&lt;'Données projet'!$A$88,$BA$205^A23,IF(A23='Données projet'!$A$88,'Données projet'!$B$88,BD22+BC23-BL22)))</f>
        <v>42</v>
      </c>
      <c r="BE23" s="14">
        <f>BD23*VLOOKUP('Données projet'!$B$11,Paramètres!$A$1:$I$88,3,0)*VLOOKUP('Données projet'!$B$11,Paramètres!$A$1:$I$88,5,0)</f>
        <v>45.208799999999997</v>
      </c>
      <c r="BF23" s="14">
        <f t="shared" si="37"/>
        <v>13.369251386406743</v>
      </c>
      <c r="BG23" s="22">
        <f t="shared" si="7"/>
        <v>102.02343949799173</v>
      </c>
      <c r="BH23" s="62">
        <f t="shared" si="8"/>
        <v>365.82271320501314</v>
      </c>
      <c r="BI23" s="62">
        <f ca="1">AVERAGE(OFFSET($BH$3,0,0,'Données projet'!$E$11+1,1))-AVERAGE(OFFSET($H$3,0,0,'Données projet'!$E$11+1,1))</f>
        <v>514.86487884889584</v>
      </c>
      <c r="BJ23" s="62">
        <f t="shared" si="38"/>
        <v>272.4206208356191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projet'!$B$11,Paramètres!$A$1:$I$88,3,0)*0.475*44/12</f>
        <v>0</v>
      </c>
      <c r="BQ23" s="23">
        <f>EXP(-LN(2)/25)*BQ22+(1-EXP(-LN(2)/25))/(LN(2)/25)*Calculateur!BL23*Calculateur!BN23*VLOOKUP('Données projet'!$B$11,Paramètres!$A$1:$I$88,3,0)*0.475*44/12</f>
        <v>0</v>
      </c>
      <c r="BR23" s="23">
        <f>EXP(-LN(2)/2)*BR22+(1-EXP(-LN(2)/2))/(LN(2)/2)*BL23*BO23*VLOOKUP('Données projet'!$B$11,Paramètres!$A$1:$I$88,3,0)*0.475*44/12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65.278589798884624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95</v>
      </c>
      <c r="BW23" s="13">
        <f>VLOOKUP(A23,'Données projet'!$A$113:$I$133,9,0)</f>
        <v>11.6</v>
      </c>
      <c r="BX23" s="13">
        <f t="array" ref="BX23">INDEX(BW:BW,MIN(IF(ISNUMBER(BW23:BW219),ROW(BW23:BW219),"")))</f>
        <v>11.6</v>
      </c>
      <c r="BY23" s="13">
        <f>IF('Données projet'!$A$114&gt;35,BY22+BX23-CG22,IF(A23&lt;'Données projet'!$A$114,$BV$205^A23,IF(A23='Données projet'!$A$114,'Données projet'!$B$114,BY22+BX23-CG22)))</f>
        <v>94.999999999999986</v>
      </c>
      <c r="BZ23" s="14">
        <f>BY23*VLOOKUP('Données projet'!$B$12,Paramètres!$A$1:$I$88,3,0)*VLOOKUP('Données projet'!$B$12,Paramètres!$A$1:$I$88,5,0)</f>
        <v>62.243999999999986</v>
      </c>
      <c r="CA23" s="14">
        <f t="shared" si="39"/>
        <v>17.734404526076432</v>
      </c>
      <c r="CB23" s="22">
        <f t="shared" si="10"/>
        <v>139.29572121624975</v>
      </c>
      <c r="CC23" s="62">
        <f t="shared" si="11"/>
        <v>403.0949949232712</v>
      </c>
      <c r="CD23" s="62">
        <f ca="1">AVERAGE(OFFSET($CC$3,0,0,'Données projet'!$E$12+1,1))-AVERAGE(OFFSET($H$3,0,0,'Données projet'!$E$12+1,1))</f>
        <v>270.10151451661864</v>
      </c>
      <c r="CE23" s="62">
        <f t="shared" si="40"/>
        <v>294.47934482366804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43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projet'!$B$12,Paramètres!$A$1:$I$88,3,0)*0.475*44/12</f>
        <v>0</v>
      </c>
      <c r="CL23" s="23">
        <f>EXP(-LN(2)/25)*CL22+(1-EXP(-LN(2)/25))/(LN(2)/25)*Calculateur!CG23*Calculateur!CI23*VLOOKUP('Données projet'!$B$12,Paramètres!$A$1:$I$88,3,0)*0.475*44/12</f>
        <v>0</v>
      </c>
      <c r="CM23" s="23">
        <f>EXP(-LN(2)/2)*CM22+(1-EXP(-LN(2)/2))/(LN(2)/2)*CG23*CJ23*VLOOKUP('Données projet'!$B$12,Paramètres!$A$1:$I$88,3,0)*0.475*44/12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65.278589798884624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95</v>
      </c>
      <c r="CR23" s="13">
        <f>VLOOKUP(A23,'Données projet'!$A$139:$I$159,9,0)</f>
        <v>11.6</v>
      </c>
      <c r="CS23" s="13">
        <f t="array" ref="CS23">INDEX(CR:CR,MIN(IF(ISNUMBER(CR23:CR219),ROW(CR23:CR219),"")))</f>
        <v>11.6</v>
      </c>
      <c r="CT23" s="13">
        <f>IF('Données projet'!$A$140&gt;35,CT22+CS23-DB22,IF(A23&lt;'Données projet'!$A$140,$CQ$205^A23,IF(A23='Données projet'!$A$140,'Données projet'!$B$140,CT22+CS23-DB22)))</f>
        <v>94.999999999999986</v>
      </c>
      <c r="CU23" s="18">
        <f>CT23*VLOOKUP('Données projet'!$B$13,Paramètres!$A$1:$I$88,3,0)*VLOOKUP('Données projet'!$B$13,Paramètres!$A$1:$I$88,5,0)</f>
        <v>62.243999999999986</v>
      </c>
      <c r="CV23" s="14">
        <f t="shared" si="41"/>
        <v>17.734404526076432</v>
      </c>
      <c r="CW23" s="22">
        <f t="shared" si="13"/>
        <v>139.29572121624975</v>
      </c>
      <c r="CX23" s="62">
        <f t="shared" si="14"/>
        <v>403.0949949232712</v>
      </c>
      <c r="CY23" s="62">
        <f ca="1">AVERAGE(OFFSET($CX$3,0,0,'Données projet'!$E$13+1,1))-AVERAGE(OFFSET($H$3,0,0,'Données projet'!$E$13+1,1))</f>
        <v>270.10151451661864</v>
      </c>
      <c r="CZ23" s="62">
        <f t="shared" si="42"/>
        <v>294.47934482366804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43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projet'!$B$13,Paramètres!$A$1:$I$88,3,0)*0.475*44/12</f>
        <v>0</v>
      </c>
      <c r="DG23" s="23">
        <f>EXP(-LN(2)/25)*DG22+(1-EXP(-LN(2)/25))/(LN(2)/25)*Calculateur!DB23*Calculateur!DD23*VLOOKUP('Données projet'!$B$13,Paramètres!$A$1:$I$88,3,0)*0.475*44/12</f>
        <v>0</v>
      </c>
      <c r="DH23" s="23">
        <f>EXP(-LN(2)/2)*DH22+(1-EXP(-LN(2)/2))/(LN(2)/2)*DB23*DE23*VLOOKUP('Données projet'!$B$13,Paramètres!$A$1:$I$88,3,0)*0.475*44/12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65.278589798884624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projet'!$B$14,Paramètres!$A$1:$I$88,3,0)*0.475*44/12</f>
        <v>#N/A</v>
      </c>
      <c r="EB23" s="23" t="e">
        <f>EXP(-LN(2)/25)*EB22+(1-EXP(-LN(2)/25))/(LN(2)/25)*Calculateur!DW23*Calculateur!DY23*VLOOKUP('Données projet'!$B$14,Paramètres!$A$1:$I$88,3,0)*0.475*44/12</f>
        <v>#N/A</v>
      </c>
      <c r="EC23" s="23" t="e">
        <f>EXP(-LN(2)/2)*EC22+(1-EXP(-LN(2)/2))/(LN(2)/2)*DW23*DZ23*VLOOKUP('Données projet'!$B$14,Paramètres!$A$1:$I$88,3,0)*0.475*44/12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65.278589798884624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65.278589798884624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65.278589798884624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65.278589798884624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1.34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4.9133333333333331</v>
      </c>
      <c r="H24" s="70">
        <f t="shared" si="1"/>
        <v>237.01333333333332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65.360495710382096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projet'!$B$9,Paramètres!$A$1:$I$88,3,0)*VLOOKUP('Données projet'!$B$9,Paramètres!$A$1:$I$88,5,0)</f>
        <v>48.266400000000004</v>
      </c>
      <c r="P24" s="14">
        <f t="shared" si="33"/>
        <v>14.165134590154434</v>
      </c>
      <c r="Q24" s="22">
        <f t="shared" si="2"/>
        <v>108.73492274451898</v>
      </c>
      <c r="R24" s="62">
        <f t="shared" si="0"/>
        <v>374.05674034925335</v>
      </c>
      <c r="S24" s="62">
        <f ca="1">AVERAGE(OFFSET($R$3,0,0,'Données projet'!$E$9+1,1))-AVERAGE(OFFSET($H$3,0,0,'Données projet'!$E$9+1,1))</f>
        <v>488.16146816015231</v>
      </c>
      <c r="T24" s="62">
        <f t="shared" si="34"/>
        <v>259.37115195552127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65.360495710382096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projet'!$B$10,Paramètres!$A$1:$I$88,3,0)*VLOOKUP('Données projet'!$B$10,Paramètres!$A$1:$I$88,5,0)</f>
        <v>43.068480000000001</v>
      </c>
      <c r="AK24" s="14">
        <f t="shared" si="35"/>
        <v>12.808416415102187</v>
      </c>
      <c r="AL24" s="22">
        <f t="shared" si="4"/>
        <v>97.318927922969635</v>
      </c>
      <c r="AM24" s="62">
        <f t="shared" si="5"/>
        <v>362.64074552770398</v>
      </c>
      <c r="AN24" s="62">
        <f ca="1">AVERAGE(OFFSET($AM$3,0,0,'Données projet'!$E$10+1,1))-AVERAGE(OFFSET($H$3,0,0,'Données projet'!$E$10+1,1))</f>
        <v>441.34749554136755</v>
      </c>
      <c r="AO24" s="62">
        <f t="shared" si="36"/>
        <v>236.49038586666222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0</v>
      </c>
      <c r="AV24" s="23">
        <f>EXP(-LN(2)/25)*AV23+(1-EXP(-LN(2)/25))/(LN(2)/25)*Calculateur!AQ24*Calculateur!AS24*VLOOKUP('Données projet'!$B$10,Paramètres!$A$1:$I$88,3,0)*0.475*44/12</f>
        <v>0</v>
      </c>
      <c r="AW24" s="23">
        <f>EXP(-LN(2)/2)*AW23+(1-EXP(-LN(2)/2))/(LN(2)/2)*AQ24*AT24*VLOOKUP('Données projet'!$B$10,Paramètres!$A$1:$I$88,3,0)*0.475*44/12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65.360495710382096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5.6</v>
      </c>
      <c r="BD24" s="13">
        <f>IF('Données projet'!$A$88&gt;35,BD23+BC24-BL23,IF(A24&lt;'Données projet'!$A$88,$BA$205^A24,IF(A24='Données projet'!$A$88,'Données projet'!$B$88,BD23+BC24-BL23)))</f>
        <v>47.6</v>
      </c>
      <c r="BE24" s="14">
        <f>BD24*VLOOKUP('Données projet'!$B$11,Paramètres!$A$1:$I$88,3,0)*VLOOKUP('Données projet'!$B$11,Paramètres!$A$1:$I$88,5,0)</f>
        <v>51.236640000000001</v>
      </c>
      <c r="BF24" s="14">
        <f t="shared" si="37"/>
        <v>14.932671799321549</v>
      </c>
      <c r="BG24" s="22">
        <f t="shared" si="7"/>
        <v>115.24488471715169</v>
      </c>
      <c r="BH24" s="62">
        <f t="shared" si="8"/>
        <v>380.56670232188605</v>
      </c>
      <c r="BI24" s="62">
        <f ca="1">AVERAGE(OFFSET($BH$3,0,0,'Données projet'!$E$11+1,1))-AVERAGE(OFFSET($H$3,0,0,'Données projet'!$E$11+1,1))</f>
        <v>514.86487884889584</v>
      </c>
      <c r="BJ24" s="62">
        <f t="shared" si="38"/>
        <v>272.4206208356191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projet'!$B$11,Paramètres!$A$1:$I$88,3,0)*0.475*44/12</f>
        <v>0</v>
      </c>
      <c r="BQ24" s="23">
        <f>EXP(-LN(2)/25)*BQ23+(1-EXP(-LN(2)/25))/(LN(2)/25)*Calculateur!BL24*Calculateur!BN24*VLOOKUP('Données projet'!$B$11,Paramètres!$A$1:$I$88,3,0)*0.475*44/12</f>
        <v>0</v>
      </c>
      <c r="BR24" s="23">
        <f>EXP(-LN(2)/2)*BR23+(1-EXP(-LN(2)/2))/(LN(2)/2)*BL24*BO24*VLOOKUP('Données projet'!$B$11,Paramètres!$A$1:$I$88,3,0)*0.475*44/12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65.360495710382096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12.6</v>
      </c>
      <c r="BY24" s="13">
        <f>IF('Données projet'!$A$114&gt;35,BY23+BX24-CG23,IF(A24&lt;'Données projet'!$A$114,$BV$205^A24,IF(A24='Données projet'!$A$114,'Données projet'!$B$114,BY23+BX24-CG23)))</f>
        <v>64.59999999999998</v>
      </c>
      <c r="BZ24" s="14">
        <f>BY24*VLOOKUP('Données projet'!$B$12,Paramètres!$A$1:$I$88,3,0)*VLOOKUP('Données projet'!$B$12,Paramètres!$A$1:$I$88,5,0)</f>
        <v>42.325919999999989</v>
      </c>
      <c r="CA24" s="14">
        <f t="shared" si="39"/>
        <v>12.613089745729766</v>
      </c>
      <c r="CB24" s="22">
        <f t="shared" si="10"/>
        <v>95.685441973812658</v>
      </c>
      <c r="CC24" s="62">
        <f t="shared" si="11"/>
        <v>361.00725957854701</v>
      </c>
      <c r="CD24" s="62">
        <f ca="1">AVERAGE(OFFSET($CC$3,0,0,'Données projet'!$E$12+1,1))-AVERAGE(OFFSET($H$3,0,0,'Données projet'!$E$12+1,1))</f>
        <v>270.10151451661864</v>
      </c>
      <c r="CE24" s="62">
        <f t="shared" si="40"/>
        <v>294.47934482366804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projet'!$B$12,Paramètres!$A$1:$I$88,3,0)*0.475*44/12</f>
        <v>0</v>
      </c>
      <c r="CL24" s="23">
        <f>EXP(-LN(2)/25)*CL23+(1-EXP(-LN(2)/25))/(LN(2)/25)*Calculateur!CG24*Calculateur!CI24*VLOOKUP('Données projet'!$B$12,Paramètres!$A$1:$I$88,3,0)*0.475*44/12</f>
        <v>0</v>
      </c>
      <c r="CM24" s="23">
        <f>EXP(-LN(2)/2)*CM23+(1-EXP(-LN(2)/2))/(LN(2)/2)*CG24*CJ24*VLOOKUP('Données projet'!$B$12,Paramètres!$A$1:$I$88,3,0)*0.475*44/12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65.360495710382096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12.6</v>
      </c>
      <c r="CT24" s="13">
        <f>IF('Données projet'!$A$140&gt;35,CT23+CS24-DB23,IF(A24&lt;'Données projet'!$A$140,$CQ$205^A24,IF(A24='Données projet'!$A$140,'Données projet'!$B$140,CT23+CS24-DB23)))</f>
        <v>64.59999999999998</v>
      </c>
      <c r="CU24" s="18">
        <f>CT24*VLOOKUP('Données projet'!$B$13,Paramètres!$A$1:$I$88,3,0)*VLOOKUP('Données projet'!$B$13,Paramètres!$A$1:$I$88,5,0)</f>
        <v>42.325919999999989</v>
      </c>
      <c r="CV24" s="14">
        <f t="shared" si="41"/>
        <v>12.613089745729766</v>
      </c>
      <c r="CW24" s="22">
        <f t="shared" si="13"/>
        <v>95.685441973812658</v>
      </c>
      <c r="CX24" s="62">
        <f t="shared" si="14"/>
        <v>361.00725957854701</v>
      </c>
      <c r="CY24" s="62">
        <f ca="1">AVERAGE(OFFSET($CX$3,0,0,'Données projet'!$E$13+1,1))-AVERAGE(OFFSET($H$3,0,0,'Données projet'!$E$13+1,1))</f>
        <v>270.10151451661864</v>
      </c>
      <c r="CZ24" s="62">
        <f t="shared" si="42"/>
        <v>294.47934482366804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projet'!$B$13,Paramètres!$A$1:$I$88,3,0)*0.475*44/12</f>
        <v>0</v>
      </c>
      <c r="DG24" s="23">
        <f>EXP(-LN(2)/25)*DG23+(1-EXP(-LN(2)/25))/(LN(2)/25)*Calculateur!DB24*Calculateur!DD24*VLOOKUP('Données projet'!$B$13,Paramètres!$A$1:$I$88,3,0)*0.475*44/12</f>
        <v>0</v>
      </c>
      <c r="DH24" s="23">
        <f>EXP(-LN(2)/2)*DH23+(1-EXP(-LN(2)/2))/(LN(2)/2)*DB24*DE24*VLOOKUP('Données projet'!$B$13,Paramètres!$A$1:$I$88,3,0)*0.475*44/12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65.360495710382096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projet'!$B$14,Paramètres!$A$1:$I$88,3,0)*0.475*44/12</f>
        <v>#N/A</v>
      </c>
      <c r="EB24" s="23" t="e">
        <f>EXP(-LN(2)/25)*EB23+(1-EXP(-LN(2)/25))/(LN(2)/25)*Calculateur!DW24*Calculateur!DY24*VLOOKUP('Données projet'!$B$14,Paramètres!$A$1:$I$88,3,0)*0.475*44/12</f>
        <v>#N/A</v>
      </c>
      <c r="EC24" s="23" t="e">
        <f>EXP(-LN(2)/2)*EC23+(1-EXP(-LN(2)/2))/(LN(2)/2)*DW24*DZ24*VLOOKUP('Données projet'!$B$14,Paramètres!$A$1:$I$88,3,0)*0.475*44/12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65.360495710382096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65.360495710382096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65.360495710382096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65.360495710382096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1.34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4.9133333333333331</v>
      </c>
      <c r="H25" s="70">
        <f t="shared" si="1"/>
        <v>237.01333333333332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65.440980737429271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projet'!$B$9,Paramètres!$A$1:$I$88,3,0)*VLOOKUP('Données projet'!$B$9,Paramètres!$A$1:$I$88,5,0)</f>
        <v>53.944800000000008</v>
      </c>
      <c r="P25" s="14">
        <f t="shared" si="33"/>
        <v>15.627975445731321</v>
      </c>
      <c r="Q25" s="22">
        <f t="shared" si="2"/>
        <v>121.17258390131538</v>
      </c>
      <c r="R25" s="62">
        <f t="shared" si="0"/>
        <v>388.01173549411158</v>
      </c>
      <c r="S25" s="62">
        <f ca="1">AVERAGE(OFFSET($R$3,0,0,'Données projet'!$E$9+1,1))-AVERAGE(OFFSET($H$3,0,0,'Données projet'!$E$9+1,1))</f>
        <v>488.16146816015231</v>
      </c>
      <c r="T25" s="62">
        <f t="shared" si="34"/>
        <v>259.37115195552127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65.440980737429271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projet'!$B$10,Paramètres!$A$1:$I$88,3,0)*VLOOKUP('Données projet'!$B$10,Paramètres!$A$1:$I$88,5,0)</f>
        <v>48.135359999999999</v>
      </c>
      <c r="AK25" s="14">
        <f t="shared" si="35"/>
        <v>14.131148275361113</v>
      </c>
      <c r="AL25" s="22">
        <f t="shared" si="4"/>
        <v>108.4475019129206</v>
      </c>
      <c r="AM25" s="62">
        <f t="shared" si="5"/>
        <v>375.2866535057168</v>
      </c>
      <c r="AN25" s="62">
        <f ca="1">AVERAGE(OFFSET($AM$3,0,0,'Données projet'!$E$10+1,1))-AVERAGE(OFFSET($H$3,0,0,'Données projet'!$E$10+1,1))</f>
        <v>441.34749554136755</v>
      </c>
      <c r="AO25" s="62">
        <f t="shared" si="36"/>
        <v>236.49038586666222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0</v>
      </c>
      <c r="AV25" s="23">
        <f>EXP(-LN(2)/25)*AV24+(1-EXP(-LN(2)/25))/(LN(2)/25)*Calculateur!AQ25*Calculateur!AS25*VLOOKUP('Données projet'!$B$10,Paramètres!$A$1:$I$88,3,0)*0.475*44/12</f>
        <v>0</v>
      </c>
      <c r="AW25" s="23">
        <f>EXP(-LN(2)/2)*AW24+(1-EXP(-LN(2)/2))/(LN(2)/2)*AQ25*AT25*VLOOKUP('Données projet'!$B$10,Paramètres!$A$1:$I$88,3,0)*0.475*44/12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65.440980737429271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5.6</v>
      </c>
      <c r="BD25" s="13">
        <f>IF('Données projet'!$A$88&gt;35,BD24+BC25-BL24,IF(A25&lt;'Données projet'!$A$88,$BA$205^A25,IF(A25='Données projet'!$A$88,'Données projet'!$B$88,BD24+BC25-BL24)))</f>
        <v>53.2</v>
      </c>
      <c r="BE25" s="14">
        <f>BD25*VLOOKUP('Données projet'!$B$11,Paramètres!$A$1:$I$88,3,0)*VLOOKUP('Données projet'!$B$11,Paramètres!$A$1:$I$88,5,0)</f>
        <v>57.264479999999999</v>
      </c>
      <c r="BF25" s="14">
        <f t="shared" si="37"/>
        <v>16.474776623807379</v>
      </c>
      <c r="BG25" s="22">
        <f t="shared" si="7"/>
        <v>128.42920528646451</v>
      </c>
      <c r="BH25" s="62">
        <f t="shared" si="8"/>
        <v>395.26835687926075</v>
      </c>
      <c r="BI25" s="62">
        <f ca="1">AVERAGE(OFFSET($BH$3,0,0,'Données projet'!$E$11+1,1))-AVERAGE(OFFSET($H$3,0,0,'Données projet'!$E$11+1,1))</f>
        <v>514.86487884889584</v>
      </c>
      <c r="BJ25" s="62">
        <f t="shared" si="38"/>
        <v>272.4206208356191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projet'!$B$11,Paramètres!$A$1:$I$88,3,0)*0.475*44/12</f>
        <v>0</v>
      </c>
      <c r="BQ25" s="23">
        <f>EXP(-LN(2)/25)*BQ24+(1-EXP(-LN(2)/25))/(LN(2)/25)*Calculateur!BL25*Calculateur!BN25*VLOOKUP('Données projet'!$B$11,Paramètres!$A$1:$I$88,3,0)*0.475*44/12</f>
        <v>0</v>
      </c>
      <c r="BR25" s="23">
        <f>EXP(-LN(2)/2)*BR24+(1-EXP(-LN(2)/2))/(LN(2)/2)*BL25*BO25*VLOOKUP('Données projet'!$B$11,Paramètres!$A$1:$I$88,3,0)*0.475*44/12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65.440980737429271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12.6</v>
      </c>
      <c r="BY25" s="13">
        <f>IF('Données projet'!$A$114&gt;35,BY24+BX25-CG24,IF(A25&lt;'Données projet'!$A$114,$BV$205^A25,IF(A25='Données projet'!$A$114,'Données projet'!$B$114,BY24+BX25-CG24)))</f>
        <v>77.199999999999974</v>
      </c>
      <c r="BZ25" s="14">
        <f>BY25*VLOOKUP('Données projet'!$B$12,Paramètres!$A$1:$I$88,3,0)*VLOOKUP('Données projet'!$B$12,Paramètres!$A$1:$I$88,5,0)</f>
        <v>50.581439999999979</v>
      </c>
      <c r="CA25" s="14">
        <f t="shared" si="39"/>
        <v>14.763817888767656</v>
      </c>
      <c r="CB25" s="22">
        <f t="shared" si="10"/>
        <v>113.80965748960364</v>
      </c>
      <c r="CC25" s="62">
        <f t="shared" si="11"/>
        <v>380.64880908239985</v>
      </c>
      <c r="CD25" s="62">
        <f ca="1">AVERAGE(OFFSET($CC$3,0,0,'Données projet'!$E$12+1,1))-AVERAGE(OFFSET($H$3,0,0,'Données projet'!$E$12+1,1))</f>
        <v>270.10151451661864</v>
      </c>
      <c r="CE25" s="62">
        <f t="shared" si="40"/>
        <v>294.47934482366804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projet'!$B$12,Paramètres!$A$1:$I$88,3,0)*0.475*44/12</f>
        <v>0</v>
      </c>
      <c r="CL25" s="23">
        <f>EXP(-LN(2)/25)*CL24+(1-EXP(-LN(2)/25))/(LN(2)/25)*Calculateur!CG25*Calculateur!CI25*VLOOKUP('Données projet'!$B$12,Paramètres!$A$1:$I$88,3,0)*0.475*44/12</f>
        <v>0</v>
      </c>
      <c r="CM25" s="23">
        <f>EXP(-LN(2)/2)*CM24+(1-EXP(-LN(2)/2))/(LN(2)/2)*CG25*CJ25*VLOOKUP('Données projet'!$B$12,Paramètres!$A$1:$I$88,3,0)*0.475*44/12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65.440980737429271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12.6</v>
      </c>
      <c r="CT25" s="13">
        <f>IF('Données projet'!$A$140&gt;35,CT24+CS25-DB24,IF(A25&lt;'Données projet'!$A$140,$CQ$205^A25,IF(A25='Données projet'!$A$140,'Données projet'!$B$140,CT24+CS25-DB24)))</f>
        <v>77.199999999999974</v>
      </c>
      <c r="CU25" s="18">
        <f>CT25*VLOOKUP('Données projet'!$B$13,Paramètres!$A$1:$I$88,3,0)*VLOOKUP('Données projet'!$B$13,Paramètres!$A$1:$I$88,5,0)</f>
        <v>50.581439999999979</v>
      </c>
      <c r="CV25" s="14">
        <f t="shared" si="41"/>
        <v>14.763817888767656</v>
      </c>
      <c r="CW25" s="22">
        <f t="shared" si="13"/>
        <v>113.80965748960364</v>
      </c>
      <c r="CX25" s="62">
        <f t="shared" si="14"/>
        <v>380.64880908239985</v>
      </c>
      <c r="CY25" s="62">
        <f ca="1">AVERAGE(OFFSET($CX$3,0,0,'Données projet'!$E$13+1,1))-AVERAGE(OFFSET($H$3,0,0,'Données projet'!$E$13+1,1))</f>
        <v>270.10151451661864</v>
      </c>
      <c r="CZ25" s="62">
        <f t="shared" si="42"/>
        <v>294.47934482366804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projet'!$B$13,Paramètres!$A$1:$I$88,3,0)*0.475*44/12</f>
        <v>0</v>
      </c>
      <c r="DG25" s="23">
        <f>EXP(-LN(2)/25)*DG24+(1-EXP(-LN(2)/25))/(LN(2)/25)*Calculateur!DB25*Calculateur!DD25*VLOOKUP('Données projet'!$B$13,Paramètres!$A$1:$I$88,3,0)*0.475*44/12</f>
        <v>0</v>
      </c>
      <c r="DH25" s="23">
        <f>EXP(-LN(2)/2)*DH24+(1-EXP(-LN(2)/2))/(LN(2)/2)*DB25*DE25*VLOOKUP('Données projet'!$B$13,Paramètres!$A$1:$I$88,3,0)*0.475*44/12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65.440980737429271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projet'!$B$14,Paramètres!$A$1:$I$88,3,0)*0.475*44/12</f>
        <v>#N/A</v>
      </c>
      <c r="EB25" s="23" t="e">
        <f>EXP(-LN(2)/25)*EB24+(1-EXP(-LN(2)/25))/(LN(2)/25)*Calculateur!DW25*Calculateur!DY25*VLOOKUP('Données projet'!$B$14,Paramètres!$A$1:$I$88,3,0)*0.475*44/12</f>
        <v>#N/A</v>
      </c>
      <c r="EC25" s="23" t="e">
        <f>EXP(-LN(2)/2)*EC24+(1-EXP(-LN(2)/2))/(LN(2)/2)*DW25*DZ25*VLOOKUP('Données projet'!$B$14,Paramètres!$A$1:$I$88,3,0)*0.475*44/12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65.440980737429271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65.440980737429271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65.440980737429271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65.440980737429271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1.34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4.9133333333333331</v>
      </c>
      <c r="H26" s="70">
        <f t="shared" si="1"/>
        <v>237.01333333333332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65.520069529194728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projet'!$B$9,Paramètres!$A$1:$I$88,3,0)*VLOOKUP('Données projet'!$B$9,Paramètres!$A$1:$I$88,5,0)</f>
        <v>59.623200000000011</v>
      </c>
      <c r="P26" s="14">
        <f t="shared" si="33"/>
        <v>17.072967249098898</v>
      </c>
      <c r="Q26" s="22">
        <f t="shared" si="2"/>
        <v>133.57915795884725</v>
      </c>
      <c r="R26" s="62">
        <f t="shared" si="0"/>
        <v>401.93052401033901</v>
      </c>
      <c r="S26" s="62">
        <f ca="1">AVERAGE(OFFSET($R$3,0,0,'Données projet'!$E$9+1,1))-AVERAGE(OFFSET($H$3,0,0,'Données projet'!$E$9+1,1))</f>
        <v>488.16146816015231</v>
      </c>
      <c r="T26" s="62">
        <f t="shared" si="34"/>
        <v>259.37115195552127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65.520069529194728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projet'!$B$10,Paramètres!$A$1:$I$88,3,0)*VLOOKUP('Données projet'!$B$10,Paramètres!$A$1:$I$88,5,0)</f>
        <v>53.202240000000003</v>
      </c>
      <c r="AK26" s="14">
        <f t="shared" si="35"/>
        <v>15.437740642425908</v>
      </c>
      <c r="AL26" s="22">
        <f t="shared" si="4"/>
        <v>119.54796628555846</v>
      </c>
      <c r="AM26" s="62">
        <f t="shared" si="5"/>
        <v>387.89933233705023</v>
      </c>
      <c r="AN26" s="62">
        <f ca="1">AVERAGE(OFFSET($AM$3,0,0,'Données projet'!$E$10+1,1))-AVERAGE(OFFSET($H$3,0,0,'Données projet'!$E$10+1,1))</f>
        <v>441.34749554136755</v>
      </c>
      <c r="AO26" s="62">
        <f t="shared" si="36"/>
        <v>236.49038586666222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0</v>
      </c>
      <c r="AV26" s="23">
        <f>EXP(-LN(2)/25)*AV25+(1-EXP(-LN(2)/25))/(LN(2)/25)*Calculateur!AQ26*Calculateur!AS26*VLOOKUP('Données projet'!$B$10,Paramètres!$A$1:$I$88,3,0)*0.475*44/12</f>
        <v>0</v>
      </c>
      <c r="AW26" s="23">
        <f>EXP(-LN(2)/2)*AW25+(1-EXP(-LN(2)/2))/(LN(2)/2)*AQ26*AT26*VLOOKUP('Données projet'!$B$10,Paramètres!$A$1:$I$88,3,0)*0.475*44/12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65.520069529194728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5.6</v>
      </c>
      <c r="BD26" s="13">
        <f>IF('Données projet'!$A$88&gt;35,BD25+BC26-BL25,IF(A26&lt;'Données projet'!$A$88,$BA$205^A26,IF(A26='Données projet'!$A$88,'Données projet'!$B$88,BD25+BC26-BL25)))</f>
        <v>58.800000000000004</v>
      </c>
      <c r="BE26" s="14">
        <f>BD26*VLOOKUP('Données projet'!$B$11,Paramètres!$A$1:$I$88,3,0)*VLOOKUP('Données projet'!$B$11,Paramètres!$A$1:$I$88,5,0)</f>
        <v>63.292320000000004</v>
      </c>
      <c r="BF26" s="14">
        <f t="shared" si="37"/>
        <v>17.998065245956816</v>
      </c>
      <c r="BG26" s="22">
        <f t="shared" si="7"/>
        <v>141.58075430337479</v>
      </c>
      <c r="BH26" s="62">
        <f t="shared" si="8"/>
        <v>409.93212035486658</v>
      </c>
      <c r="BI26" s="62">
        <f ca="1">AVERAGE(OFFSET($BH$3,0,0,'Données projet'!$E$11+1,1))-AVERAGE(OFFSET($H$3,0,0,'Données projet'!$E$11+1,1))</f>
        <v>514.86487884889584</v>
      </c>
      <c r="BJ26" s="62">
        <f t="shared" si="38"/>
        <v>272.4206208356191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projet'!$B$11,Paramètres!$A$1:$I$88,3,0)*0.475*44/12</f>
        <v>0</v>
      </c>
      <c r="BQ26" s="23">
        <f>EXP(-LN(2)/25)*BQ25+(1-EXP(-LN(2)/25))/(LN(2)/25)*Calculateur!BL26*Calculateur!BN26*VLOOKUP('Données projet'!$B$11,Paramètres!$A$1:$I$88,3,0)*0.475*44/12</f>
        <v>0</v>
      </c>
      <c r="BR26" s="23">
        <f>EXP(-LN(2)/2)*BR25+(1-EXP(-LN(2)/2))/(LN(2)/2)*BL26*BO26*VLOOKUP('Données projet'!$B$11,Paramètres!$A$1:$I$88,3,0)*0.475*44/12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65.520069529194728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12.6</v>
      </c>
      <c r="BY26" s="13">
        <f>IF('Données projet'!$A$114&gt;35,BY25+BX26-CG25,IF(A26&lt;'Données projet'!$A$114,$BV$205^A26,IF(A26='Données projet'!$A$114,'Données projet'!$B$114,BY25+BX26-CG25)))</f>
        <v>89.799999999999969</v>
      </c>
      <c r="BZ26" s="14">
        <f>BY26*VLOOKUP('Données projet'!$B$12,Paramètres!$A$1:$I$88,3,0)*VLOOKUP('Données projet'!$B$12,Paramètres!$A$1:$I$88,5,0)</f>
        <v>58.836959999999983</v>
      </c>
      <c r="CA26" s="14">
        <f t="shared" si="39"/>
        <v>16.873881856791602</v>
      </c>
      <c r="CB26" s="22">
        <f t="shared" si="10"/>
        <v>131.86304956724535</v>
      </c>
      <c r="CC26" s="62">
        <f t="shared" si="11"/>
        <v>400.21441561873712</v>
      </c>
      <c r="CD26" s="62">
        <f ca="1">AVERAGE(OFFSET($CC$3,0,0,'Données projet'!$E$12+1,1))-AVERAGE(OFFSET($H$3,0,0,'Données projet'!$E$12+1,1))</f>
        <v>270.10151451661864</v>
      </c>
      <c r="CE26" s="62">
        <f t="shared" si="40"/>
        <v>294.47934482366804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projet'!$B$12,Paramètres!$A$1:$I$88,3,0)*0.475*44/12</f>
        <v>0</v>
      </c>
      <c r="CL26" s="23">
        <f>EXP(-LN(2)/25)*CL25+(1-EXP(-LN(2)/25))/(LN(2)/25)*Calculateur!CG26*Calculateur!CI26*VLOOKUP('Données projet'!$B$12,Paramètres!$A$1:$I$88,3,0)*0.475*44/12</f>
        <v>0</v>
      </c>
      <c r="CM26" s="23">
        <f>EXP(-LN(2)/2)*CM25+(1-EXP(-LN(2)/2))/(LN(2)/2)*CG26*CJ26*VLOOKUP('Données projet'!$B$12,Paramètres!$A$1:$I$88,3,0)*0.475*44/12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65.520069529194728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12.6</v>
      </c>
      <c r="CT26" s="13">
        <f>IF('Données projet'!$A$140&gt;35,CT25+CS26-DB25,IF(A26&lt;'Données projet'!$A$140,$CQ$205^A26,IF(A26='Données projet'!$A$140,'Données projet'!$B$140,CT25+CS26-DB25)))</f>
        <v>89.799999999999969</v>
      </c>
      <c r="CU26" s="18">
        <f>CT26*VLOOKUP('Données projet'!$B$13,Paramètres!$A$1:$I$88,3,0)*VLOOKUP('Données projet'!$B$13,Paramètres!$A$1:$I$88,5,0)</f>
        <v>58.836959999999983</v>
      </c>
      <c r="CV26" s="14">
        <f t="shared" si="41"/>
        <v>16.873881856791602</v>
      </c>
      <c r="CW26" s="22">
        <f t="shared" si="13"/>
        <v>131.86304956724535</v>
      </c>
      <c r="CX26" s="62">
        <f t="shared" si="14"/>
        <v>400.21441561873712</v>
      </c>
      <c r="CY26" s="62">
        <f ca="1">AVERAGE(OFFSET($CX$3,0,0,'Données projet'!$E$13+1,1))-AVERAGE(OFFSET($H$3,0,0,'Données projet'!$E$13+1,1))</f>
        <v>270.10151451661864</v>
      </c>
      <c r="CZ26" s="62">
        <f t="shared" si="42"/>
        <v>294.47934482366804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projet'!$B$13,Paramètres!$A$1:$I$88,3,0)*0.475*44/12</f>
        <v>0</v>
      </c>
      <c r="DG26" s="23">
        <f>EXP(-LN(2)/25)*DG25+(1-EXP(-LN(2)/25))/(LN(2)/25)*Calculateur!DB26*Calculateur!DD26*VLOOKUP('Données projet'!$B$13,Paramètres!$A$1:$I$88,3,0)*0.475*44/12</f>
        <v>0</v>
      </c>
      <c r="DH26" s="23">
        <f>EXP(-LN(2)/2)*DH25+(1-EXP(-LN(2)/2))/(LN(2)/2)*DB26*DE26*VLOOKUP('Données projet'!$B$13,Paramètres!$A$1:$I$88,3,0)*0.475*44/12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65.520069529194728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projet'!$B$14,Paramètres!$A$1:$I$88,3,0)*0.475*44/12</f>
        <v>#N/A</v>
      </c>
      <c r="EB26" s="23" t="e">
        <f>EXP(-LN(2)/25)*EB25+(1-EXP(-LN(2)/25))/(LN(2)/25)*Calculateur!DW26*Calculateur!DY26*VLOOKUP('Données projet'!$B$14,Paramètres!$A$1:$I$88,3,0)*0.475*44/12</f>
        <v>#N/A</v>
      </c>
      <c r="EC26" s="23" t="e">
        <f>EXP(-LN(2)/2)*EC25+(1-EXP(-LN(2)/2))/(LN(2)/2)*DW26*DZ26*VLOOKUP('Données projet'!$B$14,Paramètres!$A$1:$I$88,3,0)*0.475*44/12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65.520069529194728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65.520069529194728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65.520069529194728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65.520069529194728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1.34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4.9133333333333331</v>
      </c>
      <c r="H27" s="70">
        <f t="shared" si="1"/>
        <v>237.01333333333332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65.597786307239119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projet'!$B$9,Paramètres!$A$1:$I$88,3,0)*VLOOKUP('Données projet'!$B$9,Paramètres!$A$1:$I$88,5,0)</f>
        <v>65.301600000000008</v>
      </c>
      <c r="P27" s="14">
        <f t="shared" si="33"/>
        <v>18.502003309535596</v>
      </c>
      <c r="Q27" s="22">
        <f t="shared" si="2"/>
        <v>145.95794243077449</v>
      </c>
      <c r="R27" s="62">
        <f t="shared" si="0"/>
        <v>415.8164922239846</v>
      </c>
      <c r="S27" s="62">
        <f ca="1">AVERAGE(OFFSET($R$3,0,0,'Données projet'!$E$9+1,1))-AVERAGE(OFFSET($H$3,0,0,'Données projet'!$E$9+1,1))</f>
        <v>488.16146816015231</v>
      </c>
      <c r="T27" s="62">
        <f t="shared" si="34"/>
        <v>259.37115195552127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65.597786307239119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projet'!$B$10,Paramètres!$A$1:$I$88,3,0)*VLOOKUP('Données projet'!$B$10,Paramètres!$A$1:$I$88,5,0)</f>
        <v>58.269120000000008</v>
      </c>
      <c r="AK27" s="14">
        <f t="shared" si="35"/>
        <v>16.729905486873804</v>
      </c>
      <c r="AL27" s="22">
        <f t="shared" si="4"/>
        <v>130.62330272297189</v>
      </c>
      <c r="AM27" s="62">
        <f t="shared" si="5"/>
        <v>400.48185251618202</v>
      </c>
      <c r="AN27" s="62">
        <f ca="1">AVERAGE(OFFSET($AM$3,0,0,'Données projet'!$E$10+1,1))-AVERAGE(OFFSET($H$3,0,0,'Données projet'!$E$10+1,1))</f>
        <v>441.34749554136755</v>
      </c>
      <c r="AO27" s="62">
        <f t="shared" si="36"/>
        <v>236.49038586666222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0</v>
      </c>
      <c r="AV27" s="23">
        <f>EXP(-LN(2)/25)*AV26+(1-EXP(-LN(2)/25))/(LN(2)/25)*Calculateur!AQ27*Calculateur!AS27*VLOOKUP('Données projet'!$B$10,Paramètres!$A$1:$I$88,3,0)*0.475*44/12</f>
        <v>0</v>
      </c>
      <c r="AW27" s="23">
        <f>EXP(-LN(2)/2)*AW26+(1-EXP(-LN(2)/2))/(LN(2)/2)*AQ27*AT27*VLOOKUP('Données projet'!$B$10,Paramètres!$A$1:$I$88,3,0)*0.475*44/12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65.597786307239119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5.6</v>
      </c>
      <c r="BD27" s="13">
        <f>IF('Données projet'!$A$88&gt;35,BD26+BC27-BL26,IF(A27&lt;'Données projet'!$A$88,$BA$205^A27,IF(A27='Données projet'!$A$88,'Données projet'!$B$88,BD26+BC27-BL26)))</f>
        <v>64.400000000000006</v>
      </c>
      <c r="BE27" s="14">
        <f>BD27*VLOOKUP('Données projet'!$B$11,Paramètres!$A$1:$I$88,3,0)*VLOOKUP('Données projet'!$B$11,Paramètres!$A$1:$I$88,5,0)</f>
        <v>69.320160000000001</v>
      </c>
      <c r="BF27" s="14">
        <f t="shared" si="37"/>
        <v>19.50453356393022</v>
      </c>
      <c r="BG27" s="22">
        <f t="shared" si="7"/>
        <v>154.70300795717847</v>
      </c>
      <c r="BH27" s="62">
        <f t="shared" si="8"/>
        <v>424.5615577503886</v>
      </c>
      <c r="BI27" s="62">
        <f ca="1">AVERAGE(OFFSET($BH$3,0,0,'Données projet'!$E$11+1,1))-AVERAGE(OFFSET($H$3,0,0,'Données projet'!$E$11+1,1))</f>
        <v>514.86487884889584</v>
      </c>
      <c r="BJ27" s="62">
        <f t="shared" si="38"/>
        <v>272.4206208356191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projet'!$B$11,Paramètres!$A$1:$I$88,3,0)*0.475*44/12</f>
        <v>0</v>
      </c>
      <c r="BQ27" s="23">
        <f>EXP(-LN(2)/25)*BQ26+(1-EXP(-LN(2)/25))/(LN(2)/25)*Calculateur!BL27*Calculateur!BN27*VLOOKUP('Données projet'!$B$11,Paramètres!$A$1:$I$88,3,0)*0.475*44/12</f>
        <v>0</v>
      </c>
      <c r="BR27" s="23">
        <f>EXP(-LN(2)/2)*BR26+(1-EXP(-LN(2)/2))/(LN(2)/2)*BL27*BO27*VLOOKUP('Données projet'!$B$11,Paramètres!$A$1:$I$88,3,0)*0.475*44/12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65.597786307239119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12.6</v>
      </c>
      <c r="BY27" s="13">
        <f>IF('Données projet'!$A$114&gt;35,BY26+BX27-CG26,IF(A27&lt;'Données projet'!$A$114,$BV$205^A27,IF(A27='Données projet'!$A$114,'Données projet'!$B$114,BY26+BX27-CG26)))</f>
        <v>102.39999999999996</v>
      </c>
      <c r="BZ27" s="14">
        <f>BY27*VLOOKUP('Données projet'!$B$12,Paramètres!$A$1:$I$88,3,0)*VLOOKUP('Données projet'!$B$12,Paramètres!$A$1:$I$88,5,0)</f>
        <v>67.092479999999966</v>
      </c>
      <c r="CA27" s="14">
        <f t="shared" si="39"/>
        <v>18.949644838115674</v>
      </c>
      <c r="CB27" s="22">
        <f t="shared" si="10"/>
        <v>149.85670075971805</v>
      </c>
      <c r="CC27" s="62">
        <f t="shared" si="11"/>
        <v>419.71525055292818</v>
      </c>
      <c r="CD27" s="62">
        <f ca="1">AVERAGE(OFFSET($CC$3,0,0,'Données projet'!$E$12+1,1))-AVERAGE(OFFSET($H$3,0,0,'Données projet'!$E$12+1,1))</f>
        <v>270.10151451661864</v>
      </c>
      <c r="CE27" s="62">
        <f t="shared" si="40"/>
        <v>294.47934482366804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projet'!$B$12,Paramètres!$A$1:$I$88,3,0)*0.475*44/12</f>
        <v>0</v>
      </c>
      <c r="CL27" s="23">
        <f>EXP(-LN(2)/25)*CL26+(1-EXP(-LN(2)/25))/(LN(2)/25)*Calculateur!CG27*Calculateur!CI27*VLOOKUP('Données projet'!$B$12,Paramètres!$A$1:$I$88,3,0)*0.475*44/12</f>
        <v>0</v>
      </c>
      <c r="CM27" s="23">
        <f>EXP(-LN(2)/2)*CM26+(1-EXP(-LN(2)/2))/(LN(2)/2)*CG27*CJ27*VLOOKUP('Données projet'!$B$12,Paramètres!$A$1:$I$88,3,0)*0.475*44/12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65.597786307239119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12.6</v>
      </c>
      <c r="CT27" s="13">
        <f>IF('Données projet'!$A$140&gt;35,CT26+CS27-DB26,IF(A27&lt;'Données projet'!$A$140,$CQ$205^A27,IF(A27='Données projet'!$A$140,'Données projet'!$B$140,CT26+CS27-DB26)))</f>
        <v>102.39999999999996</v>
      </c>
      <c r="CU27" s="18">
        <f>CT27*VLOOKUP('Données projet'!$B$13,Paramètres!$A$1:$I$88,3,0)*VLOOKUP('Données projet'!$B$13,Paramètres!$A$1:$I$88,5,0)</f>
        <v>67.092479999999966</v>
      </c>
      <c r="CV27" s="14">
        <f t="shared" si="41"/>
        <v>18.949644838115674</v>
      </c>
      <c r="CW27" s="22">
        <f t="shared" si="13"/>
        <v>149.85670075971805</v>
      </c>
      <c r="CX27" s="62">
        <f t="shared" si="14"/>
        <v>419.71525055292818</v>
      </c>
      <c r="CY27" s="62">
        <f ca="1">AVERAGE(OFFSET($CX$3,0,0,'Données projet'!$E$13+1,1))-AVERAGE(OFFSET($H$3,0,0,'Données projet'!$E$13+1,1))</f>
        <v>270.10151451661864</v>
      </c>
      <c r="CZ27" s="62">
        <f t="shared" si="42"/>
        <v>294.47934482366804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projet'!$B$13,Paramètres!$A$1:$I$88,3,0)*0.475*44/12</f>
        <v>0</v>
      </c>
      <c r="DG27" s="23">
        <f>EXP(-LN(2)/25)*DG26+(1-EXP(-LN(2)/25))/(LN(2)/25)*Calculateur!DB27*Calculateur!DD27*VLOOKUP('Données projet'!$B$13,Paramètres!$A$1:$I$88,3,0)*0.475*44/12</f>
        <v>0</v>
      </c>
      <c r="DH27" s="23">
        <f>EXP(-LN(2)/2)*DH26+(1-EXP(-LN(2)/2))/(LN(2)/2)*DB27*DE27*VLOOKUP('Données projet'!$B$13,Paramètres!$A$1:$I$88,3,0)*0.475*44/12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65.597786307239119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projet'!$B$14,Paramètres!$A$1:$I$88,3,0)*0.475*44/12</f>
        <v>#N/A</v>
      </c>
      <c r="EB27" s="23" t="e">
        <f>EXP(-LN(2)/25)*EB26+(1-EXP(-LN(2)/25))/(LN(2)/25)*Calculateur!DW27*Calculateur!DY27*VLOOKUP('Données projet'!$B$14,Paramètres!$A$1:$I$88,3,0)*0.475*44/12</f>
        <v>#N/A</v>
      </c>
      <c r="EC27" s="23" t="e">
        <f>EXP(-LN(2)/2)*EC26+(1-EXP(-LN(2)/2))/(LN(2)/2)*DW27*DZ27*VLOOKUP('Données projet'!$B$14,Paramètres!$A$1:$I$88,3,0)*0.475*44/12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65.597786307239119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65.597786307239119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65.597786307239119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65.597786307239119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1.34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4.9133333333333331</v>
      </c>
      <c r="H28" s="70">
        <f t="shared" si="1"/>
        <v>237.01333333333332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65.67415487293313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projet'!$B$9,Paramètres!$A$1:$I$88,3,0)*VLOOKUP('Données projet'!$B$9,Paramètres!$A$1:$I$88,5,0)</f>
        <v>70.98</v>
      </c>
      <c r="P28" s="14">
        <f t="shared" si="33"/>
        <v>19.916628839746853</v>
      </c>
      <c r="Q28" s="22">
        <f t="shared" si="2"/>
        <v>158.31162856255909</v>
      </c>
      <c r="R28" s="62">
        <f t="shared" si="0"/>
        <v>429.67241865220274</v>
      </c>
      <c r="S28" s="62">
        <f ca="1">AVERAGE(OFFSET($R$3,0,0,'Données projet'!$E$9+1,1))-AVERAGE(OFFSET($H$3,0,0,'Données projet'!$E$9+1,1))</f>
        <v>488.16146816015231</v>
      </c>
      <c r="T28" s="62">
        <f t="shared" si="34"/>
        <v>259.37115195552127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65.67415487293313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projet'!$B$10,Paramètres!$A$1:$I$88,3,0)*VLOOKUP('Données projet'!$B$10,Paramètres!$A$1:$I$88,5,0)</f>
        <v>63.335999999999991</v>
      </c>
      <c r="AK28" s="14">
        <f t="shared" si="35"/>
        <v>18.009040022946227</v>
      </c>
      <c r="AL28" s="22">
        <f t="shared" si="4"/>
        <v>141.67594470663133</v>
      </c>
      <c r="AM28" s="62">
        <f t="shared" si="5"/>
        <v>413.03673479627503</v>
      </c>
      <c r="AN28" s="62">
        <f ca="1">AVERAGE(OFFSET($AM$3,0,0,'Données projet'!$E$10+1,1))-AVERAGE(OFFSET($H$3,0,0,'Données projet'!$E$10+1,1))</f>
        <v>441.34749554136755</v>
      </c>
      <c r="AO28" s="62">
        <f t="shared" si="36"/>
        <v>236.49038586666222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projet'!$B$10,Paramètres!$A$1:$I$88,3,0)*0.475*44/12</f>
        <v>0</v>
      </c>
      <c r="AV28" s="23">
        <f>EXP(-LN(2)/25)*AV27+(1-EXP(-LN(2)/25))/(LN(2)/25)*Calculateur!AQ28*Calculateur!AS28*VLOOKUP('Données projet'!$B$10,Paramètres!$A$1:$I$88,3,0)*0.475*44/12</f>
        <v>0</v>
      </c>
      <c r="AW28" s="23">
        <f>EXP(-LN(2)/2)*AW27+(1-EXP(-LN(2)/2))/(LN(2)/2)*AQ28*AT28*VLOOKUP('Données projet'!$B$10,Paramètres!$A$1:$I$88,3,0)*0.475*44/12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65.67415487293313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70</v>
      </c>
      <c r="BB28" s="13">
        <f>VLOOKUP(A28,'Données projet'!$A$87:$I$107,9,0)</f>
        <v>5.6</v>
      </c>
      <c r="BC28" s="13">
        <f t="array" ref="BC28">INDEX(BB:BB,MIN(IF(ISNUMBER(BB28:BB224),ROW(BB28:BB224),"")))</f>
        <v>5.6</v>
      </c>
      <c r="BD28" s="13">
        <f>IF('Données projet'!$A$88&gt;35,BD27+BC28-BL27,IF(A28&lt;'Données projet'!$A$88,$BA$205^A28,IF(A28='Données projet'!$A$88,'Données projet'!$B$88,BD27+BC28-BL27)))</f>
        <v>70</v>
      </c>
      <c r="BE28" s="14">
        <f>BD28*VLOOKUP('Données projet'!$B$11,Paramètres!$A$1:$I$88,3,0)*VLOOKUP('Données projet'!$B$11,Paramètres!$A$1:$I$88,5,0)</f>
        <v>75.347999999999999</v>
      </c>
      <c r="BF28" s="14">
        <f t="shared" si="37"/>
        <v>20.99581051771704</v>
      </c>
      <c r="BG28" s="22">
        <f t="shared" si="7"/>
        <v>167.79880331835713</v>
      </c>
      <c r="BH28" s="62">
        <f t="shared" si="8"/>
        <v>439.15959340800077</v>
      </c>
      <c r="BI28" s="62">
        <f ca="1">AVERAGE(OFFSET($BH$3,0,0,'Données projet'!$E$11+1,1))-AVERAGE(OFFSET($H$3,0,0,'Données projet'!$E$11+1,1))</f>
        <v>514.86487884889584</v>
      </c>
      <c r="BJ28" s="62">
        <f t="shared" si="38"/>
        <v>272.4206208356191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projet'!$B$11,Paramètres!$A$1:$I$88,3,0)*0.475*44/12</f>
        <v>0</v>
      </c>
      <c r="BQ28" s="23">
        <f>EXP(-LN(2)/25)*BQ27+(1-EXP(-LN(2)/25))/(LN(2)/25)*Calculateur!BL28*Calculateur!BN28*VLOOKUP('Données projet'!$B$11,Paramètres!$A$1:$I$88,3,0)*0.475*44/12</f>
        <v>0</v>
      </c>
      <c r="BR28" s="23">
        <f>EXP(-LN(2)/2)*BR27+(1-EXP(-LN(2)/2))/(LN(2)/2)*BL28*BO28*VLOOKUP('Données projet'!$B$11,Paramètres!$A$1:$I$88,3,0)*0.475*44/12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65.67415487293313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115</v>
      </c>
      <c r="BW28" s="13">
        <f>VLOOKUP(A28,'Données projet'!$A$113:$I$133,9,0)</f>
        <v>12.6</v>
      </c>
      <c r="BX28" s="13">
        <f t="array" ref="BX28">INDEX(BW:BW,MIN(IF(ISNUMBER(BW28:BW224),ROW(BW28:BW224),"")))</f>
        <v>12.6</v>
      </c>
      <c r="BY28" s="13">
        <f>IF('Données projet'!$A$114&gt;35,BY27+BX28-CG27,IF(A28&lt;'Données projet'!$A$114,$BV$205^A28,IF(A28='Données projet'!$A$114,'Données projet'!$B$114,BY27+BX28-CG27)))</f>
        <v>114.99999999999996</v>
      </c>
      <c r="BZ28" s="14">
        <f>BY28*VLOOKUP('Données projet'!$B$12,Paramètres!$A$1:$I$88,3,0)*VLOOKUP('Données projet'!$B$12,Paramètres!$A$1:$I$88,5,0)</f>
        <v>75.347999999999971</v>
      </c>
      <c r="CA28" s="14">
        <f t="shared" si="39"/>
        <v>20.99581051771704</v>
      </c>
      <c r="CB28" s="22">
        <f t="shared" si="10"/>
        <v>167.79880331835713</v>
      </c>
      <c r="CC28" s="62">
        <f t="shared" si="11"/>
        <v>439.15959340800077</v>
      </c>
      <c r="CD28" s="62">
        <f ca="1">AVERAGE(OFFSET($CC$3,0,0,'Données projet'!$E$12+1,1))-AVERAGE(OFFSET($H$3,0,0,'Données projet'!$E$12+1,1))</f>
        <v>270.10151451661864</v>
      </c>
      <c r="CE28" s="62">
        <f t="shared" si="40"/>
        <v>294.47934482366804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projet'!$B$12,Paramètres!$A$1:$I$88,3,0)*0.475*44/12</f>
        <v>0</v>
      </c>
      <c r="CL28" s="23">
        <f>EXP(-LN(2)/25)*CL27+(1-EXP(-LN(2)/25))/(LN(2)/25)*Calculateur!CG28*Calculateur!CI28*VLOOKUP('Données projet'!$B$12,Paramètres!$A$1:$I$88,3,0)*0.475*44/12</f>
        <v>0</v>
      </c>
      <c r="CM28" s="23">
        <f>EXP(-LN(2)/2)*CM27+(1-EXP(-LN(2)/2))/(LN(2)/2)*CG28*CJ28*VLOOKUP('Données projet'!$B$12,Paramètres!$A$1:$I$88,3,0)*0.475*44/12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65.67415487293313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115</v>
      </c>
      <c r="CR28" s="13">
        <f>VLOOKUP(A28,'Données projet'!$A$139:$I$159,9,0)</f>
        <v>12.6</v>
      </c>
      <c r="CS28" s="13">
        <f t="array" ref="CS28">INDEX(CR:CR,MIN(IF(ISNUMBER(CR28:CR224),ROW(CR28:CR224),"")))</f>
        <v>12.6</v>
      </c>
      <c r="CT28" s="13">
        <f>IF('Données projet'!$A$140&gt;35,CT27+CS28-DB27,IF(A28&lt;'Données projet'!$A$140,$CQ$205^A28,IF(A28='Données projet'!$A$140,'Données projet'!$B$140,CT27+CS28-DB27)))</f>
        <v>114.99999999999996</v>
      </c>
      <c r="CU28" s="18">
        <f>CT28*VLOOKUP('Données projet'!$B$13,Paramètres!$A$1:$I$88,3,0)*VLOOKUP('Données projet'!$B$13,Paramètres!$A$1:$I$88,5,0)</f>
        <v>75.347999999999971</v>
      </c>
      <c r="CV28" s="14">
        <f t="shared" si="41"/>
        <v>20.99581051771704</v>
      </c>
      <c r="CW28" s="22">
        <f t="shared" si="13"/>
        <v>167.79880331835713</v>
      </c>
      <c r="CX28" s="62">
        <f t="shared" si="14"/>
        <v>439.15959340800077</v>
      </c>
      <c r="CY28" s="62">
        <f ca="1">AVERAGE(OFFSET($CX$3,0,0,'Données projet'!$E$13+1,1))-AVERAGE(OFFSET($H$3,0,0,'Données projet'!$E$13+1,1))</f>
        <v>270.10151451661864</v>
      </c>
      <c r="CZ28" s="62">
        <f t="shared" si="42"/>
        <v>294.47934482366804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projet'!$B$13,Paramètres!$A$1:$I$88,3,0)*0.475*44/12</f>
        <v>0</v>
      </c>
      <c r="DG28" s="23">
        <f>EXP(-LN(2)/25)*DG27+(1-EXP(-LN(2)/25))/(LN(2)/25)*Calculateur!DB28*Calculateur!DD28*VLOOKUP('Données projet'!$B$13,Paramètres!$A$1:$I$88,3,0)*0.475*44/12</f>
        <v>0</v>
      </c>
      <c r="DH28" s="23">
        <f>EXP(-LN(2)/2)*DH27+(1-EXP(-LN(2)/2))/(LN(2)/2)*DB28*DE28*VLOOKUP('Données projet'!$B$13,Paramètres!$A$1:$I$88,3,0)*0.475*44/12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65.67415487293313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projet'!$B$14,Paramètres!$A$1:$I$88,3,0)*0.475*44/12</f>
        <v>#N/A</v>
      </c>
      <c r="EB28" s="23" t="e">
        <f>EXP(-LN(2)/25)*EB27+(1-EXP(-LN(2)/25))/(LN(2)/25)*Calculateur!DW28*Calculateur!DY28*VLOOKUP('Données projet'!$B$14,Paramètres!$A$1:$I$88,3,0)*0.475*44/12</f>
        <v>#N/A</v>
      </c>
      <c r="EC28" s="23" t="e">
        <f>EXP(-LN(2)/2)*EC27+(1-EXP(-LN(2)/2))/(LN(2)/2)*DW28*DZ28*VLOOKUP('Données projet'!$B$14,Paramètres!$A$1:$I$88,3,0)*0.475*44/12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65.67415487293313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65.67415487293313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65.67415487293313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65.67415487293313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1.34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4.9133333333333331</v>
      </c>
      <c r="H29" s="70">
        <f t="shared" si="1"/>
        <v>237.01333333333332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65.749198614746874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projet'!$B$9,Paramètres!$A$1:$I$88,3,0)*VLOOKUP('Données projet'!$B$9,Paramètres!$A$1:$I$88,5,0)</f>
        <v>69.966000000000008</v>
      </c>
      <c r="P29" s="14">
        <f t="shared" si="33"/>
        <v>19.665013934342461</v>
      </c>
      <c r="Q29" s="22">
        <f t="shared" si="2"/>
        <v>156.10734926897979</v>
      </c>
      <c r="R29" s="62">
        <f t="shared" si="0"/>
        <v>428.9655219674961</v>
      </c>
      <c r="S29" s="62">
        <f ca="1">AVERAGE(OFFSET($R$3,0,0,'Données projet'!$E$9+1,1))-AVERAGE(OFFSET($H$3,0,0,'Données projet'!$E$9+1,1))</f>
        <v>488.16146816015231</v>
      </c>
      <c r="T29" s="62">
        <f t="shared" si="34"/>
        <v>259.37115195552127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65.749198614746874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69</v>
      </c>
      <c r="AJ29" s="14">
        <f>AI29*VLOOKUP('Données projet'!$B$10,Paramètres!$A$1:$I$88,3,0)*VLOOKUP('Données projet'!$B$10,Paramètres!$A$1:$I$88,5,0)</f>
        <v>62.431199999999997</v>
      </c>
      <c r="AK29" s="14">
        <f t="shared" si="35"/>
        <v>17.781524466058684</v>
      </c>
      <c r="AL29" s="22">
        <f t="shared" si="4"/>
        <v>139.70382844505221</v>
      </c>
      <c r="AM29" s="62">
        <f t="shared" si="5"/>
        <v>412.56200114356852</v>
      </c>
      <c r="AN29" s="62">
        <f ca="1">AVERAGE(OFFSET($AM$3,0,0,'Données projet'!$E$10+1,1))-AVERAGE(OFFSET($H$3,0,0,'Données projet'!$E$10+1,1))</f>
        <v>441.34749554136755</v>
      </c>
      <c r="AO29" s="62">
        <f t="shared" si="36"/>
        <v>236.49038586666222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0</v>
      </c>
      <c r="AV29" s="23">
        <f>EXP(-LN(2)/25)*AV28+(1-EXP(-LN(2)/25))/(LN(2)/25)*Calculateur!AQ29*Calculateur!AS29*VLOOKUP('Données projet'!$B$10,Paramètres!$A$1:$I$88,3,0)*0.475*44/12</f>
        <v>0</v>
      </c>
      <c r="AW29" s="23">
        <f>EXP(-LN(2)/2)*AW28+(1-EXP(-LN(2)/2))/(LN(2)/2)*AQ29*AT29*VLOOKUP('Données projet'!$B$10,Paramètres!$A$1:$I$88,3,0)*0.475*44/12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65.749198614746874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69</v>
      </c>
      <c r="BE29" s="14">
        <f>BD29*VLOOKUP('Données projet'!$B$11,Paramètres!$A$1:$I$88,3,0)*VLOOKUP('Données projet'!$B$11,Paramètres!$A$1:$I$88,5,0)</f>
        <v>74.271600000000007</v>
      </c>
      <c r="BF29" s="14">
        <f t="shared" si="37"/>
        <v>20.730561869473863</v>
      </c>
      <c r="BG29" s="22">
        <f t="shared" si="7"/>
        <v>165.46209858933364</v>
      </c>
      <c r="BH29" s="62">
        <f t="shared" si="8"/>
        <v>438.32027128785001</v>
      </c>
      <c r="BI29" s="62">
        <f ca="1">AVERAGE(OFFSET($BH$3,0,0,'Données projet'!$E$11+1,1))-AVERAGE(OFFSET($H$3,0,0,'Données projet'!$E$11+1,1))</f>
        <v>514.86487884889584</v>
      </c>
      <c r="BJ29" s="62">
        <f t="shared" si="38"/>
        <v>272.4206208356191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projet'!$B$11,Paramètres!$A$1:$I$88,3,0)*0.475*44/12</f>
        <v>0</v>
      </c>
      <c r="BQ29" s="23">
        <f>EXP(-LN(2)/25)*BQ28+(1-EXP(-LN(2)/25))/(LN(2)/25)*Calculateur!BL29*Calculateur!BN29*VLOOKUP('Données projet'!$B$11,Paramètres!$A$1:$I$88,3,0)*0.475*44/12</f>
        <v>0</v>
      </c>
      <c r="BR29" s="23">
        <f>EXP(-LN(2)/2)*BR28+(1-EXP(-LN(2)/2))/(LN(2)/2)*BL29*BO29*VLOOKUP('Données projet'!$B$11,Paramètres!$A$1:$I$88,3,0)*0.475*44/12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65.749198614746874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12</v>
      </c>
      <c r="BY29" s="13">
        <f>IF('Données projet'!$A$114&gt;35,BY28+BX29-CG28,IF(A29&lt;'Données projet'!$A$114,$BV$205^A29,IF(A29='Données projet'!$A$114,'Données projet'!$B$114,BY28+BX29-CG28)))</f>
        <v>126.99999999999996</v>
      </c>
      <c r="BZ29" s="14">
        <f>BY29*VLOOKUP('Données projet'!$B$12,Paramètres!$A$1:$I$88,3,0)*VLOOKUP('Données projet'!$B$12,Paramètres!$A$1:$I$88,5,0)</f>
        <v>83.210399999999979</v>
      </c>
      <c r="CA29" s="14">
        <f t="shared" si="39"/>
        <v>22.920337105048574</v>
      </c>
      <c r="CB29" s="22">
        <f t="shared" si="10"/>
        <v>184.84436712462625</v>
      </c>
      <c r="CC29" s="62">
        <f t="shared" si="11"/>
        <v>457.70253982314262</v>
      </c>
      <c r="CD29" s="62">
        <f ca="1">AVERAGE(OFFSET($CC$3,0,0,'Données projet'!$E$12+1,1))-AVERAGE(OFFSET($H$3,0,0,'Données projet'!$E$12+1,1))</f>
        <v>270.10151451661864</v>
      </c>
      <c r="CE29" s="62">
        <f t="shared" si="40"/>
        <v>294.47934482366804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projet'!$B$12,Paramètres!$A$1:$I$88,3,0)*0.475*44/12</f>
        <v>0</v>
      </c>
      <c r="CL29" s="23">
        <f>EXP(-LN(2)/25)*CL28+(1-EXP(-LN(2)/25))/(LN(2)/25)*Calculateur!CG29*Calculateur!CI29*VLOOKUP('Données projet'!$B$12,Paramètres!$A$1:$I$88,3,0)*0.475*44/12</f>
        <v>0</v>
      </c>
      <c r="CM29" s="23">
        <f>EXP(-LN(2)/2)*CM28+(1-EXP(-LN(2)/2))/(LN(2)/2)*CG29*CJ29*VLOOKUP('Données projet'!$B$12,Paramètres!$A$1:$I$88,3,0)*0.475*44/12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65.749198614746874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12</v>
      </c>
      <c r="CT29" s="13">
        <f>IF('Données projet'!$A$140&gt;35,CT28+CS29-DB28,IF(A29&lt;'Données projet'!$A$140,$CQ$205^A29,IF(A29='Données projet'!$A$140,'Données projet'!$B$140,CT28+CS29-DB28)))</f>
        <v>126.99999999999996</v>
      </c>
      <c r="CU29" s="18">
        <f>CT29*VLOOKUP('Données projet'!$B$13,Paramètres!$A$1:$I$88,3,0)*VLOOKUP('Données projet'!$B$13,Paramètres!$A$1:$I$88,5,0)</f>
        <v>83.210399999999979</v>
      </c>
      <c r="CV29" s="14">
        <f t="shared" si="41"/>
        <v>22.920337105048574</v>
      </c>
      <c r="CW29" s="22">
        <f t="shared" si="13"/>
        <v>184.84436712462625</v>
      </c>
      <c r="CX29" s="62">
        <f t="shared" si="14"/>
        <v>457.70253982314262</v>
      </c>
      <c r="CY29" s="62">
        <f ca="1">AVERAGE(OFFSET($CX$3,0,0,'Données projet'!$E$13+1,1))-AVERAGE(OFFSET($H$3,0,0,'Données projet'!$E$13+1,1))</f>
        <v>270.10151451661864</v>
      </c>
      <c r="CZ29" s="62">
        <f t="shared" si="42"/>
        <v>294.47934482366804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projet'!$B$13,Paramètres!$A$1:$I$88,3,0)*0.475*44/12</f>
        <v>0</v>
      </c>
      <c r="DG29" s="23">
        <f>EXP(-LN(2)/25)*DG28+(1-EXP(-LN(2)/25))/(LN(2)/25)*Calculateur!DB29*Calculateur!DD29*VLOOKUP('Données projet'!$B$13,Paramètres!$A$1:$I$88,3,0)*0.475*44/12</f>
        <v>0</v>
      </c>
      <c r="DH29" s="23">
        <f>EXP(-LN(2)/2)*DH28+(1-EXP(-LN(2)/2))/(LN(2)/2)*DB29*DE29*VLOOKUP('Données projet'!$B$13,Paramètres!$A$1:$I$88,3,0)*0.475*44/12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65.749198614746874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projet'!$B$14,Paramètres!$A$1:$I$88,3,0)*0.475*44/12</f>
        <v>#N/A</v>
      </c>
      <c r="EB29" s="23" t="e">
        <f>EXP(-LN(2)/25)*EB28+(1-EXP(-LN(2)/25))/(LN(2)/25)*Calculateur!DW29*Calculateur!DY29*VLOOKUP('Données projet'!$B$14,Paramètres!$A$1:$I$88,3,0)*0.475*44/12</f>
        <v>#N/A</v>
      </c>
      <c r="EC29" s="23" t="e">
        <f>EXP(-LN(2)/2)*EC28+(1-EXP(-LN(2)/2))/(LN(2)/2)*DW29*DZ29*VLOOKUP('Données projet'!$B$14,Paramètres!$A$1:$I$88,3,0)*0.475*44/12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65.749198614746874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65.749198614746874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65.749198614746874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65.749198614746874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1.34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4.9133333333333331</v>
      </c>
      <c r="H30" s="70">
        <f t="shared" si="1"/>
        <v>237.01333333333332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65.822940515412824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projet'!$B$9,Paramètres!$A$1:$I$88,3,0)*VLOOKUP('Données projet'!$B$9,Paramètres!$A$1:$I$88,5,0)</f>
        <v>77.064000000000007</v>
      </c>
      <c r="P30" s="14">
        <f t="shared" si="33"/>
        <v>21.417762186678065</v>
      </c>
      <c r="Q30" s="22">
        <f t="shared" si="2"/>
        <v>171.52240247513097</v>
      </c>
      <c r="R30" s="62">
        <f t="shared" si="0"/>
        <v>445.87318436497799</v>
      </c>
      <c r="S30" s="62">
        <f ca="1">AVERAGE(OFFSET($R$3,0,0,'Données projet'!$E$9+1,1))-AVERAGE(OFFSET($H$3,0,0,'Données projet'!$E$9+1,1))</f>
        <v>488.16146816015231</v>
      </c>
      <c r="T30" s="62">
        <f t="shared" si="34"/>
        <v>259.37115195552127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65.822940515412824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76</v>
      </c>
      <c r="AJ30" s="14">
        <f>AI30*VLOOKUP('Données projet'!$B$10,Paramètres!$A$1:$I$88,3,0)*VLOOKUP('Données projet'!$B$10,Paramètres!$A$1:$I$88,5,0)</f>
        <v>68.764799999999994</v>
      </c>
      <c r="AK30" s="14">
        <f t="shared" si="35"/>
        <v>19.366396769521369</v>
      </c>
      <c r="AL30" s="22">
        <f t="shared" si="4"/>
        <v>153.49516770691636</v>
      </c>
      <c r="AM30" s="62">
        <f t="shared" si="5"/>
        <v>427.84594959676338</v>
      </c>
      <c r="AN30" s="62">
        <f ca="1">AVERAGE(OFFSET($AM$3,0,0,'Données projet'!$E$10+1,1))-AVERAGE(OFFSET($H$3,0,0,'Données projet'!$E$10+1,1))</f>
        <v>441.34749554136755</v>
      </c>
      <c r="AO30" s="62">
        <f t="shared" si="36"/>
        <v>236.49038586666222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0</v>
      </c>
      <c r="AV30" s="23">
        <f>EXP(-LN(2)/25)*AV29+(1-EXP(-LN(2)/25))/(LN(2)/25)*Calculateur!AQ30*Calculateur!AS30*VLOOKUP('Données projet'!$B$10,Paramètres!$A$1:$I$88,3,0)*0.475*44/12</f>
        <v>0</v>
      </c>
      <c r="AW30" s="23">
        <f>EXP(-LN(2)/2)*AW29+(1-EXP(-LN(2)/2))/(LN(2)/2)*AQ30*AT30*VLOOKUP('Données projet'!$B$10,Paramètres!$A$1:$I$88,3,0)*0.475*44/12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65.822940515412824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76</v>
      </c>
      <c r="BE30" s="14">
        <f>BD30*VLOOKUP('Données projet'!$B$11,Paramètres!$A$1:$I$88,3,0)*VLOOKUP('Données projet'!$B$11,Paramètres!$A$1:$I$88,5,0)</f>
        <v>81.806399999999996</v>
      </c>
      <c r="BF30" s="14">
        <f t="shared" si="37"/>
        <v>22.578282710556032</v>
      </c>
      <c r="BG30" s="22">
        <f t="shared" si="7"/>
        <v>181.80332238755173</v>
      </c>
      <c r="BH30" s="62">
        <f t="shared" si="8"/>
        <v>456.1541042773988</v>
      </c>
      <c r="BI30" s="62">
        <f ca="1">AVERAGE(OFFSET($BH$3,0,0,'Données projet'!$E$11+1,1))-AVERAGE(OFFSET($H$3,0,0,'Données projet'!$E$11+1,1))</f>
        <v>514.86487884889584</v>
      </c>
      <c r="BJ30" s="62">
        <f t="shared" si="38"/>
        <v>272.4206208356191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projet'!$B$11,Paramètres!$A$1:$I$88,3,0)*0.475*44/12</f>
        <v>0</v>
      </c>
      <c r="BQ30" s="23">
        <f>EXP(-LN(2)/25)*BQ29+(1-EXP(-LN(2)/25))/(LN(2)/25)*Calculateur!BL30*Calculateur!BN30*VLOOKUP('Données projet'!$B$11,Paramètres!$A$1:$I$88,3,0)*0.475*44/12</f>
        <v>0</v>
      </c>
      <c r="BR30" s="23">
        <f>EXP(-LN(2)/2)*BR29+(1-EXP(-LN(2)/2))/(LN(2)/2)*BL30*BO30*VLOOKUP('Données projet'!$B$11,Paramètres!$A$1:$I$88,3,0)*0.475*44/12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65.822940515412824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12</v>
      </c>
      <c r="BY30" s="13">
        <f>IF('Données projet'!$A$114&gt;35,BY29+BX30-CG29,IF(A30&lt;'Données projet'!$A$114,$BV$205^A30,IF(A30='Données projet'!$A$114,'Données projet'!$B$114,BY29+BX30-CG29)))</f>
        <v>138.99999999999994</v>
      </c>
      <c r="BZ30" s="14">
        <f>BY30*VLOOKUP('Données projet'!$B$12,Paramètres!$A$1:$I$88,3,0)*VLOOKUP('Données projet'!$B$12,Paramètres!$A$1:$I$88,5,0)</f>
        <v>91.072799999999958</v>
      </c>
      <c r="CA30" s="14">
        <f t="shared" si="39"/>
        <v>24.823779817332358</v>
      </c>
      <c r="CB30" s="22">
        <f t="shared" si="10"/>
        <v>201.85320984852044</v>
      </c>
      <c r="CC30" s="62">
        <f t="shared" si="11"/>
        <v>476.20399173836745</v>
      </c>
      <c r="CD30" s="62">
        <f ca="1">AVERAGE(OFFSET($CC$3,0,0,'Données projet'!$E$12+1,1))-AVERAGE(OFFSET($H$3,0,0,'Données projet'!$E$12+1,1))</f>
        <v>270.10151451661864</v>
      </c>
      <c r="CE30" s="62">
        <f t="shared" si="40"/>
        <v>294.47934482366804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projet'!$B$12,Paramètres!$A$1:$I$88,3,0)*0.475*44/12</f>
        <v>0</v>
      </c>
      <c r="CL30" s="23">
        <f>EXP(-LN(2)/25)*CL29+(1-EXP(-LN(2)/25))/(LN(2)/25)*Calculateur!CG30*Calculateur!CI30*VLOOKUP('Données projet'!$B$12,Paramètres!$A$1:$I$88,3,0)*0.475*44/12</f>
        <v>0</v>
      </c>
      <c r="CM30" s="23">
        <f>EXP(-LN(2)/2)*CM29+(1-EXP(-LN(2)/2))/(LN(2)/2)*CG30*CJ30*VLOOKUP('Données projet'!$B$12,Paramètres!$A$1:$I$88,3,0)*0.475*44/12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65.822940515412824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12</v>
      </c>
      <c r="CT30" s="13">
        <f>IF('Données projet'!$A$140&gt;35,CT29+CS30-DB29,IF(A30&lt;'Données projet'!$A$140,$CQ$205^A30,IF(A30='Données projet'!$A$140,'Données projet'!$B$140,CT29+CS30-DB29)))</f>
        <v>138.99999999999994</v>
      </c>
      <c r="CU30" s="18">
        <f>CT30*VLOOKUP('Données projet'!$B$13,Paramètres!$A$1:$I$88,3,0)*VLOOKUP('Données projet'!$B$13,Paramètres!$A$1:$I$88,5,0)</f>
        <v>91.072799999999958</v>
      </c>
      <c r="CV30" s="14">
        <f t="shared" si="41"/>
        <v>24.823779817332358</v>
      </c>
      <c r="CW30" s="22">
        <f t="shared" si="13"/>
        <v>201.85320984852044</v>
      </c>
      <c r="CX30" s="62">
        <f t="shared" si="14"/>
        <v>476.20399173836745</v>
      </c>
      <c r="CY30" s="62">
        <f ca="1">AVERAGE(OFFSET($CX$3,0,0,'Données projet'!$E$13+1,1))-AVERAGE(OFFSET($H$3,0,0,'Données projet'!$E$13+1,1))</f>
        <v>270.10151451661864</v>
      </c>
      <c r="CZ30" s="62">
        <f t="shared" si="42"/>
        <v>294.47934482366804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projet'!$B$13,Paramètres!$A$1:$I$88,3,0)*0.475*44/12</f>
        <v>0</v>
      </c>
      <c r="DG30" s="23">
        <f>EXP(-LN(2)/25)*DG29+(1-EXP(-LN(2)/25))/(LN(2)/25)*Calculateur!DB30*Calculateur!DD30*VLOOKUP('Données projet'!$B$13,Paramètres!$A$1:$I$88,3,0)*0.475*44/12</f>
        <v>0</v>
      </c>
      <c r="DH30" s="23">
        <f>EXP(-LN(2)/2)*DH29+(1-EXP(-LN(2)/2))/(LN(2)/2)*DB30*DE30*VLOOKUP('Données projet'!$B$13,Paramètres!$A$1:$I$88,3,0)*0.475*44/12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65.822940515412824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projet'!$B$14,Paramètres!$A$1:$I$88,3,0)*0.475*44/12</f>
        <v>#N/A</v>
      </c>
      <c r="EB30" s="23" t="e">
        <f>EXP(-LN(2)/25)*EB29+(1-EXP(-LN(2)/25))/(LN(2)/25)*Calculateur!DW30*Calculateur!DY30*VLOOKUP('Données projet'!$B$14,Paramètres!$A$1:$I$88,3,0)*0.475*44/12</f>
        <v>#N/A</v>
      </c>
      <c r="EC30" s="23" t="e">
        <f>EXP(-LN(2)/2)*EC29+(1-EXP(-LN(2)/2))/(LN(2)/2)*DW30*DZ30*VLOOKUP('Données projet'!$B$14,Paramètres!$A$1:$I$88,3,0)*0.475*44/12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65.822940515412824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65.822940515412824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65.822940515412824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65.822940515412824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1.34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4.9133333333333331</v>
      </c>
      <c r="H31" s="70">
        <f t="shared" si="1"/>
        <v>237.01333333333332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65.895403158964413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projet'!$B$9,Paramètres!$A$1:$I$88,3,0)*VLOOKUP('Données projet'!$B$9,Paramètres!$A$1:$I$88,5,0)</f>
        <v>84.162000000000006</v>
      </c>
      <c r="P31" s="14">
        <f t="shared" si="33"/>
        <v>23.151791590506594</v>
      </c>
      <c r="Q31" s="22">
        <f t="shared" si="2"/>
        <v>186.90485368679899</v>
      </c>
      <c r="R31" s="62">
        <f t="shared" si="0"/>
        <v>462.74355415855734</v>
      </c>
      <c r="S31" s="62">
        <f ca="1">AVERAGE(OFFSET($R$3,0,0,'Données projet'!$E$9+1,1))-AVERAGE(OFFSET($H$3,0,0,'Données projet'!$E$9+1,1))</f>
        <v>488.16146816015231</v>
      </c>
      <c r="T31" s="62">
        <f t="shared" si="34"/>
        <v>259.37115195552127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65.895403158964413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83</v>
      </c>
      <c r="AJ31" s="14">
        <f>AI31*VLOOKUP('Données projet'!$B$10,Paramètres!$A$1:$I$88,3,0)*VLOOKUP('Données projet'!$B$10,Paramètres!$A$1:$I$88,5,0)</f>
        <v>75.098399999999998</v>
      </c>
      <c r="AK31" s="14">
        <f t="shared" si="35"/>
        <v>20.934343091450742</v>
      </c>
      <c r="AL31" s="22">
        <f t="shared" si="4"/>
        <v>167.25702755094335</v>
      </c>
      <c r="AM31" s="62">
        <f t="shared" si="5"/>
        <v>443.09572802270173</v>
      </c>
      <c r="AN31" s="62">
        <f ca="1">AVERAGE(OFFSET($AM$3,0,0,'Données projet'!$E$10+1,1))-AVERAGE(OFFSET($H$3,0,0,'Données projet'!$E$10+1,1))</f>
        <v>441.34749554136755</v>
      </c>
      <c r="AO31" s="62">
        <f t="shared" si="36"/>
        <v>236.49038586666222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0</v>
      </c>
      <c r="AV31" s="23">
        <f>EXP(-LN(2)/25)*AV30+(1-EXP(-LN(2)/25))/(LN(2)/25)*Calculateur!AQ31*Calculateur!AS31*VLOOKUP('Données projet'!$B$10,Paramètres!$A$1:$I$88,3,0)*0.475*44/12</f>
        <v>0</v>
      </c>
      <c r="AW31" s="23">
        <f>EXP(-LN(2)/2)*AW30+(1-EXP(-LN(2)/2))/(LN(2)/2)*AQ31*AT31*VLOOKUP('Données projet'!$B$10,Paramètres!$A$1:$I$88,3,0)*0.475*44/12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65.895403158964413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83</v>
      </c>
      <c r="BE31" s="14">
        <f>BD31*VLOOKUP('Données projet'!$B$11,Paramètres!$A$1:$I$88,3,0)*VLOOKUP('Données projet'!$B$11,Paramètres!$A$1:$I$88,5,0)</f>
        <v>89.341200000000001</v>
      </c>
      <c r="BF31" s="14">
        <f t="shared" si="37"/>
        <v>24.40627042312898</v>
      </c>
      <c r="BG31" s="22">
        <f t="shared" si="7"/>
        <v>198.11017765361632</v>
      </c>
      <c r="BH31" s="62">
        <f t="shared" si="8"/>
        <v>473.94887812537468</v>
      </c>
      <c r="BI31" s="62">
        <f ca="1">AVERAGE(OFFSET($BH$3,0,0,'Données projet'!$E$11+1,1))-AVERAGE(OFFSET($H$3,0,0,'Données projet'!$E$11+1,1))</f>
        <v>514.86487884889584</v>
      </c>
      <c r="BJ31" s="62">
        <f t="shared" si="38"/>
        <v>272.4206208356191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projet'!$B$11,Paramètres!$A$1:$I$88,3,0)*0.475*44/12</f>
        <v>0</v>
      </c>
      <c r="BQ31" s="23">
        <f>EXP(-LN(2)/25)*BQ30+(1-EXP(-LN(2)/25))/(LN(2)/25)*Calculateur!BL31*Calculateur!BN31*VLOOKUP('Données projet'!$B$11,Paramètres!$A$1:$I$88,3,0)*0.475*44/12</f>
        <v>0</v>
      </c>
      <c r="BR31" s="23">
        <f>EXP(-LN(2)/2)*BR30+(1-EXP(-LN(2)/2))/(LN(2)/2)*BL31*BO31*VLOOKUP('Données projet'!$B$11,Paramètres!$A$1:$I$88,3,0)*0.475*44/12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65.895403158964413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12</v>
      </c>
      <c r="BY31" s="13">
        <f>IF('Données projet'!$A$114&gt;35,BY30+BX31-CG30,IF(A31&lt;'Données projet'!$A$114,$BV$205^A31,IF(A31='Données projet'!$A$114,'Données projet'!$B$114,BY30+BX31-CG30)))</f>
        <v>150.99999999999994</v>
      </c>
      <c r="BZ31" s="14">
        <f>BY31*VLOOKUP('Données projet'!$B$12,Paramètres!$A$1:$I$88,3,0)*VLOOKUP('Données projet'!$B$12,Paramètres!$A$1:$I$88,5,0)</f>
        <v>98.935199999999966</v>
      </c>
      <c r="CA31" s="14">
        <f t="shared" si="39"/>
        <v>26.708165799953093</v>
      </c>
      <c r="CB31" s="22">
        <f t="shared" si="10"/>
        <v>218.82886210158492</v>
      </c>
      <c r="CC31" s="62">
        <f t="shared" si="11"/>
        <v>494.66756257334328</v>
      </c>
      <c r="CD31" s="62">
        <f ca="1">AVERAGE(OFFSET($CC$3,0,0,'Données projet'!$E$12+1,1))-AVERAGE(OFFSET($H$3,0,0,'Données projet'!$E$12+1,1))</f>
        <v>270.10151451661864</v>
      </c>
      <c r="CE31" s="62">
        <f t="shared" si="40"/>
        <v>294.47934482366804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projet'!$B$12,Paramètres!$A$1:$I$88,3,0)*0.475*44/12</f>
        <v>0</v>
      </c>
      <c r="CL31" s="23">
        <f>EXP(-LN(2)/25)*CL30+(1-EXP(-LN(2)/25))/(LN(2)/25)*Calculateur!CG31*Calculateur!CI31*VLOOKUP('Données projet'!$B$12,Paramètres!$A$1:$I$88,3,0)*0.475*44/12</f>
        <v>0</v>
      </c>
      <c r="CM31" s="23">
        <f>EXP(-LN(2)/2)*CM30+(1-EXP(-LN(2)/2))/(LN(2)/2)*CG31*CJ31*VLOOKUP('Données projet'!$B$12,Paramètres!$A$1:$I$88,3,0)*0.475*44/12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65.895403158964413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12</v>
      </c>
      <c r="CT31" s="13">
        <f>IF('Données projet'!$A$140&gt;35,CT30+CS31-DB30,IF(A31&lt;'Données projet'!$A$140,$CQ$205^A31,IF(A31='Données projet'!$A$140,'Données projet'!$B$140,CT30+CS31-DB30)))</f>
        <v>150.99999999999994</v>
      </c>
      <c r="CU31" s="18">
        <f>CT31*VLOOKUP('Données projet'!$B$13,Paramètres!$A$1:$I$88,3,0)*VLOOKUP('Données projet'!$B$13,Paramètres!$A$1:$I$88,5,0)</f>
        <v>98.935199999999966</v>
      </c>
      <c r="CV31" s="14">
        <f t="shared" si="41"/>
        <v>26.708165799953093</v>
      </c>
      <c r="CW31" s="22">
        <f t="shared" si="13"/>
        <v>218.82886210158492</v>
      </c>
      <c r="CX31" s="62">
        <f t="shared" si="14"/>
        <v>494.66756257334328</v>
      </c>
      <c r="CY31" s="62">
        <f ca="1">AVERAGE(OFFSET($CX$3,0,0,'Données projet'!$E$13+1,1))-AVERAGE(OFFSET($H$3,0,0,'Données projet'!$E$13+1,1))</f>
        <v>270.10151451661864</v>
      </c>
      <c r="CZ31" s="62">
        <f t="shared" si="42"/>
        <v>294.47934482366804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projet'!$B$13,Paramètres!$A$1:$I$88,3,0)*0.475*44/12</f>
        <v>0</v>
      </c>
      <c r="DG31" s="23">
        <f>EXP(-LN(2)/25)*DG30+(1-EXP(-LN(2)/25))/(LN(2)/25)*Calculateur!DB31*Calculateur!DD31*VLOOKUP('Données projet'!$B$13,Paramètres!$A$1:$I$88,3,0)*0.475*44/12</f>
        <v>0</v>
      </c>
      <c r="DH31" s="23">
        <f>EXP(-LN(2)/2)*DH30+(1-EXP(-LN(2)/2))/(LN(2)/2)*DB31*DE31*VLOOKUP('Données projet'!$B$13,Paramètres!$A$1:$I$88,3,0)*0.475*44/12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65.895403158964413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projet'!$B$14,Paramètres!$A$1:$I$88,3,0)*0.475*44/12</f>
        <v>#N/A</v>
      </c>
      <c r="EB31" s="23" t="e">
        <f>EXP(-LN(2)/25)*EB30+(1-EXP(-LN(2)/25))/(LN(2)/25)*Calculateur!DW31*Calculateur!DY31*VLOOKUP('Données projet'!$B$14,Paramètres!$A$1:$I$88,3,0)*0.475*44/12</f>
        <v>#N/A</v>
      </c>
      <c r="EC31" s="23" t="e">
        <f>EXP(-LN(2)/2)*EC30+(1-EXP(-LN(2)/2))/(LN(2)/2)*DW31*DZ31*VLOOKUP('Données projet'!$B$14,Paramètres!$A$1:$I$88,3,0)*0.475*44/12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65.895403158964413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65.895403158964413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65.895403158964413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65.895403158964413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1.34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4.9133333333333331</v>
      </c>
      <c r="H32" s="70">
        <f t="shared" si="1"/>
        <v>237.01333333333332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65.966608737652592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projet'!$B$9,Paramètres!$A$1:$I$88,3,0)*VLOOKUP('Données projet'!$B$9,Paramètres!$A$1:$I$88,5,0)</f>
        <v>91.26</v>
      </c>
      <c r="P32" s="14">
        <f t="shared" si="33"/>
        <v>24.868860330902777</v>
      </c>
      <c r="Q32" s="22">
        <f t="shared" si="2"/>
        <v>202.25776507632233</v>
      </c>
      <c r="R32" s="62">
        <f t="shared" si="0"/>
        <v>479.57977489215966</v>
      </c>
      <c r="S32" s="62">
        <f ca="1">AVERAGE(OFFSET($R$3,0,0,'Données projet'!$E$9+1,1))-AVERAGE(OFFSET($H$3,0,0,'Données projet'!$E$9+1,1))</f>
        <v>488.16146816015231</v>
      </c>
      <c r="T32" s="62">
        <f t="shared" si="34"/>
        <v>259.37115195552127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65.966608737652592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90</v>
      </c>
      <c r="AJ32" s="14">
        <f>AI32*VLOOKUP('Données projet'!$B$10,Paramètres!$A$1:$I$88,3,0)*VLOOKUP('Données projet'!$B$10,Paramètres!$A$1:$I$88,5,0)</f>
        <v>81.432000000000002</v>
      </c>
      <c r="AK32" s="14">
        <f t="shared" si="35"/>
        <v>22.486953220240881</v>
      </c>
      <c r="AL32" s="22">
        <f t="shared" si="4"/>
        <v>180.99217685858619</v>
      </c>
      <c r="AM32" s="62">
        <f t="shared" si="5"/>
        <v>458.31418667442347</v>
      </c>
      <c r="AN32" s="62">
        <f ca="1">AVERAGE(OFFSET($AM$3,0,0,'Données projet'!$E$10+1,1))-AVERAGE(OFFSET($H$3,0,0,'Données projet'!$E$10+1,1))</f>
        <v>441.34749554136755</v>
      </c>
      <c r="AO32" s="62">
        <f t="shared" si="36"/>
        <v>236.49038586666222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0</v>
      </c>
      <c r="AV32" s="23">
        <f>EXP(-LN(2)/25)*AV31+(1-EXP(-LN(2)/25))/(LN(2)/25)*Calculateur!AQ32*Calculateur!AS32*VLOOKUP('Données projet'!$B$10,Paramètres!$A$1:$I$88,3,0)*0.475*44/12</f>
        <v>0</v>
      </c>
      <c r="AW32" s="23">
        <f>EXP(-LN(2)/2)*AW31+(1-EXP(-LN(2)/2))/(LN(2)/2)*AQ32*AT32*VLOOKUP('Données projet'!$B$10,Paramètres!$A$1:$I$88,3,0)*0.475*44/12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65.966608737652592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90</v>
      </c>
      <c r="BE32" s="14">
        <f>BD32*VLOOKUP('Données projet'!$B$11,Paramètres!$A$1:$I$88,3,0)*VLOOKUP('Données projet'!$B$11,Paramètres!$A$1:$I$88,5,0)</f>
        <v>96.875999999999991</v>
      </c>
      <c r="BF32" s="14">
        <f t="shared" si="37"/>
        <v>26.21637845945024</v>
      </c>
      <c r="BG32" s="22">
        <f t="shared" si="7"/>
        <v>214.38589248354245</v>
      </c>
      <c r="BH32" s="62">
        <f t="shared" si="8"/>
        <v>491.70790229937973</v>
      </c>
      <c r="BI32" s="62">
        <f ca="1">AVERAGE(OFFSET($BH$3,0,0,'Données projet'!$E$11+1,1))-AVERAGE(OFFSET($H$3,0,0,'Données projet'!$E$11+1,1))</f>
        <v>514.86487884889584</v>
      </c>
      <c r="BJ32" s="62">
        <f t="shared" si="38"/>
        <v>272.4206208356191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projet'!$B$11,Paramètres!$A$1:$I$88,3,0)*0.475*44/12</f>
        <v>0</v>
      </c>
      <c r="BQ32" s="23">
        <f>EXP(-LN(2)/25)*BQ31+(1-EXP(-LN(2)/25))/(LN(2)/25)*Calculateur!BL32*Calculateur!BN32*VLOOKUP('Données projet'!$B$11,Paramètres!$A$1:$I$88,3,0)*0.475*44/12</f>
        <v>0</v>
      </c>
      <c r="BR32" s="23">
        <f>EXP(-LN(2)/2)*BR31+(1-EXP(-LN(2)/2))/(LN(2)/2)*BL32*BO32*VLOOKUP('Données projet'!$B$11,Paramètres!$A$1:$I$88,3,0)*0.475*44/12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65.966608737652592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12</v>
      </c>
      <c r="BY32" s="13">
        <f>IF('Données projet'!$A$114&gt;35,BY31+BX32-CG31,IF(A32&lt;'Données projet'!$A$114,$BV$205^A32,IF(A32='Données projet'!$A$114,'Données projet'!$B$114,BY31+BX32-CG31)))</f>
        <v>162.99999999999994</v>
      </c>
      <c r="BZ32" s="14">
        <f>BY32*VLOOKUP('Données projet'!$B$12,Paramètres!$A$1:$I$88,3,0)*VLOOKUP('Données projet'!$B$12,Paramètres!$A$1:$I$88,5,0)</f>
        <v>106.79759999999997</v>
      </c>
      <c r="CA32" s="14">
        <f t="shared" si="39"/>
        <v>28.575181674561094</v>
      </c>
      <c r="CB32" s="22">
        <f t="shared" si="10"/>
        <v>235.77426141652714</v>
      </c>
      <c r="CC32" s="62">
        <f t="shared" si="11"/>
        <v>513.09627123236442</v>
      </c>
      <c r="CD32" s="62">
        <f ca="1">AVERAGE(OFFSET($CC$3,0,0,'Données projet'!$E$12+1,1))-AVERAGE(OFFSET($H$3,0,0,'Données projet'!$E$12+1,1))</f>
        <v>270.10151451661864</v>
      </c>
      <c r="CE32" s="62">
        <f t="shared" si="40"/>
        <v>294.47934482366804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projet'!$B$12,Paramètres!$A$1:$I$88,3,0)*0.475*44/12</f>
        <v>0</v>
      </c>
      <c r="CL32" s="23">
        <f>EXP(-LN(2)/25)*CL31+(1-EXP(-LN(2)/25))/(LN(2)/25)*Calculateur!CG32*Calculateur!CI32*VLOOKUP('Données projet'!$B$12,Paramètres!$A$1:$I$88,3,0)*0.475*44/12</f>
        <v>0</v>
      </c>
      <c r="CM32" s="23">
        <f>EXP(-LN(2)/2)*CM31+(1-EXP(-LN(2)/2))/(LN(2)/2)*CG32*CJ32*VLOOKUP('Données projet'!$B$12,Paramètres!$A$1:$I$88,3,0)*0.475*44/12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65.966608737652592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12</v>
      </c>
      <c r="CT32" s="13">
        <f>IF('Données projet'!$A$140&gt;35,CT31+CS32-DB31,IF(A32&lt;'Données projet'!$A$140,$CQ$205^A32,IF(A32='Données projet'!$A$140,'Données projet'!$B$140,CT31+CS32-DB31)))</f>
        <v>162.99999999999994</v>
      </c>
      <c r="CU32" s="18">
        <f>CT32*VLOOKUP('Données projet'!$B$13,Paramètres!$A$1:$I$88,3,0)*VLOOKUP('Données projet'!$B$13,Paramètres!$A$1:$I$88,5,0)</f>
        <v>106.79759999999997</v>
      </c>
      <c r="CV32" s="14">
        <f t="shared" si="41"/>
        <v>28.575181674561094</v>
      </c>
      <c r="CW32" s="22">
        <f t="shared" si="13"/>
        <v>235.77426141652714</v>
      </c>
      <c r="CX32" s="62">
        <f t="shared" si="14"/>
        <v>513.09627123236442</v>
      </c>
      <c r="CY32" s="62">
        <f ca="1">AVERAGE(OFFSET($CX$3,0,0,'Données projet'!$E$13+1,1))-AVERAGE(OFFSET($H$3,0,0,'Données projet'!$E$13+1,1))</f>
        <v>270.10151451661864</v>
      </c>
      <c r="CZ32" s="62">
        <f t="shared" si="42"/>
        <v>294.47934482366804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projet'!$B$13,Paramètres!$A$1:$I$88,3,0)*0.475*44/12</f>
        <v>0</v>
      </c>
      <c r="DG32" s="23">
        <f>EXP(-LN(2)/25)*DG31+(1-EXP(-LN(2)/25))/(LN(2)/25)*Calculateur!DB32*Calculateur!DD32*VLOOKUP('Données projet'!$B$13,Paramètres!$A$1:$I$88,3,0)*0.475*44/12</f>
        <v>0</v>
      </c>
      <c r="DH32" s="23">
        <f>EXP(-LN(2)/2)*DH31+(1-EXP(-LN(2)/2))/(LN(2)/2)*DB32*DE32*VLOOKUP('Données projet'!$B$13,Paramètres!$A$1:$I$88,3,0)*0.475*44/12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65.966608737652592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projet'!$B$14,Paramètres!$A$1:$I$88,3,0)*0.475*44/12</f>
        <v>#N/A</v>
      </c>
      <c r="EB32" s="23" t="e">
        <f>EXP(-LN(2)/25)*EB31+(1-EXP(-LN(2)/25))/(LN(2)/25)*Calculateur!DW32*Calculateur!DY32*VLOOKUP('Données projet'!$B$14,Paramètres!$A$1:$I$88,3,0)*0.475*44/12</f>
        <v>#N/A</v>
      </c>
      <c r="EC32" s="23" t="e">
        <f>EXP(-LN(2)/2)*EC31+(1-EXP(-LN(2)/2))/(LN(2)/2)*DW32*DZ32*VLOOKUP('Données projet'!$B$14,Paramètres!$A$1:$I$88,3,0)*0.475*44/12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65.966608737652592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65.966608737652592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65.966608737652592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65.966608737652592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1.34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4.9133333333333331</v>
      </c>
      <c r="H33" s="70">
        <f t="shared" si="1"/>
        <v>237.01333333333332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66.036579058742348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projet'!$B$9,Paramètres!$A$1:$I$88,3,0)*VLOOKUP('Données projet'!$B$9,Paramètres!$A$1:$I$88,5,0)</f>
        <v>98.358000000000004</v>
      </c>
      <c r="P33" s="14">
        <f t="shared" si="33"/>
        <v>26.570437554143126</v>
      </c>
      <c r="Q33" s="22">
        <f t="shared" si="2"/>
        <v>217.58369540679928</v>
      </c>
      <c r="R33" s="62">
        <f t="shared" si="0"/>
        <v>496.38448528885459</v>
      </c>
      <c r="S33" s="62">
        <f ca="1">AVERAGE(OFFSET($R$3,0,0,'Données projet'!$E$9+1,1))-AVERAGE(OFFSET($H$3,0,0,'Données projet'!$E$9+1,1))</f>
        <v>488.16146816015231</v>
      </c>
      <c r="T33" s="62">
        <f t="shared" si="34"/>
        <v>259.37115195552127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0</v>
      </c>
      <c r="AB33" s="23">
        <f>EXP(-LN(2)/2)*AB32+(1-EXP(-LN(2)/2))/(LN(2)/2)*V33*Y33*VLOOKUP('Données projet'!$B$9,Paramètres!$A$1:$I$88,3,0)*0.475*44/12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66.036579058742348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97</v>
      </c>
      <c r="AJ33" s="14">
        <f>AI33*VLOOKUP('Données projet'!$B$10,Paramètres!$A$1:$I$88,3,0)*VLOOKUP('Données projet'!$B$10,Paramètres!$A$1:$I$88,5,0)</f>
        <v>87.765600000000006</v>
      </c>
      <c r="AK33" s="14">
        <f t="shared" si="35"/>
        <v>24.025555589247954</v>
      </c>
      <c r="AL33" s="22">
        <f t="shared" si="4"/>
        <v>194.7029293179402</v>
      </c>
      <c r="AM33" s="62">
        <f t="shared" si="5"/>
        <v>473.50371919999554</v>
      </c>
      <c r="AN33" s="62">
        <f ca="1">AVERAGE(OFFSET($AM$3,0,0,'Données projet'!$E$10+1,1))-AVERAGE(OFFSET($H$3,0,0,'Données projet'!$E$10+1,1))</f>
        <v>441.34749554136755</v>
      </c>
      <c r="AO33" s="62">
        <f t="shared" si="36"/>
        <v>236.49038586666222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projet'!$B$10,Paramètres!$A$1:$I$88,3,0)*0.475*44/12</f>
        <v>0</v>
      </c>
      <c r="AV33" s="23">
        <f>EXP(-LN(2)/25)*AV32+(1-EXP(-LN(2)/25))/(LN(2)/25)*Calculateur!AQ33*Calculateur!AS33*VLOOKUP('Données projet'!$B$10,Paramètres!$A$1:$I$88,3,0)*0.475*44/12</f>
        <v>0</v>
      </c>
      <c r="AW33" s="23">
        <f>EXP(-LN(2)/2)*AW32+(1-EXP(-LN(2)/2))/(LN(2)/2)*AQ33*AT33*VLOOKUP('Données projet'!$B$10,Paramètres!$A$1:$I$88,3,0)*0.475*44/12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66.036579058742348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97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97</v>
      </c>
      <c r="BE33" s="14">
        <f>BD33*VLOOKUP('Données projet'!$B$11,Paramètres!$A$1:$I$88,3,0)*VLOOKUP('Données projet'!$B$11,Paramètres!$A$1:$I$88,5,0)</f>
        <v>104.41079999999999</v>
      </c>
      <c r="BF33" s="14">
        <f t="shared" si="37"/>
        <v>28.010155571424168</v>
      </c>
      <c r="BG33" s="22">
        <f t="shared" si="7"/>
        <v>230.63316428689711</v>
      </c>
      <c r="BH33" s="62">
        <f t="shared" si="8"/>
        <v>509.43395416895243</v>
      </c>
      <c r="BI33" s="62">
        <f ca="1">AVERAGE(OFFSET($BH$3,0,0,'Données projet'!$E$11+1,1))-AVERAGE(OFFSET($H$3,0,0,'Données projet'!$E$11+1,1))</f>
        <v>514.86487884889584</v>
      </c>
      <c r="BJ33" s="62">
        <f t="shared" si="38"/>
        <v>272.4206208356191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projet'!$B$11,Paramètres!$A$1:$I$88,3,0)*0.475*44/12</f>
        <v>0</v>
      </c>
      <c r="BQ33" s="23">
        <f>EXP(-LN(2)/25)*BQ32+(1-EXP(-LN(2)/25))/(LN(2)/25)*Calculateur!BL33*Calculateur!BN33*VLOOKUP('Données projet'!$B$11,Paramètres!$A$1:$I$88,3,0)*0.475*44/12</f>
        <v>0</v>
      </c>
      <c r="BR33" s="23">
        <f>EXP(-LN(2)/2)*BR32+(1-EXP(-LN(2)/2))/(LN(2)/2)*BL33*BO33*VLOOKUP('Données projet'!$B$11,Paramètres!$A$1:$I$88,3,0)*0.475*44/12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66.036579058742348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175</v>
      </c>
      <c r="BW33" s="13">
        <f>VLOOKUP(A33,'Données projet'!$A$113:$I$133,9,0)</f>
        <v>12</v>
      </c>
      <c r="BX33" s="13">
        <f t="array" ref="BX33">INDEX(BW:BW,MIN(IF(ISNUMBER(BW33:BW229),ROW(BW33:BW229),"")))</f>
        <v>12</v>
      </c>
      <c r="BY33" s="13">
        <f>IF('Données projet'!$A$114&gt;35,BY32+BX33-CG32,IF(A33&lt;'Données projet'!$A$114,$BV$205^A33,IF(A33='Données projet'!$A$114,'Données projet'!$B$114,BY32+BX33-CG32)))</f>
        <v>174.99999999999994</v>
      </c>
      <c r="BZ33" s="14">
        <f>BY33*VLOOKUP('Données projet'!$B$12,Paramètres!$A$1:$I$88,3,0)*VLOOKUP('Données projet'!$B$12,Paramètres!$A$1:$I$88,5,0)</f>
        <v>114.65999999999995</v>
      </c>
      <c r="CA33" s="14">
        <f t="shared" si="39"/>
        <v>30.426251641117418</v>
      </c>
      <c r="CB33" s="22">
        <f t="shared" si="10"/>
        <v>252.69188827494608</v>
      </c>
      <c r="CC33" s="62">
        <f t="shared" si="11"/>
        <v>531.49267815700136</v>
      </c>
      <c r="CD33" s="62">
        <f ca="1">AVERAGE(OFFSET($CC$3,0,0,'Données projet'!$E$12+1,1))-AVERAGE(OFFSET($H$3,0,0,'Données projet'!$E$12+1,1))</f>
        <v>270.10151451661864</v>
      </c>
      <c r="CE33" s="62">
        <f t="shared" si="40"/>
        <v>294.47934482366804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56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projet'!$B$12,Paramètres!$A$1:$I$88,3,0)*0.475*44/12</f>
        <v>0</v>
      </c>
      <c r="CL33" s="23">
        <f>EXP(-LN(2)/25)*CL32+(1-EXP(-LN(2)/25))/(LN(2)/25)*Calculateur!CG33*Calculateur!CI33*VLOOKUP('Données projet'!$B$12,Paramètres!$A$1:$I$88,3,0)*0.475*44/12</f>
        <v>0</v>
      </c>
      <c r="CM33" s="23">
        <f>EXP(-LN(2)/2)*CM32+(1-EXP(-LN(2)/2))/(LN(2)/2)*CG33*CJ33*VLOOKUP('Données projet'!$B$12,Paramètres!$A$1:$I$88,3,0)*0.475*44/12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66.036579058742348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175</v>
      </c>
      <c r="CR33" s="13">
        <f>VLOOKUP(A33,'Données projet'!$A$139:$I$159,9,0)</f>
        <v>12</v>
      </c>
      <c r="CS33" s="13">
        <f t="array" ref="CS33">INDEX(CR:CR,MIN(IF(ISNUMBER(CR33:CR229),ROW(CR33:CR229),"")))</f>
        <v>12</v>
      </c>
      <c r="CT33" s="13">
        <f>IF('Données projet'!$A$140&gt;35,CT32+CS33-DB32,IF(A33&lt;'Données projet'!$A$140,$CQ$205^A33,IF(A33='Données projet'!$A$140,'Données projet'!$B$140,CT32+CS33-DB32)))</f>
        <v>174.99999999999994</v>
      </c>
      <c r="CU33" s="18">
        <f>CT33*VLOOKUP('Données projet'!$B$13,Paramètres!$A$1:$I$88,3,0)*VLOOKUP('Données projet'!$B$13,Paramètres!$A$1:$I$88,5,0)</f>
        <v>114.65999999999995</v>
      </c>
      <c r="CV33" s="14">
        <f t="shared" si="41"/>
        <v>30.426251641117418</v>
      </c>
      <c r="CW33" s="22">
        <f t="shared" si="13"/>
        <v>252.69188827494608</v>
      </c>
      <c r="CX33" s="62">
        <f t="shared" si="14"/>
        <v>531.49267815700136</v>
      </c>
      <c r="CY33" s="62">
        <f ca="1">AVERAGE(OFFSET($CX$3,0,0,'Données projet'!$E$13+1,1))-AVERAGE(OFFSET($H$3,0,0,'Données projet'!$E$13+1,1))</f>
        <v>270.10151451661864</v>
      </c>
      <c r="CZ33" s="62">
        <f t="shared" si="42"/>
        <v>294.47934482366804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56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projet'!$B$13,Paramètres!$A$1:$I$88,3,0)*0.475*44/12</f>
        <v>0</v>
      </c>
      <c r="DG33" s="23">
        <f>EXP(-LN(2)/25)*DG32+(1-EXP(-LN(2)/25))/(LN(2)/25)*Calculateur!DB33*Calculateur!DD33*VLOOKUP('Données projet'!$B$13,Paramètres!$A$1:$I$88,3,0)*0.475*44/12</f>
        <v>0</v>
      </c>
      <c r="DH33" s="23">
        <f>EXP(-LN(2)/2)*DH32+(1-EXP(-LN(2)/2))/(LN(2)/2)*DB33*DE33*VLOOKUP('Données projet'!$B$13,Paramètres!$A$1:$I$88,3,0)*0.475*44/12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66.036579058742348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projet'!$B$14,Paramètres!$A$1:$I$88,3,0)*0.475*44/12</f>
        <v>#N/A</v>
      </c>
      <c r="EB33" s="23" t="e">
        <f>EXP(-LN(2)/25)*EB32+(1-EXP(-LN(2)/25))/(LN(2)/25)*Calculateur!DW33*Calculateur!DY33*VLOOKUP('Données projet'!$B$14,Paramètres!$A$1:$I$88,3,0)*0.475*44/12</f>
        <v>#N/A</v>
      </c>
      <c r="EC33" s="23" t="e">
        <f>EXP(-LN(2)/2)*EC32+(1-EXP(-LN(2)/2))/(LN(2)/2)*DW33*DZ33*VLOOKUP('Données projet'!$B$14,Paramètres!$A$1:$I$88,3,0)*0.475*44/12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66.036579058742348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66.036579058742348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66.036579058742348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66.036579058742348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1.34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4.9133333333333331</v>
      </c>
      <c r="H34" s="70">
        <f t="shared" si="1"/>
        <v>237.01333333333332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66.105335551191388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8.6</v>
      </c>
      <c r="N34" s="14">
        <f>IF('Données projet'!$A$36&gt;35,N33+M34-V33,IF(A34&lt;'Données projet'!$A$36,$K$205^A34,IF(A34='Données projet'!$A$36,'Données projet'!$B$36,N33+M34-V33)))</f>
        <v>105.6</v>
      </c>
      <c r="O34" s="14">
        <f>N34*VLOOKUP('Données projet'!$B$9,Paramètres!$A$1:$I$88,3,0)*VLOOKUP('Données projet'!$B$9,Paramètres!$A$1:$I$88,5,0)</f>
        <v>107.0784</v>
      </c>
      <c r="P34" s="14">
        <f t="shared" si="33"/>
        <v>28.641558109101805</v>
      </c>
      <c r="Q34" s="22">
        <f t="shared" si="2"/>
        <v>236.37892704001897</v>
      </c>
      <c r="R34" s="62">
        <f t="shared" si="0"/>
        <v>515.43182406105404</v>
      </c>
      <c r="S34" s="62">
        <f ca="1">AVERAGE(OFFSET($R$3,0,0,'Données projet'!$E$9+1,1))-AVERAGE(OFFSET($H$3,0,0,'Données projet'!$E$9+1,1))</f>
        <v>488.16146816015231</v>
      </c>
      <c r="T34" s="62">
        <f t="shared" si="34"/>
        <v>259.37115195552127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0</v>
      </c>
      <c r="AB34" s="23">
        <f>EXP(-LN(2)/2)*AB33+(1-EXP(-LN(2)/2))/(LN(2)/2)*V34*Y34*VLOOKUP('Données projet'!$B$9,Paramètres!$A$1:$I$88,3,0)*0.475*44/12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66.105335551191388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8.6</v>
      </c>
      <c r="AI34" s="14">
        <f>IF('Données projet'!$A$62&gt;35,AI33+AH34-AQ33,IF(A34&lt;'Données projet'!$A$62,$AF$205^A34,IF(A34='Données projet'!$A$62,'Données projet'!$B$62,AI33+AH34-AQ33)))</f>
        <v>105.6</v>
      </c>
      <c r="AJ34" s="14">
        <f>AI34*VLOOKUP('Données projet'!$B$10,Paramètres!$A$1:$I$88,3,0)*VLOOKUP('Données projet'!$B$10,Paramètres!$A$1:$I$88,5,0)</f>
        <v>95.546879999999987</v>
      </c>
      <c r="AK34" s="14">
        <f t="shared" si="35"/>
        <v>25.898306910102065</v>
      </c>
      <c r="AL34" s="22">
        <f t="shared" si="4"/>
        <v>211.51703386842772</v>
      </c>
      <c r="AM34" s="62">
        <f t="shared" si="5"/>
        <v>490.56993088946285</v>
      </c>
      <c r="AN34" s="62">
        <f ca="1">AVERAGE(OFFSET($AM$3,0,0,'Données projet'!$E$10+1,1))-AVERAGE(OFFSET($H$3,0,0,'Données projet'!$E$10+1,1))</f>
        <v>441.34749554136755</v>
      </c>
      <c r="AO34" s="62">
        <f t="shared" si="36"/>
        <v>236.49038586666222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0</v>
      </c>
      <c r="AV34" s="23">
        <f>EXP(-LN(2)/25)*AV33+(1-EXP(-LN(2)/25))/(LN(2)/25)*Calculateur!AQ34*Calculateur!AS34*VLOOKUP('Données projet'!$B$10,Paramètres!$A$1:$I$88,3,0)*0.475*44/12</f>
        <v>0</v>
      </c>
      <c r="AW34" s="23">
        <f>EXP(-LN(2)/2)*AW33+(1-EXP(-LN(2)/2))/(LN(2)/2)*AQ34*AT34*VLOOKUP('Données projet'!$B$10,Paramètres!$A$1:$I$88,3,0)*0.475*44/12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66.105335551191388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8.6</v>
      </c>
      <c r="BD34" s="13">
        <f>IF('Données projet'!$A$88&gt;35,BD33+BC34-BL33,IF(A34&lt;'Données projet'!$A$88,$BA$205^A34,IF(A34='Données projet'!$A$88,'Données projet'!$B$88,BD33+BC34-BL33)))</f>
        <v>105.6</v>
      </c>
      <c r="BE34" s="14">
        <f>BD34*VLOOKUP('Données projet'!$B$11,Paramètres!$A$1:$I$88,3,0)*VLOOKUP('Données projet'!$B$11,Paramètres!$A$1:$I$88,5,0)</f>
        <v>113.66783999999998</v>
      </c>
      <c r="BF34" s="14">
        <f t="shared" si="37"/>
        <v>30.193499704668234</v>
      </c>
      <c r="BG34" s="22">
        <f t="shared" si="7"/>
        <v>250.55849998563042</v>
      </c>
      <c r="BH34" s="62">
        <f t="shared" si="8"/>
        <v>529.61139700666558</v>
      </c>
      <c r="BI34" s="62">
        <f ca="1">AVERAGE(OFFSET($BH$3,0,0,'Données projet'!$E$11+1,1))-AVERAGE(OFFSET($H$3,0,0,'Données projet'!$E$11+1,1))</f>
        <v>514.86487884889584</v>
      </c>
      <c r="BJ34" s="62">
        <f t="shared" si="38"/>
        <v>272.4206208356191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projet'!$B$11,Paramètres!$A$1:$I$88,3,0)*0.475*44/12</f>
        <v>0</v>
      </c>
      <c r="BQ34" s="23">
        <f>EXP(-LN(2)/25)*BQ33+(1-EXP(-LN(2)/25))/(LN(2)/25)*Calculateur!BL34*Calculateur!BN34*VLOOKUP('Données projet'!$B$11,Paramètres!$A$1:$I$88,3,0)*0.475*44/12</f>
        <v>0</v>
      </c>
      <c r="BR34" s="23">
        <f>EXP(-LN(2)/2)*BR33+(1-EXP(-LN(2)/2))/(LN(2)/2)*BL34*BO34*VLOOKUP('Données projet'!$B$11,Paramètres!$A$1:$I$88,3,0)*0.475*44/12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66.105335551191388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10.6</v>
      </c>
      <c r="BY34" s="13">
        <f>IF('Données projet'!$A$114&gt;35,BY33+BX34-CG33,IF(A34&lt;'Données projet'!$A$114,$BV$205^A34,IF(A34='Données projet'!$A$114,'Données projet'!$B$114,BY33+BX34-CG33)))</f>
        <v>129.59999999999994</v>
      </c>
      <c r="BZ34" s="14">
        <f>BY34*VLOOKUP('Données projet'!$B$12,Paramètres!$A$1:$I$88,3,0)*VLOOKUP('Données projet'!$B$12,Paramètres!$A$1:$I$88,5,0)</f>
        <v>84.913919999999962</v>
      </c>
      <c r="CA34" s="14">
        <f t="shared" si="39"/>
        <v>23.334463079752254</v>
      </c>
      <c r="CB34" s="22">
        <f t="shared" si="10"/>
        <v>188.53260053056843</v>
      </c>
      <c r="CC34" s="62">
        <f t="shared" si="11"/>
        <v>467.58549755160357</v>
      </c>
      <c r="CD34" s="62">
        <f ca="1">AVERAGE(OFFSET($CC$3,0,0,'Données projet'!$E$12+1,1))-AVERAGE(OFFSET($H$3,0,0,'Données projet'!$E$12+1,1))</f>
        <v>270.10151451661864</v>
      </c>
      <c r="CE34" s="62">
        <f t="shared" si="40"/>
        <v>294.47934482366804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projet'!$B$12,Paramètres!$A$1:$I$88,3,0)*0.475*44/12</f>
        <v>0</v>
      </c>
      <c r="CL34" s="23">
        <f>EXP(-LN(2)/25)*CL33+(1-EXP(-LN(2)/25))/(LN(2)/25)*Calculateur!CG34*Calculateur!CI34*VLOOKUP('Données projet'!$B$12,Paramètres!$A$1:$I$88,3,0)*0.475*44/12</f>
        <v>0</v>
      </c>
      <c r="CM34" s="23">
        <f>EXP(-LN(2)/2)*CM33+(1-EXP(-LN(2)/2))/(LN(2)/2)*CG34*CJ34*VLOOKUP('Données projet'!$B$12,Paramètres!$A$1:$I$88,3,0)*0.475*44/12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66.105335551191388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10.6</v>
      </c>
      <c r="CT34" s="13">
        <f>IF('Données projet'!$A$140&gt;35,CT33+CS34-DB33,IF(A34&lt;'Données projet'!$A$140,$CQ$205^A34,IF(A34='Données projet'!$A$140,'Données projet'!$B$140,CT33+CS34-DB33)))</f>
        <v>129.59999999999994</v>
      </c>
      <c r="CU34" s="18">
        <f>CT34*VLOOKUP('Données projet'!$B$13,Paramètres!$A$1:$I$88,3,0)*VLOOKUP('Données projet'!$B$13,Paramètres!$A$1:$I$88,5,0)</f>
        <v>84.913919999999962</v>
      </c>
      <c r="CV34" s="14">
        <f t="shared" si="41"/>
        <v>23.334463079752254</v>
      </c>
      <c r="CW34" s="22">
        <f t="shared" si="13"/>
        <v>188.53260053056843</v>
      </c>
      <c r="CX34" s="62">
        <f t="shared" si="14"/>
        <v>467.58549755160357</v>
      </c>
      <c r="CY34" s="62">
        <f ca="1">AVERAGE(OFFSET($CX$3,0,0,'Données projet'!$E$13+1,1))-AVERAGE(OFFSET($H$3,0,0,'Données projet'!$E$13+1,1))</f>
        <v>270.10151451661864</v>
      </c>
      <c r="CZ34" s="62">
        <f t="shared" si="42"/>
        <v>294.47934482366804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projet'!$B$13,Paramètres!$A$1:$I$88,3,0)*0.475*44/12</f>
        <v>0</v>
      </c>
      <c r="DG34" s="23">
        <f>EXP(-LN(2)/25)*DG33+(1-EXP(-LN(2)/25))/(LN(2)/25)*Calculateur!DB34*Calculateur!DD34*VLOOKUP('Données projet'!$B$13,Paramètres!$A$1:$I$88,3,0)*0.475*44/12</f>
        <v>0</v>
      </c>
      <c r="DH34" s="23">
        <f>EXP(-LN(2)/2)*DH33+(1-EXP(-LN(2)/2))/(LN(2)/2)*DB34*DE34*VLOOKUP('Données projet'!$B$13,Paramètres!$A$1:$I$88,3,0)*0.475*44/12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66.105335551191388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projet'!$B$14,Paramètres!$A$1:$I$88,3,0)*0.475*44/12</f>
        <v>#N/A</v>
      </c>
      <c r="EB34" s="23" t="e">
        <f>EXP(-LN(2)/25)*EB33+(1-EXP(-LN(2)/25))/(LN(2)/25)*Calculateur!DW34*Calculateur!DY34*VLOOKUP('Données projet'!$B$14,Paramètres!$A$1:$I$88,3,0)*0.475*44/12</f>
        <v>#N/A</v>
      </c>
      <c r="EC34" s="23" t="e">
        <f>EXP(-LN(2)/2)*EC33+(1-EXP(-LN(2)/2))/(LN(2)/2)*DW34*DZ34*VLOOKUP('Données projet'!$B$14,Paramètres!$A$1:$I$88,3,0)*0.475*44/12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66.105335551191388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66.105335551191388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66.105335551191388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66.105335551191388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1.34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4.9133333333333331</v>
      </c>
      <c r="H35" s="70">
        <f t="shared" si="1"/>
        <v>237.01333333333332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66.172899272212945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8.6</v>
      </c>
      <c r="N35" s="14">
        <f>IF('Données projet'!$A$36&gt;35,N34+M35-V34,IF(A35&lt;'Données projet'!$A$36,$K$205^A35,IF(A35='Données projet'!$A$36,'Données projet'!$B$36,N34+M35-V34)))</f>
        <v>114.19999999999999</v>
      </c>
      <c r="O35" s="14">
        <f>N35*VLOOKUP('Données projet'!$B$9,Paramètres!$A$1:$I$88,3,0)*VLOOKUP('Données projet'!$B$9,Paramètres!$A$1:$I$88,5,0)</f>
        <v>115.79879999999999</v>
      </c>
      <c r="P35" s="14">
        <f t="shared" si="33"/>
        <v>30.693115334311045</v>
      </c>
      <c r="Q35" s="22">
        <f t="shared" ref="Q35:Q66" si="53">(O35+P35)*0.475*44/12</f>
        <v>255.14008587392505</v>
      </c>
      <c r="R35" s="62">
        <f t="shared" si="0"/>
        <v>534.44071653870583</v>
      </c>
      <c r="S35" s="62">
        <f ca="1">AVERAGE(OFFSET($R$3,0,0,'Données projet'!$E$9+1,1))-AVERAGE(OFFSET($H$3,0,0,'Données projet'!$E$9+1,1))</f>
        <v>488.16146816015231</v>
      </c>
      <c r="T35" s="62">
        <f t="shared" si="34"/>
        <v>259.37115195552127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0</v>
      </c>
      <c r="AB35" s="23">
        <f>EXP(-LN(2)/2)*AB34+(1-EXP(-LN(2)/2))/(LN(2)/2)*V35*Y35*VLOOKUP('Données projet'!$B$9,Paramètres!$A$1:$I$88,3,0)*0.475*44/12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66.172899272212945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8.6</v>
      </c>
      <c r="AI35" s="14">
        <f>IF('Données projet'!$A$62&gt;35,AI34+AH35-AQ34,IF(A35&lt;'Données projet'!$A$62,$AF$205^A35,IF(A35='Données projet'!$A$62,'Données projet'!$B$62,AI34+AH35-AQ34)))</f>
        <v>114.19999999999999</v>
      </c>
      <c r="AJ35" s="14">
        <f>AI35*VLOOKUP('Données projet'!$B$10,Paramètres!$A$1:$I$88,3,0)*VLOOKUP('Données projet'!$B$10,Paramètres!$A$1:$I$88,5,0)</f>
        <v>103.32815999999998</v>
      </c>
      <c r="AK35" s="14">
        <f t="shared" si="35"/>
        <v>27.753368651496011</v>
      </c>
      <c r="AL35" s="22">
        <f t="shared" si="4"/>
        <v>228.30032906802219</v>
      </c>
      <c r="AM35" s="62">
        <f t="shared" si="5"/>
        <v>507.60095973280295</v>
      </c>
      <c r="AN35" s="62">
        <f ca="1">AVERAGE(OFFSET($AM$3,0,0,'Données projet'!$E$10+1,1))-AVERAGE(OFFSET($H$3,0,0,'Données projet'!$E$10+1,1))</f>
        <v>441.34749554136755</v>
      </c>
      <c r="AO35" s="62">
        <f t="shared" si="36"/>
        <v>236.49038586666222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0</v>
      </c>
      <c r="AV35" s="23">
        <f>EXP(-LN(2)/25)*AV34+(1-EXP(-LN(2)/25))/(LN(2)/25)*Calculateur!AQ35*Calculateur!AS35*VLOOKUP('Données projet'!$B$10,Paramètres!$A$1:$I$88,3,0)*0.475*44/12</f>
        <v>0</v>
      </c>
      <c r="AW35" s="23">
        <f>EXP(-LN(2)/2)*AW34+(1-EXP(-LN(2)/2))/(LN(2)/2)*AQ35*AT35*VLOOKUP('Données projet'!$B$10,Paramètres!$A$1:$I$88,3,0)*0.475*44/12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66.172899272212945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8.6</v>
      </c>
      <c r="BD35" s="13">
        <f>IF('Données projet'!$A$88&gt;35,BD34+BC35-BL34,IF(A35&lt;'Données projet'!$A$88,$BA$205^A35,IF(A35='Données projet'!$A$88,'Données projet'!$B$88,BD34+BC35-BL34)))</f>
        <v>114.19999999999999</v>
      </c>
      <c r="BE35" s="14">
        <f>BD35*VLOOKUP('Données projet'!$B$11,Paramètres!$A$1:$I$88,3,0)*VLOOKUP('Données projet'!$B$11,Paramètres!$A$1:$I$88,5,0)</f>
        <v>122.92487999999999</v>
      </c>
      <c r="BF35" s="14">
        <f t="shared" si="37"/>
        <v>32.356220469980919</v>
      </c>
      <c r="BG35" s="22">
        <f t="shared" si="7"/>
        <v>270.44791665188342</v>
      </c>
      <c r="BH35" s="62">
        <f t="shared" si="8"/>
        <v>549.74854731666414</v>
      </c>
      <c r="BI35" s="62">
        <f ca="1">AVERAGE(OFFSET($BH$3,0,0,'Données projet'!$E$11+1,1))-AVERAGE(OFFSET($H$3,0,0,'Données projet'!$E$11+1,1))</f>
        <v>514.86487884889584</v>
      </c>
      <c r="BJ35" s="62">
        <f t="shared" si="38"/>
        <v>272.4206208356191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projet'!$B$11,Paramètres!$A$1:$I$88,3,0)*0.475*44/12</f>
        <v>0</v>
      </c>
      <c r="BQ35" s="23">
        <f>EXP(-LN(2)/25)*BQ34+(1-EXP(-LN(2)/25))/(LN(2)/25)*Calculateur!BL35*Calculateur!BN35*VLOOKUP('Données projet'!$B$11,Paramètres!$A$1:$I$88,3,0)*0.475*44/12</f>
        <v>0</v>
      </c>
      <c r="BR35" s="23">
        <f>EXP(-LN(2)/2)*BR34+(1-EXP(-LN(2)/2))/(LN(2)/2)*BL35*BO35*VLOOKUP('Données projet'!$B$11,Paramètres!$A$1:$I$88,3,0)*0.475*44/12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66.172899272212945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10.6</v>
      </c>
      <c r="BY35" s="13">
        <f>IF('Données projet'!$A$114&gt;35,BY34+BX35-CG34,IF(A35&lt;'Données projet'!$A$114,$BV$205^A35,IF(A35='Données projet'!$A$114,'Données projet'!$B$114,BY34+BX35-CG34)))</f>
        <v>140.19999999999993</v>
      </c>
      <c r="BZ35" s="14">
        <f>BY35*VLOOKUP('Données projet'!$B$12,Paramètres!$A$1:$I$88,3,0)*VLOOKUP('Données projet'!$B$12,Paramètres!$A$1:$I$88,5,0)</f>
        <v>91.859039999999965</v>
      </c>
      <c r="CA35" s="14">
        <f t="shared" si="39"/>
        <v>25.013045770946896</v>
      </c>
      <c r="CB35" s="22">
        <f t="shared" si="10"/>
        <v>203.55221605106576</v>
      </c>
      <c r="CC35" s="62">
        <f t="shared" si="11"/>
        <v>482.85284671584657</v>
      </c>
      <c r="CD35" s="62">
        <f ca="1">AVERAGE(OFFSET($CC$3,0,0,'Données projet'!$E$12+1,1))-AVERAGE(OFFSET($H$3,0,0,'Données projet'!$E$12+1,1))</f>
        <v>270.10151451661864</v>
      </c>
      <c r="CE35" s="62">
        <f t="shared" si="40"/>
        <v>294.47934482366804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projet'!$B$12,Paramètres!$A$1:$I$88,3,0)*0.475*44/12</f>
        <v>0</v>
      </c>
      <c r="CL35" s="23">
        <f>EXP(-LN(2)/25)*CL34+(1-EXP(-LN(2)/25))/(LN(2)/25)*Calculateur!CG35*Calculateur!CI35*VLOOKUP('Données projet'!$B$12,Paramètres!$A$1:$I$88,3,0)*0.475*44/12</f>
        <v>0</v>
      </c>
      <c r="CM35" s="23">
        <f>EXP(-LN(2)/2)*CM34+(1-EXP(-LN(2)/2))/(LN(2)/2)*CG35*CJ35*VLOOKUP('Données projet'!$B$12,Paramètres!$A$1:$I$88,3,0)*0.475*44/12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66.172899272212945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10.6</v>
      </c>
      <c r="CT35" s="13">
        <f>IF('Données projet'!$A$140&gt;35,CT34+CS35-DB34,IF(A35&lt;'Données projet'!$A$140,$CQ$205^A35,IF(A35='Données projet'!$A$140,'Données projet'!$B$140,CT34+CS35-DB34)))</f>
        <v>140.19999999999993</v>
      </c>
      <c r="CU35" s="18">
        <f>CT35*VLOOKUP('Données projet'!$B$13,Paramètres!$A$1:$I$88,3,0)*VLOOKUP('Données projet'!$B$13,Paramètres!$A$1:$I$88,5,0)</f>
        <v>91.859039999999965</v>
      </c>
      <c r="CV35" s="14">
        <f t="shared" si="41"/>
        <v>25.013045770946896</v>
      </c>
      <c r="CW35" s="22">
        <f t="shared" si="13"/>
        <v>203.55221605106576</v>
      </c>
      <c r="CX35" s="62">
        <f t="shared" si="14"/>
        <v>482.85284671584657</v>
      </c>
      <c r="CY35" s="62">
        <f ca="1">AVERAGE(OFFSET($CX$3,0,0,'Données projet'!$E$13+1,1))-AVERAGE(OFFSET($H$3,0,0,'Données projet'!$E$13+1,1))</f>
        <v>270.10151451661864</v>
      </c>
      <c r="CZ35" s="62">
        <f t="shared" si="42"/>
        <v>294.47934482366804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projet'!$B$13,Paramètres!$A$1:$I$88,3,0)*0.475*44/12</f>
        <v>0</v>
      </c>
      <c r="DG35" s="23">
        <f>EXP(-LN(2)/25)*DG34+(1-EXP(-LN(2)/25))/(LN(2)/25)*Calculateur!DB35*Calculateur!DD35*VLOOKUP('Données projet'!$B$13,Paramètres!$A$1:$I$88,3,0)*0.475*44/12</f>
        <v>0</v>
      </c>
      <c r="DH35" s="23">
        <f>EXP(-LN(2)/2)*DH34+(1-EXP(-LN(2)/2))/(LN(2)/2)*DB35*DE35*VLOOKUP('Données projet'!$B$13,Paramètres!$A$1:$I$88,3,0)*0.475*44/12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66.172899272212945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projet'!$B$14,Paramètres!$A$1:$I$88,3,0)*0.475*44/12</f>
        <v>#N/A</v>
      </c>
      <c r="EB35" s="23" t="e">
        <f>EXP(-LN(2)/25)*EB34+(1-EXP(-LN(2)/25))/(LN(2)/25)*Calculateur!DW35*Calculateur!DY35*VLOOKUP('Données projet'!$B$14,Paramètres!$A$1:$I$88,3,0)*0.475*44/12</f>
        <v>#N/A</v>
      </c>
      <c r="EC35" s="23" t="e">
        <f>EXP(-LN(2)/2)*EC34+(1-EXP(-LN(2)/2))/(LN(2)/2)*DW35*DZ35*VLOOKUP('Données projet'!$B$14,Paramètres!$A$1:$I$88,3,0)*0.475*44/12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66.172899272212945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66.172899272212945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66.172899272212945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66.172899272212945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1.34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4.9133333333333331</v>
      </c>
      <c r="H36" s="70">
        <f t="shared" si="1"/>
        <v>237.01333333333332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66.239290913724616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8.6</v>
      </c>
      <c r="N36" s="14">
        <f>IF('Données projet'!$A$36&gt;35,N35+M36-V35,IF(A36&lt;'Données projet'!$A$36,$K$205^A36,IF(A36='Données projet'!$A$36,'Données projet'!$B$36,N35+M36-V35)))</f>
        <v>122.79999999999998</v>
      </c>
      <c r="O36" s="14">
        <f>N36*VLOOKUP('Données projet'!$B$9,Paramètres!$A$1:$I$88,3,0)*VLOOKUP('Données projet'!$B$9,Paramètres!$A$1:$I$88,5,0)</f>
        <v>124.5192</v>
      </c>
      <c r="P36" s="14">
        <f t="shared" si="33"/>
        <v>32.726749993106417</v>
      </c>
      <c r="Q36" s="22">
        <f t="shared" si="53"/>
        <v>273.870029571327</v>
      </c>
      <c r="R36" s="62">
        <f t="shared" si="0"/>
        <v>553.41409625498386</v>
      </c>
      <c r="S36" s="62">
        <f ca="1">AVERAGE(OFFSET($R$3,0,0,'Données projet'!$E$9+1,1))-AVERAGE(OFFSET($H$3,0,0,'Données projet'!$E$9+1,1))</f>
        <v>488.16146816015231</v>
      </c>
      <c r="T36" s="62">
        <f t="shared" si="34"/>
        <v>259.37115195552127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0</v>
      </c>
      <c r="AB36" s="23">
        <f>EXP(-LN(2)/2)*AB35+(1-EXP(-LN(2)/2))/(LN(2)/2)*V36*Y36*VLOOKUP('Données projet'!$B$9,Paramètres!$A$1:$I$88,3,0)*0.475*44/12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66.239290913724616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8.6</v>
      </c>
      <c r="AI36" s="14">
        <f>IF('Données projet'!$A$62&gt;35,AI35+AH36-AQ35,IF(A36&lt;'Données projet'!$A$62,$AF$205^A36,IF(A36='Données projet'!$A$62,'Données projet'!$B$62,AI35+AH36-AQ35)))</f>
        <v>122.79999999999998</v>
      </c>
      <c r="AJ36" s="14">
        <f>AI36*VLOOKUP('Données projet'!$B$10,Paramètres!$A$1:$I$88,3,0)*VLOOKUP('Données projet'!$B$10,Paramètres!$A$1:$I$88,5,0)</f>
        <v>111.10943999999999</v>
      </c>
      <c r="AK36" s="14">
        <f t="shared" si="35"/>
        <v>29.592224426586235</v>
      </c>
      <c r="AL36" s="22">
        <f t="shared" si="4"/>
        <v>245.05539887630434</v>
      </c>
      <c r="AM36" s="62">
        <f t="shared" si="5"/>
        <v>524.59946555996123</v>
      </c>
      <c r="AN36" s="62">
        <f ca="1">AVERAGE(OFFSET($AM$3,0,0,'Données projet'!$E$10+1,1))-AVERAGE(OFFSET($H$3,0,0,'Données projet'!$E$10+1,1))</f>
        <v>441.34749554136755</v>
      </c>
      <c r="AO36" s="62">
        <f t="shared" si="36"/>
        <v>236.49038586666222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0</v>
      </c>
      <c r="AV36" s="23">
        <f>EXP(-LN(2)/25)*AV35+(1-EXP(-LN(2)/25))/(LN(2)/25)*Calculateur!AQ36*Calculateur!AS36*VLOOKUP('Données projet'!$B$10,Paramètres!$A$1:$I$88,3,0)*0.475*44/12</f>
        <v>0</v>
      </c>
      <c r="AW36" s="23">
        <f>EXP(-LN(2)/2)*AW35+(1-EXP(-LN(2)/2))/(LN(2)/2)*AQ36*AT36*VLOOKUP('Données projet'!$B$10,Paramètres!$A$1:$I$88,3,0)*0.475*44/12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66.239290913724616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8.6</v>
      </c>
      <c r="BD36" s="13">
        <f>IF('Données projet'!$A$88&gt;35,BD35+BC36-BL35,IF(A36&lt;'Données projet'!$A$88,$BA$205^A36,IF(A36='Données projet'!$A$88,'Données projet'!$B$88,BD35+BC36-BL35)))</f>
        <v>122.79999999999998</v>
      </c>
      <c r="BE36" s="14">
        <f>BD36*VLOOKUP('Données projet'!$B$11,Paramètres!$A$1:$I$88,3,0)*VLOOKUP('Données projet'!$B$11,Paramètres!$A$1:$I$88,5,0)</f>
        <v>132.18191999999999</v>
      </c>
      <c r="BF36" s="14">
        <f t="shared" si="37"/>
        <v>34.500047535388696</v>
      </c>
      <c r="BG36" s="22">
        <f t="shared" si="7"/>
        <v>290.30442679080193</v>
      </c>
      <c r="BH36" s="62">
        <f t="shared" si="8"/>
        <v>569.84849347445879</v>
      </c>
      <c r="BI36" s="62">
        <f ca="1">AVERAGE(OFFSET($BH$3,0,0,'Données projet'!$E$11+1,1))-AVERAGE(OFFSET($H$3,0,0,'Données projet'!$E$11+1,1))</f>
        <v>514.86487884889584</v>
      </c>
      <c r="BJ36" s="62">
        <f t="shared" si="38"/>
        <v>272.4206208356191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projet'!$B$11,Paramètres!$A$1:$I$88,3,0)*0.475*44/12</f>
        <v>0</v>
      </c>
      <c r="BQ36" s="23">
        <f>EXP(-LN(2)/25)*BQ35+(1-EXP(-LN(2)/25))/(LN(2)/25)*Calculateur!BL36*Calculateur!BN36*VLOOKUP('Données projet'!$B$11,Paramètres!$A$1:$I$88,3,0)*0.475*44/12</f>
        <v>0</v>
      </c>
      <c r="BR36" s="23">
        <f>EXP(-LN(2)/2)*BR35+(1-EXP(-LN(2)/2))/(LN(2)/2)*BL36*BO36*VLOOKUP('Données projet'!$B$11,Paramètres!$A$1:$I$88,3,0)*0.475*44/12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66.239290913724616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10.6</v>
      </c>
      <c r="BY36" s="13">
        <f>IF('Données projet'!$A$114&gt;35,BY35+BX36-CG35,IF(A36&lt;'Données projet'!$A$114,$BV$205^A36,IF(A36='Données projet'!$A$114,'Données projet'!$B$114,BY35+BX36-CG35)))</f>
        <v>150.79999999999993</v>
      </c>
      <c r="BZ36" s="14">
        <f>BY36*VLOOKUP('Données projet'!$B$12,Paramètres!$A$1:$I$88,3,0)*VLOOKUP('Données projet'!$B$12,Paramètres!$A$1:$I$88,5,0)</f>
        <v>98.804159999999953</v>
      </c>
      <c r="CA36" s="14">
        <f t="shared" si="39"/>
        <v>26.676905991504523</v>
      </c>
      <c r="CB36" s="22">
        <f t="shared" si="10"/>
        <v>218.54618993520364</v>
      </c>
      <c r="CC36" s="62">
        <f t="shared" si="11"/>
        <v>498.09025661886056</v>
      </c>
      <c r="CD36" s="62">
        <f ca="1">AVERAGE(OFFSET($CC$3,0,0,'Données projet'!$E$12+1,1))-AVERAGE(OFFSET($H$3,0,0,'Données projet'!$E$12+1,1))</f>
        <v>270.10151451661864</v>
      </c>
      <c r="CE36" s="62">
        <f t="shared" si="40"/>
        <v>294.47934482366804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projet'!$B$12,Paramètres!$A$1:$I$88,3,0)*0.475*44/12</f>
        <v>0</v>
      </c>
      <c r="CL36" s="23">
        <f>EXP(-LN(2)/25)*CL35+(1-EXP(-LN(2)/25))/(LN(2)/25)*Calculateur!CG36*Calculateur!CI36*VLOOKUP('Données projet'!$B$12,Paramètres!$A$1:$I$88,3,0)*0.475*44/12</f>
        <v>0</v>
      </c>
      <c r="CM36" s="23">
        <f>EXP(-LN(2)/2)*CM35+(1-EXP(-LN(2)/2))/(LN(2)/2)*CG36*CJ36*VLOOKUP('Données projet'!$B$12,Paramètres!$A$1:$I$88,3,0)*0.475*44/12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66.239290913724616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10.6</v>
      </c>
      <c r="CT36" s="13">
        <f>IF('Données projet'!$A$140&gt;35,CT35+CS36-DB35,IF(A36&lt;'Données projet'!$A$140,$CQ$205^A36,IF(A36='Données projet'!$A$140,'Données projet'!$B$140,CT35+CS36-DB35)))</f>
        <v>150.79999999999993</v>
      </c>
      <c r="CU36" s="18">
        <f>CT36*VLOOKUP('Données projet'!$B$13,Paramètres!$A$1:$I$88,3,0)*VLOOKUP('Données projet'!$B$13,Paramètres!$A$1:$I$88,5,0)</f>
        <v>98.804159999999953</v>
      </c>
      <c r="CV36" s="14">
        <f t="shared" si="41"/>
        <v>26.676905991504523</v>
      </c>
      <c r="CW36" s="22">
        <f t="shared" si="13"/>
        <v>218.54618993520364</v>
      </c>
      <c r="CX36" s="62">
        <f t="shared" si="14"/>
        <v>498.09025661886056</v>
      </c>
      <c r="CY36" s="62">
        <f ca="1">AVERAGE(OFFSET($CX$3,0,0,'Données projet'!$E$13+1,1))-AVERAGE(OFFSET($H$3,0,0,'Données projet'!$E$13+1,1))</f>
        <v>270.10151451661864</v>
      </c>
      <c r="CZ36" s="62">
        <f t="shared" si="42"/>
        <v>294.47934482366804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projet'!$B$13,Paramètres!$A$1:$I$88,3,0)*0.475*44/12</f>
        <v>0</v>
      </c>
      <c r="DG36" s="23">
        <f>EXP(-LN(2)/25)*DG35+(1-EXP(-LN(2)/25))/(LN(2)/25)*Calculateur!DB36*Calculateur!DD36*VLOOKUP('Données projet'!$B$13,Paramètres!$A$1:$I$88,3,0)*0.475*44/12</f>
        <v>0</v>
      </c>
      <c r="DH36" s="23">
        <f>EXP(-LN(2)/2)*DH35+(1-EXP(-LN(2)/2))/(LN(2)/2)*DB36*DE36*VLOOKUP('Données projet'!$B$13,Paramètres!$A$1:$I$88,3,0)*0.475*44/12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66.239290913724616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projet'!$B$14,Paramètres!$A$1:$I$88,3,0)*0.475*44/12</f>
        <v>#N/A</v>
      </c>
      <c r="EB36" s="23" t="e">
        <f>EXP(-LN(2)/25)*EB35+(1-EXP(-LN(2)/25))/(LN(2)/25)*Calculateur!DW36*Calculateur!DY36*VLOOKUP('Données projet'!$B$14,Paramètres!$A$1:$I$88,3,0)*0.475*44/12</f>
        <v>#N/A</v>
      </c>
      <c r="EC36" s="23" t="e">
        <f>EXP(-LN(2)/2)*EC35+(1-EXP(-LN(2)/2))/(LN(2)/2)*DW36*DZ36*VLOOKUP('Données projet'!$B$14,Paramètres!$A$1:$I$88,3,0)*0.475*44/12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66.239290913724616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66.239290913724616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66.239290913724616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66.239290913724616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1.34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4.9133333333333331</v>
      </c>
      <c r="H37" s="70">
        <f t="shared" si="1"/>
        <v>237.01333333333332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66.304530808685541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8.6</v>
      </c>
      <c r="N37" s="14">
        <f>IF('Données projet'!$A$36&gt;35,N36+M37-V36,IF(A37&lt;'Données projet'!$A$36,$K$205^A37,IF(A37='Données projet'!$A$36,'Données projet'!$B$36,N36+M37-V36)))</f>
        <v>131.39999999999998</v>
      </c>
      <c r="O37" s="14">
        <f>N37*VLOOKUP('Données projet'!$B$9,Paramètres!$A$1:$I$88,3,0)*VLOOKUP('Données projet'!$B$9,Paramètres!$A$1:$I$88,5,0)</f>
        <v>133.23959999999997</v>
      </c>
      <c r="P37" s="14">
        <f t="shared" si="33"/>
        <v>34.743860019521328</v>
      </c>
      <c r="Q37" s="22">
        <f t="shared" si="53"/>
        <v>292.57119286733285</v>
      </c>
      <c r="R37" s="62">
        <f t="shared" si="0"/>
        <v>572.35447249917979</v>
      </c>
      <c r="S37" s="62">
        <f ca="1">AVERAGE(OFFSET($R$3,0,0,'Données projet'!$E$9+1,1))-AVERAGE(OFFSET($H$3,0,0,'Données projet'!$E$9+1,1))</f>
        <v>488.16146816015231</v>
      </c>
      <c r="T37" s="62">
        <f t="shared" si="34"/>
        <v>259.37115195552127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0</v>
      </c>
      <c r="AB37" s="23">
        <f>EXP(-LN(2)/2)*AB36+(1-EXP(-LN(2)/2))/(LN(2)/2)*V37*Y37*VLOOKUP('Données projet'!$B$9,Paramètres!$A$1:$I$88,3,0)*0.475*44/12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66.304530808685541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8.6</v>
      </c>
      <c r="AI37" s="14">
        <f>IF('Données projet'!$A$62&gt;35,AI36+AH37-AQ36,IF(A37&lt;'Données projet'!$A$62,$AF$205^A37,IF(A37='Données projet'!$A$62,'Données projet'!$B$62,AI36+AH37-AQ36)))</f>
        <v>131.39999999999998</v>
      </c>
      <c r="AJ37" s="14">
        <f>AI37*VLOOKUP('Données projet'!$B$10,Paramètres!$A$1:$I$88,3,0)*VLOOKUP('Données projet'!$B$10,Paramètres!$A$1:$I$88,5,0)</f>
        <v>118.89071999999996</v>
      </c>
      <c r="AK37" s="14">
        <f t="shared" si="35"/>
        <v>31.416138277101783</v>
      </c>
      <c r="AL37" s="22">
        <f t="shared" si="4"/>
        <v>261.78444483261882</v>
      </c>
      <c r="AM37" s="62">
        <f t="shared" si="5"/>
        <v>541.56772446446575</v>
      </c>
      <c r="AN37" s="62">
        <f ca="1">AVERAGE(OFFSET($AM$3,0,0,'Données projet'!$E$10+1,1))-AVERAGE(OFFSET($H$3,0,0,'Données projet'!$E$10+1,1))</f>
        <v>441.34749554136755</v>
      </c>
      <c r="AO37" s="62">
        <f t="shared" si="36"/>
        <v>236.49038586666222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0</v>
      </c>
      <c r="AV37" s="23">
        <f>EXP(-LN(2)/25)*AV36+(1-EXP(-LN(2)/25))/(LN(2)/25)*Calculateur!AQ37*Calculateur!AS37*VLOOKUP('Données projet'!$B$10,Paramètres!$A$1:$I$88,3,0)*0.475*44/12</f>
        <v>0</v>
      </c>
      <c r="AW37" s="23">
        <f>EXP(-LN(2)/2)*AW36+(1-EXP(-LN(2)/2))/(LN(2)/2)*AQ37*AT37*VLOOKUP('Données projet'!$B$10,Paramètres!$A$1:$I$88,3,0)*0.475*44/12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66.304530808685541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8.6</v>
      </c>
      <c r="BD37" s="13">
        <f>IF('Données projet'!$A$88&gt;35,BD36+BC37-BL36,IF(A37&lt;'Données projet'!$A$88,$BA$205^A37,IF(A37='Données projet'!$A$88,'Données projet'!$B$88,BD36+BC37-BL36)))</f>
        <v>131.39999999999998</v>
      </c>
      <c r="BE37" s="14">
        <f>BD37*VLOOKUP('Données projet'!$B$11,Paramètres!$A$1:$I$88,3,0)*VLOOKUP('Données projet'!$B$11,Paramètres!$A$1:$I$88,5,0)</f>
        <v>141.43895999999998</v>
      </c>
      <c r="BF37" s="14">
        <f t="shared" si="37"/>
        <v>36.62645458192042</v>
      </c>
      <c r="BG37" s="22">
        <f t="shared" si="7"/>
        <v>310.1305970635114</v>
      </c>
      <c r="BH37" s="62">
        <f t="shared" si="8"/>
        <v>589.91387669535834</v>
      </c>
      <c r="BI37" s="62">
        <f ca="1">AVERAGE(OFFSET($BH$3,0,0,'Données projet'!$E$11+1,1))-AVERAGE(OFFSET($H$3,0,0,'Données projet'!$E$11+1,1))</f>
        <v>514.86487884889584</v>
      </c>
      <c r="BJ37" s="62">
        <f t="shared" si="38"/>
        <v>272.4206208356191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projet'!$B$11,Paramètres!$A$1:$I$88,3,0)*0.475*44/12</f>
        <v>0</v>
      </c>
      <c r="BQ37" s="23">
        <f>EXP(-LN(2)/25)*BQ36+(1-EXP(-LN(2)/25))/(LN(2)/25)*Calculateur!BL37*Calculateur!BN37*VLOOKUP('Données projet'!$B$11,Paramètres!$A$1:$I$88,3,0)*0.475*44/12</f>
        <v>0</v>
      </c>
      <c r="BR37" s="23">
        <f>EXP(-LN(2)/2)*BR36+(1-EXP(-LN(2)/2))/(LN(2)/2)*BL37*BO37*VLOOKUP('Données projet'!$B$11,Paramètres!$A$1:$I$88,3,0)*0.475*44/12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66.304530808685541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10.6</v>
      </c>
      <c r="BY37" s="13">
        <f>IF('Données projet'!$A$114&gt;35,BY36+BX37-CG36,IF(A37&lt;'Données projet'!$A$114,$BV$205^A37,IF(A37='Données projet'!$A$114,'Données projet'!$B$114,BY36+BX37-CG36)))</f>
        <v>161.39999999999992</v>
      </c>
      <c r="BZ37" s="14">
        <f>BY37*VLOOKUP('Données projet'!$B$12,Paramètres!$A$1:$I$88,3,0)*VLOOKUP('Données projet'!$B$12,Paramètres!$A$1:$I$88,5,0)</f>
        <v>105.74927999999996</v>
      </c>
      <c r="CA37" s="14">
        <f t="shared" si="39"/>
        <v>28.327196320252874</v>
      </c>
      <c r="CB37" s="22">
        <f t="shared" si="10"/>
        <v>233.516529591107</v>
      </c>
      <c r="CC37" s="62">
        <f t="shared" si="11"/>
        <v>513.29980922295397</v>
      </c>
      <c r="CD37" s="62">
        <f ca="1">AVERAGE(OFFSET($CC$3,0,0,'Données projet'!$E$12+1,1))-AVERAGE(OFFSET($H$3,0,0,'Données projet'!$E$12+1,1))</f>
        <v>270.10151451661864</v>
      </c>
      <c r="CE37" s="62">
        <f t="shared" si="40"/>
        <v>294.47934482366804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projet'!$B$12,Paramètres!$A$1:$I$88,3,0)*0.475*44/12</f>
        <v>0</v>
      </c>
      <c r="CL37" s="23">
        <f>EXP(-LN(2)/25)*CL36+(1-EXP(-LN(2)/25))/(LN(2)/25)*Calculateur!CG37*Calculateur!CI37*VLOOKUP('Données projet'!$B$12,Paramètres!$A$1:$I$88,3,0)*0.475*44/12</f>
        <v>0</v>
      </c>
      <c r="CM37" s="23">
        <f>EXP(-LN(2)/2)*CM36+(1-EXP(-LN(2)/2))/(LN(2)/2)*CG37*CJ37*VLOOKUP('Données projet'!$B$12,Paramètres!$A$1:$I$88,3,0)*0.475*44/12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66.304530808685541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10.6</v>
      </c>
      <c r="CT37" s="13">
        <f>IF('Données projet'!$A$140&gt;35,CT36+CS37-DB36,IF(A37&lt;'Données projet'!$A$140,$CQ$205^A37,IF(A37='Données projet'!$A$140,'Données projet'!$B$140,CT36+CS37-DB36)))</f>
        <v>161.39999999999992</v>
      </c>
      <c r="CU37" s="18">
        <f>CT37*VLOOKUP('Données projet'!$B$13,Paramètres!$A$1:$I$88,3,0)*VLOOKUP('Données projet'!$B$13,Paramètres!$A$1:$I$88,5,0)</f>
        <v>105.74927999999996</v>
      </c>
      <c r="CV37" s="14">
        <f t="shared" si="41"/>
        <v>28.327196320252874</v>
      </c>
      <c r="CW37" s="22">
        <f t="shared" si="13"/>
        <v>233.516529591107</v>
      </c>
      <c r="CX37" s="62">
        <f t="shared" si="14"/>
        <v>513.29980922295397</v>
      </c>
      <c r="CY37" s="62">
        <f ca="1">AVERAGE(OFFSET($CX$3,0,0,'Données projet'!$E$13+1,1))-AVERAGE(OFFSET($H$3,0,0,'Données projet'!$E$13+1,1))</f>
        <v>270.10151451661864</v>
      </c>
      <c r="CZ37" s="62">
        <f t="shared" si="42"/>
        <v>294.47934482366804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projet'!$B$13,Paramètres!$A$1:$I$88,3,0)*0.475*44/12</f>
        <v>0</v>
      </c>
      <c r="DG37" s="23">
        <f>EXP(-LN(2)/25)*DG36+(1-EXP(-LN(2)/25))/(LN(2)/25)*Calculateur!DB37*Calculateur!DD37*VLOOKUP('Données projet'!$B$13,Paramètres!$A$1:$I$88,3,0)*0.475*44/12</f>
        <v>0</v>
      </c>
      <c r="DH37" s="23">
        <f>EXP(-LN(2)/2)*DH36+(1-EXP(-LN(2)/2))/(LN(2)/2)*DB37*DE37*VLOOKUP('Données projet'!$B$13,Paramètres!$A$1:$I$88,3,0)*0.475*44/12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66.304530808685541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projet'!$B$14,Paramètres!$A$1:$I$88,3,0)*0.475*44/12</f>
        <v>#N/A</v>
      </c>
      <c r="EB37" s="23" t="e">
        <f>EXP(-LN(2)/25)*EB36+(1-EXP(-LN(2)/25))/(LN(2)/25)*Calculateur!DW37*Calculateur!DY37*VLOOKUP('Données projet'!$B$14,Paramètres!$A$1:$I$88,3,0)*0.475*44/12</f>
        <v>#N/A</v>
      </c>
      <c r="EC37" s="23" t="e">
        <f>EXP(-LN(2)/2)*EC36+(1-EXP(-LN(2)/2))/(LN(2)/2)*DW37*DZ37*VLOOKUP('Données projet'!$B$14,Paramètres!$A$1:$I$88,3,0)*0.475*44/12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66.304530808685541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66.304530808685541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66.304530808685541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66.304530808685541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1.34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4.9133333333333331</v>
      </c>
      <c r="H38" s="70">
        <f t="shared" si="1"/>
        <v>237.01333333333332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66.368638937323453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140</v>
      </c>
      <c r="L38" s="13">
        <f>VLOOKUP(A38,'Données projet'!$A$35:$I$55,9,0)</f>
        <v>8.6</v>
      </c>
      <c r="M38" s="13">
        <f t="array" ref="M38">INDEX(L:L,MIN(IF(ISNUMBER(L38:L234),ROW(L38:L234),"")))</f>
        <v>8.6</v>
      </c>
      <c r="N38" s="14">
        <f>IF('Données projet'!$A$36&gt;35,N37+M38-V37,IF(A38&lt;'Données projet'!$A$36,$K$205^A38,IF(A38='Données projet'!$A$36,'Données projet'!$B$36,N37+M38-V37)))</f>
        <v>139.99999999999997</v>
      </c>
      <c r="O38" s="14">
        <f>N38*VLOOKUP('Données projet'!$B$9,Paramètres!$A$1:$I$88,3,0)*VLOOKUP('Données projet'!$B$9,Paramètres!$A$1:$I$88,5,0)</f>
        <v>141.95999999999998</v>
      </c>
      <c r="P38" s="14">
        <f t="shared" si="33"/>
        <v>36.745650011720485</v>
      </c>
      <c r="Q38" s="22">
        <f t="shared" si="53"/>
        <v>311.24567377041313</v>
      </c>
      <c r="R38" s="62">
        <f t="shared" si="0"/>
        <v>591.26401654059919</v>
      </c>
      <c r="S38" s="62">
        <f ca="1">AVERAGE(OFFSET($R$3,0,0,'Données projet'!$E$9+1,1))-AVERAGE(OFFSET($H$3,0,0,'Données projet'!$E$9+1,1))</f>
        <v>488.16146816015231</v>
      </c>
      <c r="T38" s="62">
        <f t="shared" si="34"/>
        <v>259.37115195552127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0</v>
      </c>
      <c r="AA38" s="23">
        <f>EXP(-LN(2)/25)*AA37+(1-EXP(-LN(2)/25))/(LN(2)/25)*Calculateur!V38*Calculateur!X38*VLOOKUP('Données projet'!$B$9,Paramètres!$A$1:$I$88,3,0)*0.475*44/12</f>
        <v>0</v>
      </c>
      <c r="AB38" s="23">
        <f>EXP(-LN(2)/2)*AB37+(1-EXP(-LN(2)/2))/(LN(2)/2)*V38*Y38*VLOOKUP('Données projet'!$B$9,Paramètres!$A$1:$I$88,3,0)*0.475*44/12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66.368638937323453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140</v>
      </c>
      <c r="AG38" s="13">
        <f>VLOOKUP(A38,'Données projet'!$A$61:$I$81,9,0)</f>
        <v>8.6</v>
      </c>
      <c r="AH38" s="13">
        <f t="array" ref="AH38">INDEX(AG:AG,MIN(IF(ISNUMBER(AG38:AG234),ROW(AG38:AG234),"")))</f>
        <v>8.6</v>
      </c>
      <c r="AI38" s="14">
        <f>IF('Données projet'!$A$62&gt;35,AI37+AH38-AQ37,IF(A38&lt;'Données projet'!$A$62,$AF$205^A38,IF(A38='Données projet'!$A$62,'Données projet'!$B$62,AI37+AH38-AQ37)))</f>
        <v>139.99999999999997</v>
      </c>
      <c r="AJ38" s="14">
        <f>AI38*VLOOKUP('Données projet'!$B$10,Paramètres!$A$1:$I$88,3,0)*VLOOKUP('Données projet'!$B$10,Paramètres!$A$1:$I$88,5,0)</f>
        <v>126.67199999999997</v>
      </c>
      <c r="AK38" s="14">
        <f t="shared" si="35"/>
        <v>33.226199426361319</v>
      </c>
      <c r="AL38" s="22">
        <f t="shared" si="4"/>
        <v>278.48936400091259</v>
      </c>
      <c r="AM38" s="62">
        <f t="shared" si="5"/>
        <v>558.50770677109858</v>
      </c>
      <c r="AN38" s="62">
        <f ca="1">AVERAGE(OFFSET($AM$3,0,0,'Données projet'!$E$10+1,1))-AVERAGE(OFFSET($H$3,0,0,'Données projet'!$E$10+1,1))</f>
        <v>441.34749554136755</v>
      </c>
      <c r="AO38" s="62">
        <f t="shared" si="36"/>
        <v>236.49038586666222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42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projet'!$B$10,Paramètres!$A$1:$I$88,3,0)*0.475*44/12</f>
        <v>0</v>
      </c>
      <c r="AV38" s="23">
        <f>EXP(-LN(2)/25)*AV37+(1-EXP(-LN(2)/25))/(LN(2)/25)*Calculateur!AQ38*Calculateur!AS38*VLOOKUP('Données projet'!$B$10,Paramètres!$A$1:$I$88,3,0)*0.475*44/12</f>
        <v>0</v>
      </c>
      <c r="AW38" s="23">
        <f>EXP(-LN(2)/2)*AW37+(1-EXP(-LN(2)/2))/(LN(2)/2)*AQ38*AT38*VLOOKUP('Données projet'!$B$10,Paramètres!$A$1:$I$88,3,0)*0.475*44/12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66.368638937323453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140</v>
      </c>
      <c r="BB38" s="13">
        <f>VLOOKUP(A38,'Données projet'!$A$87:$I$107,9,0)</f>
        <v>8.6</v>
      </c>
      <c r="BC38" s="13">
        <f t="array" ref="BC38">INDEX(BB:BB,MIN(IF(ISNUMBER(BB38:BB234),ROW(BB38:BB234),"")))</f>
        <v>8.6</v>
      </c>
      <c r="BD38" s="13">
        <f>IF('Données projet'!$A$88&gt;35,BD37+BC38-BL37,IF(A38&lt;'Données projet'!$A$88,$BA$205^A38,IF(A38='Données projet'!$A$88,'Données projet'!$B$88,BD37+BC38-BL37)))</f>
        <v>139.99999999999997</v>
      </c>
      <c r="BE38" s="14">
        <f>BD38*VLOOKUP('Données projet'!$B$11,Paramètres!$A$1:$I$88,3,0)*VLOOKUP('Données projet'!$B$11,Paramètres!$A$1:$I$88,5,0)</f>
        <v>150.69599999999994</v>
      </c>
      <c r="BF38" s="14">
        <f t="shared" si="37"/>
        <v>38.736711478840633</v>
      </c>
      <c r="BG38" s="22">
        <f t="shared" si="7"/>
        <v>329.92863915898073</v>
      </c>
      <c r="BH38" s="62">
        <f t="shared" si="8"/>
        <v>609.94698192916667</v>
      </c>
      <c r="BI38" s="62">
        <f ca="1">AVERAGE(OFFSET($BH$3,0,0,'Données projet'!$E$11+1,1))-AVERAGE(OFFSET($H$3,0,0,'Données projet'!$E$11+1,1))</f>
        <v>514.86487884889584</v>
      </c>
      <c r="BJ38" s="62">
        <f t="shared" si="38"/>
        <v>272.4206208356191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42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projet'!$B$11,Paramètres!$A$1:$I$88,3,0)*0.475*44/12</f>
        <v>0</v>
      </c>
      <c r="BQ38" s="23">
        <f>EXP(-LN(2)/25)*BQ37+(1-EXP(-LN(2)/25))/(LN(2)/25)*Calculateur!BL38*Calculateur!BN38*VLOOKUP('Données projet'!$B$11,Paramètres!$A$1:$I$88,3,0)*0.475*44/12</f>
        <v>0</v>
      </c>
      <c r="BR38" s="23">
        <f>EXP(-LN(2)/2)*BR37+(1-EXP(-LN(2)/2))/(LN(2)/2)*BL38*BO38*VLOOKUP('Données projet'!$B$11,Paramètres!$A$1:$I$88,3,0)*0.475*44/12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66.368638937323453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172</v>
      </c>
      <c r="BW38" s="13">
        <f>VLOOKUP(A38,'Données projet'!$A$113:$I$133,9,0)</f>
        <v>10.6</v>
      </c>
      <c r="BX38" s="13">
        <f t="array" ref="BX38">INDEX(BW:BW,MIN(IF(ISNUMBER(BW38:BW234),ROW(BW38:BW234),"")))</f>
        <v>10.6</v>
      </c>
      <c r="BY38" s="13">
        <f>IF('Données projet'!$A$114&gt;35,BY37+BX38-CG37,IF(A38&lt;'Données projet'!$A$114,$BV$205^A38,IF(A38='Données projet'!$A$114,'Données projet'!$B$114,BY37+BX38-CG37)))</f>
        <v>171.99999999999991</v>
      </c>
      <c r="BZ38" s="14">
        <f>BY38*VLOOKUP('Données projet'!$B$12,Paramètres!$A$1:$I$88,3,0)*VLOOKUP('Données projet'!$B$12,Paramètres!$A$1:$I$88,5,0)</f>
        <v>112.69439999999994</v>
      </c>
      <c r="CA38" s="14">
        <f t="shared" si="39"/>
        <v>29.964909381330607</v>
      </c>
      <c r="CB38" s="22">
        <f t="shared" si="10"/>
        <v>248.46496383915073</v>
      </c>
      <c r="CC38" s="62">
        <f t="shared" si="11"/>
        <v>528.48330660933675</v>
      </c>
      <c r="CD38" s="62">
        <f ca="1">AVERAGE(OFFSET($CC$3,0,0,'Données projet'!$E$12+1,1))-AVERAGE(OFFSET($H$3,0,0,'Données projet'!$E$12+1,1))</f>
        <v>270.10151451661864</v>
      </c>
      <c r="CE38" s="62">
        <f t="shared" si="40"/>
        <v>294.47934482366804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projet'!$B$12,Paramètres!$A$1:$I$88,3,0)*0.475*44/12</f>
        <v>0</v>
      </c>
      <c r="CL38" s="23">
        <f>EXP(-LN(2)/25)*CL37+(1-EXP(-LN(2)/25))/(LN(2)/25)*Calculateur!CG38*Calculateur!CI38*VLOOKUP('Données projet'!$B$12,Paramètres!$A$1:$I$88,3,0)*0.475*44/12</f>
        <v>0</v>
      </c>
      <c r="CM38" s="23">
        <f>EXP(-LN(2)/2)*CM37+(1-EXP(-LN(2)/2))/(LN(2)/2)*CG38*CJ38*VLOOKUP('Données projet'!$B$12,Paramètres!$A$1:$I$88,3,0)*0.475*44/12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66.368638937323453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172</v>
      </c>
      <c r="CR38" s="13">
        <f>VLOOKUP(A38,'Données projet'!$A$139:$I$159,9,0)</f>
        <v>10.6</v>
      </c>
      <c r="CS38" s="13">
        <f t="array" ref="CS38">INDEX(CR:CR,MIN(IF(ISNUMBER(CR38:CR234),ROW(CR38:CR234),"")))</f>
        <v>10.6</v>
      </c>
      <c r="CT38" s="13">
        <f>IF('Données projet'!$A$140&gt;35,CT37+CS38-DB37,IF(A38&lt;'Données projet'!$A$140,$CQ$205^A38,IF(A38='Données projet'!$A$140,'Données projet'!$B$140,CT37+CS38-DB37)))</f>
        <v>171.99999999999991</v>
      </c>
      <c r="CU38" s="18">
        <f>CT38*VLOOKUP('Données projet'!$B$13,Paramètres!$A$1:$I$88,3,0)*VLOOKUP('Données projet'!$B$13,Paramètres!$A$1:$I$88,5,0)</f>
        <v>112.69439999999994</v>
      </c>
      <c r="CV38" s="14">
        <f t="shared" si="41"/>
        <v>29.964909381330607</v>
      </c>
      <c r="CW38" s="22">
        <f t="shared" si="13"/>
        <v>248.46496383915073</v>
      </c>
      <c r="CX38" s="62">
        <f t="shared" si="14"/>
        <v>528.48330660933675</v>
      </c>
      <c r="CY38" s="62">
        <f ca="1">AVERAGE(OFFSET($CX$3,0,0,'Données projet'!$E$13+1,1))-AVERAGE(OFFSET($H$3,0,0,'Données projet'!$E$13+1,1))</f>
        <v>270.10151451661864</v>
      </c>
      <c r="CZ38" s="62">
        <f t="shared" si="42"/>
        <v>294.47934482366804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projet'!$B$13,Paramètres!$A$1:$I$88,3,0)*0.475*44/12</f>
        <v>0</v>
      </c>
      <c r="DG38" s="23">
        <f>EXP(-LN(2)/25)*DG37+(1-EXP(-LN(2)/25))/(LN(2)/25)*Calculateur!DB38*Calculateur!DD38*VLOOKUP('Données projet'!$B$13,Paramètres!$A$1:$I$88,3,0)*0.475*44/12</f>
        <v>0</v>
      </c>
      <c r="DH38" s="23">
        <f>EXP(-LN(2)/2)*DH37+(1-EXP(-LN(2)/2))/(LN(2)/2)*DB38*DE38*VLOOKUP('Données projet'!$B$13,Paramètres!$A$1:$I$88,3,0)*0.475*44/12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66.368638937323453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projet'!$B$14,Paramètres!$A$1:$I$88,3,0)*0.475*44/12</f>
        <v>#N/A</v>
      </c>
      <c r="EB38" s="23" t="e">
        <f>EXP(-LN(2)/25)*EB37+(1-EXP(-LN(2)/25))/(LN(2)/25)*Calculateur!DW38*Calculateur!DY38*VLOOKUP('Données projet'!$B$14,Paramètres!$A$1:$I$88,3,0)*0.475*44/12</f>
        <v>#N/A</v>
      </c>
      <c r="EC38" s="23" t="e">
        <f>EXP(-LN(2)/2)*EC37+(1-EXP(-LN(2)/2))/(LN(2)/2)*DW38*DZ38*VLOOKUP('Données projet'!$B$14,Paramètres!$A$1:$I$88,3,0)*0.475*44/12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66.368638937323453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66.368638937323453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66.368638937323453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66.368638937323453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1.34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4.9133333333333331</v>
      </c>
      <c r="H39" s="70">
        <f t="shared" si="1"/>
        <v>237.01333333333332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66.43163493325379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7.8</v>
      </c>
      <c r="N39" s="14">
        <f>IF('Données projet'!$A$36&gt;35,N38+M39-V38,IF(A39&lt;'Données projet'!$A$36,$K$205^A39,IF(A39='Données projet'!$A$36,'Données projet'!$B$36,N38+M39-V38)))</f>
        <v>105.79999999999998</v>
      </c>
      <c r="O39" s="14">
        <f>N39*VLOOKUP('Données projet'!$B$9,Paramètres!$A$1:$I$88,3,0)*VLOOKUP('Données projet'!$B$9,Paramètres!$A$1:$I$88,5,0)</f>
        <v>107.2812</v>
      </c>
      <c r="P39" s="14">
        <f t="shared" si="33"/>
        <v>28.68948404302737</v>
      </c>
      <c r="Q39" s="22">
        <f t="shared" si="53"/>
        <v>236.81560804160597</v>
      </c>
      <c r="R39" s="62">
        <f t="shared" si="0"/>
        <v>517.06493613020325</v>
      </c>
      <c r="S39" s="62">
        <f ca="1">AVERAGE(OFFSET($R$3,0,0,'Données projet'!$E$9+1,1))-AVERAGE(OFFSET($H$3,0,0,'Données projet'!$E$9+1,1))</f>
        <v>488.16146816015231</v>
      </c>
      <c r="T39" s="62">
        <f t="shared" si="34"/>
        <v>259.37115195552127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0</v>
      </c>
      <c r="AA39" s="23">
        <f>EXP(-LN(2)/25)*AA38+(1-EXP(-LN(2)/25))/(LN(2)/25)*Calculateur!V39*Calculateur!X39*VLOOKUP('Données projet'!$B$9,Paramètres!$A$1:$I$88,3,0)*0.475*44/12</f>
        <v>0</v>
      </c>
      <c r="AB39" s="23">
        <f>EXP(-LN(2)/2)*AB38+(1-EXP(-LN(2)/2))/(LN(2)/2)*V39*Y39*VLOOKUP('Données projet'!$B$9,Paramètres!$A$1:$I$88,3,0)*0.475*44/12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66.43163493325379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7.8</v>
      </c>
      <c r="AI39" s="14">
        <f>IF('Données projet'!$A$62&gt;35,AI38+AH39-AQ38,IF(A39&lt;'Données projet'!$A$62,$AF$205^A39,IF(A39='Données projet'!$A$62,'Données projet'!$B$62,AI38+AH39-AQ38)))</f>
        <v>105.79999999999998</v>
      </c>
      <c r="AJ39" s="14">
        <f>AI39*VLOOKUP('Données projet'!$B$10,Paramètres!$A$1:$I$88,3,0)*VLOOKUP('Données projet'!$B$10,Paramètres!$A$1:$I$88,5,0)</f>
        <v>95.727839999999972</v>
      </c>
      <c r="AK39" s="14">
        <f t="shared" si="35"/>
        <v>25.941642560384413</v>
      </c>
      <c r="AL39" s="22">
        <f t="shared" si="4"/>
        <v>211.90768212600278</v>
      </c>
      <c r="AM39" s="62">
        <f t="shared" si="5"/>
        <v>492.15701021460001</v>
      </c>
      <c r="AN39" s="62">
        <f ca="1">AVERAGE(OFFSET($AM$3,0,0,'Données projet'!$E$10+1,1))-AVERAGE(OFFSET($H$3,0,0,'Données projet'!$E$10+1,1))</f>
        <v>441.34749554136755</v>
      </c>
      <c r="AO39" s="62">
        <f t="shared" si="36"/>
        <v>236.49038586666222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0</v>
      </c>
      <c r="AV39" s="23">
        <f>EXP(-LN(2)/25)*AV38+(1-EXP(-LN(2)/25))/(LN(2)/25)*Calculateur!AQ39*Calculateur!AS39*VLOOKUP('Données projet'!$B$10,Paramètres!$A$1:$I$88,3,0)*0.475*44/12</f>
        <v>0</v>
      </c>
      <c r="AW39" s="23">
        <f>EXP(-LN(2)/2)*AW38+(1-EXP(-LN(2)/2))/(LN(2)/2)*AQ39*AT39*VLOOKUP('Données projet'!$B$10,Paramètres!$A$1:$I$88,3,0)*0.475*44/12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66.43163493325379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7.8</v>
      </c>
      <c r="BD39" s="13">
        <f>IF('Données projet'!$A$88&gt;35,BD38+BC39-BL38,IF(A39&lt;'Données projet'!$A$88,$BA$205^A39,IF(A39='Données projet'!$A$88,'Données projet'!$B$88,BD38+BC39-BL38)))</f>
        <v>105.79999999999998</v>
      </c>
      <c r="BE39" s="14">
        <f>BD39*VLOOKUP('Données projet'!$B$11,Paramètres!$A$1:$I$88,3,0)*VLOOKUP('Données projet'!$B$11,Paramètres!$A$1:$I$88,5,0)</f>
        <v>113.88311999999998</v>
      </c>
      <c r="BF39" s="14">
        <f t="shared" si="37"/>
        <v>30.244022503264436</v>
      </c>
      <c r="BG39" s="22">
        <f t="shared" si="7"/>
        <v>251.02143985985217</v>
      </c>
      <c r="BH39" s="62">
        <f t="shared" si="8"/>
        <v>531.27076794844936</v>
      </c>
      <c r="BI39" s="62">
        <f ca="1">AVERAGE(OFFSET($BH$3,0,0,'Données projet'!$E$11+1,1))-AVERAGE(OFFSET($H$3,0,0,'Données projet'!$E$11+1,1))</f>
        <v>514.86487884889584</v>
      </c>
      <c r="BJ39" s="62">
        <f t="shared" si="38"/>
        <v>272.4206208356191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projet'!$B$11,Paramètres!$A$1:$I$88,3,0)*0.475*44/12</f>
        <v>0</v>
      </c>
      <c r="BQ39" s="23">
        <f>EXP(-LN(2)/25)*BQ38+(1-EXP(-LN(2)/25))/(LN(2)/25)*Calculateur!BL39*Calculateur!BN39*VLOOKUP('Données projet'!$B$11,Paramètres!$A$1:$I$88,3,0)*0.475*44/12</f>
        <v>0</v>
      </c>
      <c r="BR39" s="23">
        <f>EXP(-LN(2)/2)*BR38+(1-EXP(-LN(2)/2))/(LN(2)/2)*BL39*BO39*VLOOKUP('Données projet'!$B$11,Paramètres!$A$1:$I$88,3,0)*0.475*44/12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66.43163493325379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9.6</v>
      </c>
      <c r="BY39" s="13">
        <f>IF('Données projet'!$A$114&gt;35,BY38+BX39-CG38,IF(A39&lt;'Données projet'!$A$114,$BV$205^A39,IF(A39='Données projet'!$A$114,'Données projet'!$B$114,BY38+BX39-CG38)))</f>
        <v>181.59999999999991</v>
      </c>
      <c r="BZ39" s="14">
        <f>BY39*VLOOKUP('Données projet'!$B$12,Paramètres!$A$1:$I$88,3,0)*VLOOKUP('Données projet'!$B$12,Paramètres!$A$1:$I$88,5,0)</f>
        <v>118.98431999999994</v>
      </c>
      <c r="CA39" s="14">
        <f t="shared" si="39"/>
        <v>31.437991550787292</v>
      </c>
      <c r="CB39" s="22">
        <f t="shared" si="10"/>
        <v>261.98552595095441</v>
      </c>
      <c r="CC39" s="62">
        <f t="shared" si="11"/>
        <v>542.23485403955169</v>
      </c>
      <c r="CD39" s="62">
        <f ca="1">AVERAGE(OFFSET($CC$3,0,0,'Données projet'!$E$12+1,1))-AVERAGE(OFFSET($H$3,0,0,'Données projet'!$E$12+1,1))</f>
        <v>270.10151451661864</v>
      </c>
      <c r="CE39" s="62">
        <f t="shared" si="40"/>
        <v>294.47934482366804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projet'!$B$12,Paramètres!$A$1:$I$88,3,0)*0.475*44/12</f>
        <v>0</v>
      </c>
      <c r="CL39" s="23">
        <f>EXP(-LN(2)/25)*CL38+(1-EXP(-LN(2)/25))/(LN(2)/25)*Calculateur!CG39*Calculateur!CI39*VLOOKUP('Données projet'!$B$12,Paramètres!$A$1:$I$88,3,0)*0.475*44/12</f>
        <v>0</v>
      </c>
      <c r="CM39" s="23">
        <f>EXP(-LN(2)/2)*CM38+(1-EXP(-LN(2)/2))/(LN(2)/2)*CG39*CJ39*VLOOKUP('Données projet'!$B$12,Paramètres!$A$1:$I$88,3,0)*0.475*44/12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66.43163493325379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9.6</v>
      </c>
      <c r="CT39" s="13">
        <f>IF('Données projet'!$A$140&gt;35,CT38+CS39-DB38,IF(A39&lt;'Données projet'!$A$140,$CQ$205^A39,IF(A39='Données projet'!$A$140,'Données projet'!$B$140,CT38+CS39-DB38)))</f>
        <v>181.59999999999991</v>
      </c>
      <c r="CU39" s="18">
        <f>CT39*VLOOKUP('Données projet'!$B$13,Paramètres!$A$1:$I$88,3,0)*VLOOKUP('Données projet'!$B$13,Paramètres!$A$1:$I$88,5,0)</f>
        <v>118.98431999999994</v>
      </c>
      <c r="CV39" s="14">
        <f t="shared" si="41"/>
        <v>31.437991550787292</v>
      </c>
      <c r="CW39" s="22">
        <f t="shared" si="13"/>
        <v>261.98552595095441</v>
      </c>
      <c r="CX39" s="62">
        <f t="shared" si="14"/>
        <v>542.23485403955169</v>
      </c>
      <c r="CY39" s="62">
        <f ca="1">AVERAGE(OFFSET($CX$3,0,0,'Données projet'!$E$13+1,1))-AVERAGE(OFFSET($H$3,0,0,'Données projet'!$E$13+1,1))</f>
        <v>270.10151451661864</v>
      </c>
      <c r="CZ39" s="62">
        <f t="shared" si="42"/>
        <v>294.47934482366804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projet'!$B$13,Paramètres!$A$1:$I$88,3,0)*0.475*44/12</f>
        <v>0</v>
      </c>
      <c r="DG39" s="23">
        <f>EXP(-LN(2)/25)*DG38+(1-EXP(-LN(2)/25))/(LN(2)/25)*Calculateur!DB39*Calculateur!DD39*VLOOKUP('Données projet'!$B$13,Paramètres!$A$1:$I$88,3,0)*0.475*44/12</f>
        <v>0</v>
      </c>
      <c r="DH39" s="23">
        <f>EXP(-LN(2)/2)*DH38+(1-EXP(-LN(2)/2))/(LN(2)/2)*DB39*DE39*VLOOKUP('Données projet'!$B$13,Paramètres!$A$1:$I$88,3,0)*0.475*44/12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66.43163493325379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projet'!$B$14,Paramètres!$A$1:$I$88,3,0)*0.475*44/12</f>
        <v>#N/A</v>
      </c>
      <c r="EB39" s="23" t="e">
        <f>EXP(-LN(2)/25)*EB38+(1-EXP(-LN(2)/25))/(LN(2)/25)*Calculateur!DW39*Calculateur!DY39*VLOOKUP('Données projet'!$B$14,Paramètres!$A$1:$I$88,3,0)*0.475*44/12</f>
        <v>#N/A</v>
      </c>
      <c r="EC39" s="23" t="e">
        <f>EXP(-LN(2)/2)*EC38+(1-EXP(-LN(2)/2))/(LN(2)/2)*DW39*DZ39*VLOOKUP('Données projet'!$B$14,Paramètres!$A$1:$I$88,3,0)*0.475*44/12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66.43163493325379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66.43163493325379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66.43163493325379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66.43163493325379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1.34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4.9133333333333331</v>
      </c>
      <c r="H40" s="70">
        <f t="shared" si="1"/>
        <v>237.01333333333332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66.493538089492688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7.8</v>
      </c>
      <c r="N40" s="14">
        <f>IF('Données projet'!$A$36&gt;35,N39+M40-V39,IF(A40&lt;'Données projet'!$A$36,$K$205^A40,IF(A40='Données projet'!$A$36,'Données projet'!$B$36,N39+M40-V39)))</f>
        <v>113.59999999999998</v>
      </c>
      <c r="O40" s="14">
        <f>N40*VLOOKUP('Données projet'!$B$9,Paramètres!$A$1:$I$88,3,0)*VLOOKUP('Données projet'!$B$9,Paramètres!$A$1:$I$88,5,0)</f>
        <v>115.19039999999998</v>
      </c>
      <c r="P40" s="14">
        <f t="shared" si="33"/>
        <v>30.550582519051947</v>
      </c>
      <c r="Q40" s="22">
        <f t="shared" si="53"/>
        <v>253.8322112206821</v>
      </c>
      <c r="R40" s="62">
        <f t="shared" si="0"/>
        <v>534.30851754882201</v>
      </c>
      <c r="S40" s="62">
        <f ca="1">AVERAGE(OFFSET($R$3,0,0,'Données projet'!$E$9+1,1))-AVERAGE(OFFSET($H$3,0,0,'Données projet'!$E$9+1,1))</f>
        <v>488.16146816015231</v>
      </c>
      <c r="T40" s="62">
        <f t="shared" si="34"/>
        <v>259.37115195552127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0</v>
      </c>
      <c r="AA40" s="23">
        <f>EXP(-LN(2)/25)*AA39+(1-EXP(-LN(2)/25))/(LN(2)/25)*Calculateur!V40*Calculateur!X40*VLOOKUP('Données projet'!$B$9,Paramètres!$A$1:$I$88,3,0)*0.475*44/12</f>
        <v>0</v>
      </c>
      <c r="AB40" s="23">
        <f>EXP(-LN(2)/2)*AB39+(1-EXP(-LN(2)/2))/(LN(2)/2)*V40*Y40*VLOOKUP('Données projet'!$B$9,Paramètres!$A$1:$I$88,3,0)*0.475*44/12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66.493538089492688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7.8</v>
      </c>
      <c r="AI40" s="14">
        <f>IF('Données projet'!$A$62&gt;35,AI39+AH40-AQ39,IF(A40&lt;'Données projet'!$A$62,$AF$205^A40,IF(A40='Données projet'!$A$62,'Données projet'!$B$62,AI39+AH40-AQ39)))</f>
        <v>113.59999999999998</v>
      </c>
      <c r="AJ40" s="14">
        <f>AI40*VLOOKUP('Données projet'!$B$10,Paramètres!$A$1:$I$88,3,0)*VLOOKUP('Données projet'!$B$10,Paramètres!$A$1:$I$88,5,0)</f>
        <v>102.78527999999999</v>
      </c>
      <c r="AK40" s="14">
        <f t="shared" si="35"/>
        <v>27.624487443976534</v>
      </c>
      <c r="AL40" s="22">
        <f t="shared" si="4"/>
        <v>227.1303449649258</v>
      </c>
      <c r="AM40" s="62">
        <f t="shared" si="5"/>
        <v>507.60665129306562</v>
      </c>
      <c r="AN40" s="62">
        <f ca="1">AVERAGE(OFFSET($AM$3,0,0,'Données projet'!$E$10+1,1))-AVERAGE(OFFSET($H$3,0,0,'Données projet'!$E$10+1,1))</f>
        <v>441.34749554136755</v>
      </c>
      <c r="AO40" s="62">
        <f t="shared" si="36"/>
        <v>236.49038586666222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0</v>
      </c>
      <c r="AV40" s="23">
        <f>EXP(-LN(2)/25)*AV39+(1-EXP(-LN(2)/25))/(LN(2)/25)*Calculateur!AQ40*Calculateur!AS40*VLOOKUP('Données projet'!$B$10,Paramètres!$A$1:$I$88,3,0)*0.475*44/12</f>
        <v>0</v>
      </c>
      <c r="AW40" s="23">
        <f>EXP(-LN(2)/2)*AW39+(1-EXP(-LN(2)/2))/(LN(2)/2)*AQ40*AT40*VLOOKUP('Données projet'!$B$10,Paramètres!$A$1:$I$88,3,0)*0.475*44/12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66.493538089492688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7.8</v>
      </c>
      <c r="BD40" s="13">
        <f>IF('Données projet'!$A$88&gt;35,BD39+BC40-BL39,IF(A40&lt;'Données projet'!$A$88,$BA$205^A40,IF(A40='Données projet'!$A$88,'Données projet'!$B$88,BD39+BC40-BL39)))</f>
        <v>113.59999999999998</v>
      </c>
      <c r="BE40" s="14">
        <f>BD40*VLOOKUP('Données projet'!$B$11,Paramètres!$A$1:$I$88,3,0)*VLOOKUP('Données projet'!$B$11,Paramètres!$A$1:$I$88,5,0)</f>
        <v>122.27903999999998</v>
      </c>
      <c r="BF40" s="14">
        <f t="shared" si="37"/>
        <v>32.205964520250909</v>
      </c>
      <c r="BG40" s="22">
        <f t="shared" si="7"/>
        <v>269.06138287277031</v>
      </c>
      <c r="BH40" s="62">
        <f t="shared" si="8"/>
        <v>549.53768920091011</v>
      </c>
      <c r="BI40" s="62">
        <f ca="1">AVERAGE(OFFSET($BH$3,0,0,'Données projet'!$E$11+1,1))-AVERAGE(OFFSET($H$3,0,0,'Données projet'!$E$11+1,1))</f>
        <v>514.86487884889584</v>
      </c>
      <c r="BJ40" s="62">
        <f t="shared" si="38"/>
        <v>272.4206208356191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projet'!$B$11,Paramètres!$A$1:$I$88,3,0)*0.475*44/12</f>
        <v>0</v>
      </c>
      <c r="BQ40" s="23">
        <f>EXP(-LN(2)/25)*BQ39+(1-EXP(-LN(2)/25))/(LN(2)/25)*Calculateur!BL40*Calculateur!BN40*VLOOKUP('Données projet'!$B$11,Paramètres!$A$1:$I$88,3,0)*0.475*44/12</f>
        <v>0</v>
      </c>
      <c r="BR40" s="23">
        <f>EXP(-LN(2)/2)*BR39+(1-EXP(-LN(2)/2))/(LN(2)/2)*BL40*BO40*VLOOKUP('Données projet'!$B$11,Paramètres!$A$1:$I$88,3,0)*0.475*44/12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66.493538089492688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9.6</v>
      </c>
      <c r="BY40" s="13">
        <f>IF('Données projet'!$A$114&gt;35,BY39+BX40-CG39,IF(A40&lt;'Données projet'!$A$114,$BV$205^A40,IF(A40='Données projet'!$A$114,'Données projet'!$B$114,BY39+BX40-CG39)))</f>
        <v>191.1999999999999</v>
      </c>
      <c r="BZ40" s="14">
        <f>BY40*VLOOKUP('Données projet'!$B$12,Paramètres!$A$1:$I$88,3,0)*VLOOKUP('Données projet'!$B$12,Paramètres!$A$1:$I$88,5,0)</f>
        <v>125.27423999999993</v>
      </c>
      <c r="CA40" s="14">
        <f t="shared" si="39"/>
        <v>32.902032783270968</v>
      </c>
      <c r="CB40" s="22">
        <f t="shared" si="10"/>
        <v>275.49034176419684</v>
      </c>
      <c r="CC40" s="62">
        <f t="shared" si="11"/>
        <v>555.96664809233675</v>
      </c>
      <c r="CD40" s="62">
        <f ca="1">AVERAGE(OFFSET($CC$3,0,0,'Données projet'!$E$12+1,1))-AVERAGE(OFFSET($H$3,0,0,'Données projet'!$E$12+1,1))</f>
        <v>270.10151451661864</v>
      </c>
      <c r="CE40" s="62">
        <f t="shared" si="40"/>
        <v>294.47934482366804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projet'!$B$12,Paramètres!$A$1:$I$88,3,0)*0.475*44/12</f>
        <v>0</v>
      </c>
      <c r="CL40" s="23">
        <f>EXP(-LN(2)/25)*CL39+(1-EXP(-LN(2)/25))/(LN(2)/25)*Calculateur!CG40*Calculateur!CI40*VLOOKUP('Données projet'!$B$12,Paramètres!$A$1:$I$88,3,0)*0.475*44/12</f>
        <v>0</v>
      </c>
      <c r="CM40" s="23">
        <f>EXP(-LN(2)/2)*CM39+(1-EXP(-LN(2)/2))/(LN(2)/2)*CG40*CJ40*VLOOKUP('Données projet'!$B$12,Paramètres!$A$1:$I$88,3,0)*0.475*44/12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66.493538089492688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9.6</v>
      </c>
      <c r="CT40" s="13">
        <f>IF('Données projet'!$A$140&gt;35,CT39+CS40-DB39,IF(A40&lt;'Données projet'!$A$140,$CQ$205^A40,IF(A40='Données projet'!$A$140,'Données projet'!$B$140,CT39+CS40-DB39)))</f>
        <v>191.1999999999999</v>
      </c>
      <c r="CU40" s="18">
        <f>CT40*VLOOKUP('Données projet'!$B$13,Paramètres!$A$1:$I$88,3,0)*VLOOKUP('Données projet'!$B$13,Paramètres!$A$1:$I$88,5,0)</f>
        <v>125.27423999999993</v>
      </c>
      <c r="CV40" s="14">
        <f t="shared" si="41"/>
        <v>32.902032783270968</v>
      </c>
      <c r="CW40" s="22">
        <f t="shared" si="13"/>
        <v>275.49034176419684</v>
      </c>
      <c r="CX40" s="62">
        <f t="shared" si="14"/>
        <v>555.96664809233675</v>
      </c>
      <c r="CY40" s="62">
        <f ca="1">AVERAGE(OFFSET($CX$3,0,0,'Données projet'!$E$13+1,1))-AVERAGE(OFFSET($H$3,0,0,'Données projet'!$E$13+1,1))</f>
        <v>270.10151451661864</v>
      </c>
      <c r="CZ40" s="62">
        <f t="shared" si="42"/>
        <v>294.47934482366804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projet'!$B$13,Paramètres!$A$1:$I$88,3,0)*0.475*44/12</f>
        <v>0</v>
      </c>
      <c r="DG40" s="23">
        <f>EXP(-LN(2)/25)*DG39+(1-EXP(-LN(2)/25))/(LN(2)/25)*Calculateur!DB40*Calculateur!DD40*VLOOKUP('Données projet'!$B$13,Paramètres!$A$1:$I$88,3,0)*0.475*44/12</f>
        <v>0</v>
      </c>
      <c r="DH40" s="23">
        <f>EXP(-LN(2)/2)*DH39+(1-EXP(-LN(2)/2))/(LN(2)/2)*DB40*DE40*VLOOKUP('Données projet'!$B$13,Paramètres!$A$1:$I$88,3,0)*0.475*44/12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66.493538089492688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projet'!$B$14,Paramètres!$A$1:$I$88,3,0)*0.475*44/12</f>
        <v>#N/A</v>
      </c>
      <c r="EB40" s="23" t="e">
        <f>EXP(-LN(2)/25)*EB39+(1-EXP(-LN(2)/25))/(LN(2)/25)*Calculateur!DW40*Calculateur!DY40*VLOOKUP('Données projet'!$B$14,Paramètres!$A$1:$I$88,3,0)*0.475*44/12</f>
        <v>#N/A</v>
      </c>
      <c r="EC40" s="23" t="e">
        <f>EXP(-LN(2)/2)*EC39+(1-EXP(-LN(2)/2))/(LN(2)/2)*DW40*DZ40*VLOOKUP('Données projet'!$B$14,Paramètres!$A$1:$I$88,3,0)*0.475*44/12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66.493538089492688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66.493538089492688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66.493538089492688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66.493538089492688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1.34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4.9133333333333331</v>
      </c>
      <c r="H41" s="70">
        <f t="shared" si="1"/>
        <v>237.01333333333332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66.554367364365575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7.8</v>
      </c>
      <c r="N41" s="14">
        <f>IF('Données projet'!$A$36&gt;35,N40+M41-V40,IF(A41&lt;'Données projet'!$A$36,$K$205^A41,IF(A41='Données projet'!$A$36,'Données projet'!$B$36,N40+M41-V40)))</f>
        <v>121.39999999999998</v>
      </c>
      <c r="O41" s="14">
        <f>N41*VLOOKUP('Données projet'!$B$9,Paramètres!$A$1:$I$88,3,0)*VLOOKUP('Données projet'!$B$9,Paramètres!$A$1:$I$88,5,0)</f>
        <v>123.09959999999998</v>
      </c>
      <c r="P41" s="14">
        <f t="shared" si="33"/>
        <v>32.396853612606868</v>
      </c>
      <c r="Q41" s="22">
        <f t="shared" si="53"/>
        <v>270.82299004195693</v>
      </c>
      <c r="R41" s="62">
        <f t="shared" si="0"/>
        <v>551.52233704463072</v>
      </c>
      <c r="S41" s="62">
        <f ca="1">AVERAGE(OFFSET($R$3,0,0,'Données projet'!$E$9+1,1))-AVERAGE(OFFSET($H$3,0,0,'Données projet'!$E$9+1,1))</f>
        <v>488.16146816015231</v>
      </c>
      <c r="T41" s="62">
        <f t="shared" si="34"/>
        <v>259.37115195552127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0</v>
      </c>
      <c r="AA41" s="23">
        <f>EXP(-LN(2)/25)*AA40+(1-EXP(-LN(2)/25))/(LN(2)/25)*Calculateur!V41*Calculateur!X41*VLOOKUP('Données projet'!$B$9,Paramètres!$A$1:$I$88,3,0)*0.475*44/12</f>
        <v>0</v>
      </c>
      <c r="AB41" s="23">
        <f>EXP(-LN(2)/2)*AB40+(1-EXP(-LN(2)/2))/(LN(2)/2)*V41*Y41*VLOOKUP('Données projet'!$B$9,Paramètres!$A$1:$I$88,3,0)*0.475*44/12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66.554367364365575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7.8</v>
      </c>
      <c r="AI41" s="14">
        <f>IF('Données projet'!$A$62&gt;35,AI40+AH41-AQ40,IF(A41&lt;'Données projet'!$A$62,$AF$205^A41,IF(A41='Données projet'!$A$62,'Données projet'!$B$62,AI40+AH41-AQ40)))</f>
        <v>121.39999999999998</v>
      </c>
      <c r="AJ41" s="14">
        <f>AI41*VLOOKUP('Données projet'!$B$10,Paramètres!$A$1:$I$88,3,0)*VLOOKUP('Données projet'!$B$10,Paramètres!$A$1:$I$88,5,0)</f>
        <v>109.84271999999997</v>
      </c>
      <c r="AK41" s="14">
        <f t="shared" si="35"/>
        <v>29.293925092514947</v>
      </c>
      <c r="AL41" s="22">
        <f t="shared" si="4"/>
        <v>242.32965686946343</v>
      </c>
      <c r="AM41" s="62">
        <f t="shared" si="5"/>
        <v>523.0290038721372</v>
      </c>
      <c r="AN41" s="62">
        <f ca="1">AVERAGE(OFFSET($AM$3,0,0,'Données projet'!$E$10+1,1))-AVERAGE(OFFSET($H$3,0,0,'Données projet'!$E$10+1,1))</f>
        <v>441.34749554136755</v>
      </c>
      <c r="AO41" s="62">
        <f t="shared" si="36"/>
        <v>236.49038586666222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0</v>
      </c>
      <c r="AV41" s="23">
        <f>EXP(-LN(2)/25)*AV40+(1-EXP(-LN(2)/25))/(LN(2)/25)*Calculateur!AQ41*Calculateur!AS41*VLOOKUP('Données projet'!$B$10,Paramètres!$A$1:$I$88,3,0)*0.475*44/12</f>
        <v>0</v>
      </c>
      <c r="AW41" s="23">
        <f>EXP(-LN(2)/2)*AW40+(1-EXP(-LN(2)/2))/(LN(2)/2)*AQ41*AT41*VLOOKUP('Données projet'!$B$10,Paramètres!$A$1:$I$88,3,0)*0.475*44/12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66.554367364365575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7.8</v>
      </c>
      <c r="BD41" s="13">
        <f>IF('Données projet'!$A$88&gt;35,BD40+BC41-BL40,IF(A41&lt;'Données projet'!$A$88,$BA$205^A41,IF(A41='Données projet'!$A$88,'Données projet'!$B$88,BD40+BC41-BL40)))</f>
        <v>121.39999999999998</v>
      </c>
      <c r="BE41" s="14">
        <f>BD41*VLOOKUP('Données projet'!$B$11,Paramètres!$A$1:$I$88,3,0)*VLOOKUP('Données projet'!$B$11,Paramètres!$A$1:$I$88,5,0)</f>
        <v>130.67495999999997</v>
      </c>
      <c r="BF41" s="14">
        <f t="shared" si="37"/>
        <v>34.15227573368567</v>
      </c>
      <c r="BG41" s="22">
        <f t="shared" si="7"/>
        <v>287.07410223616915</v>
      </c>
      <c r="BH41" s="62">
        <f t="shared" si="8"/>
        <v>567.77344923884289</v>
      </c>
      <c r="BI41" s="62">
        <f ca="1">AVERAGE(OFFSET($BH$3,0,0,'Données projet'!$E$11+1,1))-AVERAGE(OFFSET($H$3,0,0,'Données projet'!$E$11+1,1))</f>
        <v>514.86487884889584</v>
      </c>
      <c r="BJ41" s="62">
        <f t="shared" si="38"/>
        <v>272.4206208356191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projet'!$B$11,Paramètres!$A$1:$I$88,3,0)*0.475*44/12</f>
        <v>0</v>
      </c>
      <c r="BQ41" s="23">
        <f>EXP(-LN(2)/25)*BQ40+(1-EXP(-LN(2)/25))/(LN(2)/25)*Calculateur!BL41*Calculateur!BN41*VLOOKUP('Données projet'!$B$11,Paramètres!$A$1:$I$88,3,0)*0.475*44/12</f>
        <v>0</v>
      </c>
      <c r="BR41" s="23">
        <f>EXP(-LN(2)/2)*BR40+(1-EXP(-LN(2)/2))/(LN(2)/2)*BL41*BO41*VLOOKUP('Données projet'!$B$11,Paramètres!$A$1:$I$88,3,0)*0.475*44/12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66.554367364365575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9.6</v>
      </c>
      <c r="BY41" s="13">
        <f>IF('Données projet'!$A$114&gt;35,BY40+BX41-CG40,IF(A41&lt;'Données projet'!$A$114,$BV$205^A41,IF(A41='Données projet'!$A$114,'Données projet'!$B$114,BY40+BX41-CG40)))</f>
        <v>200.7999999999999</v>
      </c>
      <c r="BZ41" s="14">
        <f>BY41*VLOOKUP('Données projet'!$B$12,Paramètres!$A$1:$I$88,3,0)*VLOOKUP('Données projet'!$B$12,Paramètres!$A$1:$I$88,5,0)</f>
        <v>131.56415999999993</v>
      </c>
      <c r="CA41" s="14">
        <f t="shared" si="39"/>
        <v>34.357538812709066</v>
      </c>
      <c r="CB41" s="22">
        <f t="shared" si="10"/>
        <v>288.9802920988015</v>
      </c>
      <c r="CC41" s="62">
        <f t="shared" si="11"/>
        <v>569.67963910147523</v>
      </c>
      <c r="CD41" s="62">
        <f ca="1">AVERAGE(OFFSET($CC$3,0,0,'Données projet'!$E$12+1,1))-AVERAGE(OFFSET($H$3,0,0,'Données projet'!$E$12+1,1))</f>
        <v>270.10151451661864</v>
      </c>
      <c r="CE41" s="62">
        <f t="shared" si="40"/>
        <v>294.47934482366804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projet'!$B$12,Paramètres!$A$1:$I$88,3,0)*0.475*44/12</f>
        <v>0</v>
      </c>
      <c r="CL41" s="23">
        <f>EXP(-LN(2)/25)*CL40+(1-EXP(-LN(2)/25))/(LN(2)/25)*Calculateur!CG41*Calculateur!CI41*VLOOKUP('Données projet'!$B$12,Paramètres!$A$1:$I$88,3,0)*0.475*44/12</f>
        <v>0</v>
      </c>
      <c r="CM41" s="23">
        <f>EXP(-LN(2)/2)*CM40+(1-EXP(-LN(2)/2))/(LN(2)/2)*CG41*CJ41*VLOOKUP('Données projet'!$B$12,Paramètres!$A$1:$I$88,3,0)*0.475*44/12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66.554367364365575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9.6</v>
      </c>
      <c r="CT41" s="13">
        <f>IF('Données projet'!$A$140&gt;35,CT40+CS41-DB40,IF(A41&lt;'Données projet'!$A$140,$CQ$205^A41,IF(A41='Données projet'!$A$140,'Données projet'!$B$140,CT40+CS41-DB40)))</f>
        <v>200.7999999999999</v>
      </c>
      <c r="CU41" s="18">
        <f>CT41*VLOOKUP('Données projet'!$B$13,Paramètres!$A$1:$I$88,3,0)*VLOOKUP('Données projet'!$B$13,Paramètres!$A$1:$I$88,5,0)</f>
        <v>131.56415999999993</v>
      </c>
      <c r="CV41" s="14">
        <f t="shared" si="41"/>
        <v>34.357538812709066</v>
      </c>
      <c r="CW41" s="22">
        <f t="shared" si="13"/>
        <v>288.9802920988015</v>
      </c>
      <c r="CX41" s="62">
        <f t="shared" si="14"/>
        <v>569.67963910147523</v>
      </c>
      <c r="CY41" s="62">
        <f ca="1">AVERAGE(OFFSET($CX$3,0,0,'Données projet'!$E$13+1,1))-AVERAGE(OFFSET($H$3,0,0,'Données projet'!$E$13+1,1))</f>
        <v>270.10151451661864</v>
      </c>
      <c r="CZ41" s="62">
        <f t="shared" si="42"/>
        <v>294.47934482366804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projet'!$B$13,Paramètres!$A$1:$I$88,3,0)*0.475*44/12</f>
        <v>0</v>
      </c>
      <c r="DG41" s="23">
        <f>EXP(-LN(2)/25)*DG40+(1-EXP(-LN(2)/25))/(LN(2)/25)*Calculateur!DB41*Calculateur!DD41*VLOOKUP('Données projet'!$B$13,Paramètres!$A$1:$I$88,3,0)*0.475*44/12</f>
        <v>0</v>
      </c>
      <c r="DH41" s="23">
        <f>EXP(-LN(2)/2)*DH40+(1-EXP(-LN(2)/2))/(LN(2)/2)*DB41*DE41*VLOOKUP('Données projet'!$B$13,Paramètres!$A$1:$I$88,3,0)*0.475*44/12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66.554367364365575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projet'!$B$14,Paramètres!$A$1:$I$88,3,0)*0.475*44/12</f>
        <v>#N/A</v>
      </c>
      <c r="EB41" s="23" t="e">
        <f>EXP(-LN(2)/25)*EB40+(1-EXP(-LN(2)/25))/(LN(2)/25)*Calculateur!DW41*Calculateur!DY41*VLOOKUP('Données projet'!$B$14,Paramètres!$A$1:$I$88,3,0)*0.475*44/12</f>
        <v>#N/A</v>
      </c>
      <c r="EC41" s="23" t="e">
        <f>EXP(-LN(2)/2)*EC40+(1-EXP(-LN(2)/2))/(LN(2)/2)*DW41*DZ41*VLOOKUP('Données projet'!$B$14,Paramètres!$A$1:$I$88,3,0)*0.475*44/12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66.554367364365575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66.554367364365575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66.554367364365575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66.554367364365575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1.34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4.9133333333333331</v>
      </c>
      <c r="H42" s="70">
        <f t="shared" si="1"/>
        <v>237.01333333333332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66.614141387313282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7.8</v>
      </c>
      <c r="N42" s="14">
        <f>IF('Données projet'!$A$36&gt;35,N41+M42-V41,IF(A42&lt;'Données projet'!$A$36,$K$205^A42,IF(A42='Données projet'!$A$36,'Données projet'!$B$36,N41+M42-V41)))</f>
        <v>129.19999999999999</v>
      </c>
      <c r="O42" s="14">
        <f>N42*VLOOKUP('Données projet'!$B$9,Paramètres!$A$1:$I$88,3,0)*VLOOKUP('Données projet'!$B$9,Paramètres!$A$1:$I$88,5,0)</f>
        <v>131.00879999999998</v>
      </c>
      <c r="P42" s="14">
        <f t="shared" si="33"/>
        <v>34.229358418772243</v>
      </c>
      <c r="Q42" s="22">
        <f t="shared" si="53"/>
        <v>287.78979257936163</v>
      </c>
      <c r="R42" s="62">
        <f t="shared" si="0"/>
        <v>568.70831099951033</v>
      </c>
      <c r="S42" s="62">
        <f ca="1">AVERAGE(OFFSET($R$3,0,0,'Données projet'!$E$9+1,1))-AVERAGE(OFFSET($H$3,0,0,'Données projet'!$E$9+1,1))</f>
        <v>488.16146816015231</v>
      </c>
      <c r="T42" s="62">
        <f t="shared" si="34"/>
        <v>259.37115195552127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0</v>
      </c>
      <c r="AA42" s="23">
        <f>EXP(-LN(2)/25)*AA41+(1-EXP(-LN(2)/25))/(LN(2)/25)*Calculateur!V42*Calculateur!X42*VLOOKUP('Données projet'!$B$9,Paramètres!$A$1:$I$88,3,0)*0.475*44/12</f>
        <v>0</v>
      </c>
      <c r="AB42" s="23">
        <f>EXP(-LN(2)/2)*AB41+(1-EXP(-LN(2)/2))/(LN(2)/2)*V42*Y42*VLOOKUP('Données projet'!$B$9,Paramètres!$A$1:$I$88,3,0)*0.475*44/12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66.614141387313282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7.8</v>
      </c>
      <c r="AI42" s="14">
        <f>IF('Données projet'!$A$62&gt;35,AI41+AH42-AQ41,IF(A42&lt;'Données projet'!$A$62,$AF$205^A42,IF(A42='Données projet'!$A$62,'Données projet'!$B$62,AI41+AH42-AQ41)))</f>
        <v>129.19999999999999</v>
      </c>
      <c r="AJ42" s="14">
        <f>AI42*VLOOKUP('Données projet'!$B$10,Paramètres!$A$1:$I$88,3,0)*VLOOKUP('Données projet'!$B$10,Paramètres!$A$1:$I$88,5,0)</f>
        <v>116.90016</v>
      </c>
      <c r="AK42" s="14">
        <f t="shared" si="35"/>
        <v>30.950914970772502</v>
      </c>
      <c r="AL42" s="22">
        <f t="shared" si="4"/>
        <v>257.5072889074288</v>
      </c>
      <c r="AM42" s="62">
        <f t="shared" si="5"/>
        <v>538.42580732757756</v>
      </c>
      <c r="AN42" s="62">
        <f ca="1">AVERAGE(OFFSET($AM$3,0,0,'Données projet'!$E$10+1,1))-AVERAGE(OFFSET($H$3,0,0,'Données projet'!$E$10+1,1))</f>
        <v>441.34749554136755</v>
      </c>
      <c r="AO42" s="62">
        <f t="shared" si="36"/>
        <v>236.49038586666222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0</v>
      </c>
      <c r="AV42" s="23">
        <f>EXP(-LN(2)/25)*AV41+(1-EXP(-LN(2)/25))/(LN(2)/25)*Calculateur!AQ42*Calculateur!AS42*VLOOKUP('Données projet'!$B$10,Paramètres!$A$1:$I$88,3,0)*0.475*44/12</f>
        <v>0</v>
      </c>
      <c r="AW42" s="23">
        <f>EXP(-LN(2)/2)*AW41+(1-EXP(-LN(2)/2))/(LN(2)/2)*AQ42*AT42*VLOOKUP('Données projet'!$B$10,Paramètres!$A$1:$I$88,3,0)*0.475*44/12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66.614141387313282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7.8</v>
      </c>
      <c r="BD42" s="13">
        <f>IF('Données projet'!$A$88&gt;35,BD41+BC42-BL41,IF(A42&lt;'Données projet'!$A$88,$BA$205^A42,IF(A42='Données projet'!$A$88,'Données projet'!$B$88,BD41+BC42-BL41)))</f>
        <v>129.19999999999999</v>
      </c>
      <c r="BE42" s="14">
        <f>BD42*VLOOKUP('Données projet'!$B$11,Paramètres!$A$1:$I$88,3,0)*VLOOKUP('Données projet'!$B$11,Paramètres!$A$1:$I$88,5,0)</f>
        <v>139.07087999999999</v>
      </c>
      <c r="BF42" s="14">
        <f t="shared" si="37"/>
        <v>36.084074734040144</v>
      </c>
      <c r="BG42" s="22">
        <f t="shared" si="7"/>
        <v>305.06154616178657</v>
      </c>
      <c r="BH42" s="62">
        <f t="shared" si="8"/>
        <v>585.98006458193527</v>
      </c>
      <c r="BI42" s="62">
        <f ca="1">AVERAGE(OFFSET($BH$3,0,0,'Données projet'!$E$11+1,1))-AVERAGE(OFFSET($H$3,0,0,'Données projet'!$E$11+1,1))</f>
        <v>514.86487884889584</v>
      </c>
      <c r="BJ42" s="62">
        <f t="shared" si="38"/>
        <v>272.4206208356191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projet'!$B$11,Paramètres!$A$1:$I$88,3,0)*0.475*44/12</f>
        <v>0</v>
      </c>
      <c r="BQ42" s="23">
        <f>EXP(-LN(2)/25)*BQ41+(1-EXP(-LN(2)/25))/(LN(2)/25)*Calculateur!BL42*Calculateur!BN42*VLOOKUP('Données projet'!$B$11,Paramètres!$A$1:$I$88,3,0)*0.475*44/12</f>
        <v>0</v>
      </c>
      <c r="BR42" s="23">
        <f>EXP(-LN(2)/2)*BR41+(1-EXP(-LN(2)/2))/(LN(2)/2)*BL42*BO42*VLOOKUP('Données projet'!$B$11,Paramètres!$A$1:$I$88,3,0)*0.475*44/12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66.614141387313282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9.6</v>
      </c>
      <c r="BY42" s="13">
        <f>IF('Données projet'!$A$114&gt;35,BY41+BX42-CG41,IF(A42&lt;'Données projet'!$A$114,$BV$205^A42,IF(A42='Données projet'!$A$114,'Données projet'!$B$114,BY41+BX42-CG41)))</f>
        <v>210.39999999999989</v>
      </c>
      <c r="BZ42" s="14">
        <f>BY42*VLOOKUP('Données projet'!$B$12,Paramètres!$A$1:$I$88,3,0)*VLOOKUP('Données projet'!$B$12,Paramètres!$A$1:$I$88,5,0)</f>
        <v>137.85407999999993</v>
      </c>
      <c r="CA42" s="14">
        <f t="shared" si="39"/>
        <v>35.804964283629928</v>
      </c>
      <c r="CB42" s="22">
        <f t="shared" si="10"/>
        <v>302.45616879398858</v>
      </c>
      <c r="CC42" s="62">
        <f t="shared" si="11"/>
        <v>583.37468721413734</v>
      </c>
      <c r="CD42" s="62">
        <f ca="1">AVERAGE(OFFSET($CC$3,0,0,'Données projet'!$E$12+1,1))-AVERAGE(OFFSET($H$3,0,0,'Données projet'!$E$12+1,1))</f>
        <v>270.10151451661864</v>
      </c>
      <c r="CE42" s="62">
        <f t="shared" si="40"/>
        <v>294.47934482366804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projet'!$B$12,Paramètres!$A$1:$I$88,3,0)*0.475*44/12</f>
        <v>0</v>
      </c>
      <c r="CL42" s="23">
        <f>EXP(-LN(2)/25)*CL41+(1-EXP(-LN(2)/25))/(LN(2)/25)*Calculateur!CG42*Calculateur!CI42*VLOOKUP('Données projet'!$B$12,Paramètres!$A$1:$I$88,3,0)*0.475*44/12</f>
        <v>0</v>
      </c>
      <c r="CM42" s="23">
        <f>EXP(-LN(2)/2)*CM41+(1-EXP(-LN(2)/2))/(LN(2)/2)*CG42*CJ42*VLOOKUP('Données projet'!$B$12,Paramètres!$A$1:$I$88,3,0)*0.475*44/12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66.614141387313282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9.6</v>
      </c>
      <c r="CT42" s="13">
        <f>IF('Données projet'!$A$140&gt;35,CT41+CS42-DB41,IF(A42&lt;'Données projet'!$A$140,$CQ$205^A42,IF(A42='Données projet'!$A$140,'Données projet'!$B$140,CT41+CS42-DB41)))</f>
        <v>210.39999999999989</v>
      </c>
      <c r="CU42" s="18">
        <f>CT42*VLOOKUP('Données projet'!$B$13,Paramètres!$A$1:$I$88,3,0)*VLOOKUP('Données projet'!$B$13,Paramètres!$A$1:$I$88,5,0)</f>
        <v>137.85407999999993</v>
      </c>
      <c r="CV42" s="14">
        <f t="shared" si="41"/>
        <v>35.804964283629928</v>
      </c>
      <c r="CW42" s="22">
        <f t="shared" si="13"/>
        <v>302.45616879398858</v>
      </c>
      <c r="CX42" s="62">
        <f t="shared" si="14"/>
        <v>583.37468721413734</v>
      </c>
      <c r="CY42" s="62">
        <f ca="1">AVERAGE(OFFSET($CX$3,0,0,'Données projet'!$E$13+1,1))-AVERAGE(OFFSET($H$3,0,0,'Données projet'!$E$13+1,1))</f>
        <v>270.10151451661864</v>
      </c>
      <c r="CZ42" s="62">
        <f t="shared" si="42"/>
        <v>294.47934482366804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projet'!$B$13,Paramètres!$A$1:$I$88,3,0)*0.475*44/12</f>
        <v>0</v>
      </c>
      <c r="DG42" s="23">
        <f>EXP(-LN(2)/25)*DG41+(1-EXP(-LN(2)/25))/(LN(2)/25)*Calculateur!DB42*Calculateur!DD42*VLOOKUP('Données projet'!$B$13,Paramètres!$A$1:$I$88,3,0)*0.475*44/12</f>
        <v>0</v>
      </c>
      <c r="DH42" s="23">
        <f>EXP(-LN(2)/2)*DH41+(1-EXP(-LN(2)/2))/(LN(2)/2)*DB42*DE42*VLOOKUP('Données projet'!$B$13,Paramètres!$A$1:$I$88,3,0)*0.475*44/12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66.614141387313282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projet'!$B$14,Paramètres!$A$1:$I$88,3,0)*0.475*44/12</f>
        <v>#N/A</v>
      </c>
      <c r="EB42" s="23" t="e">
        <f>EXP(-LN(2)/25)*EB41+(1-EXP(-LN(2)/25))/(LN(2)/25)*Calculateur!DW42*Calculateur!DY42*VLOOKUP('Données projet'!$B$14,Paramètres!$A$1:$I$88,3,0)*0.475*44/12</f>
        <v>#N/A</v>
      </c>
      <c r="EC42" s="23" t="e">
        <f>EXP(-LN(2)/2)*EC41+(1-EXP(-LN(2)/2))/(LN(2)/2)*DW42*DZ42*VLOOKUP('Données projet'!$B$14,Paramètres!$A$1:$I$88,3,0)*0.475*44/12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66.614141387313282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66.614141387313282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66.614141387313282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66.614141387313282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1.34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4.9133333333333331</v>
      </c>
      <c r="H43" s="70">
        <f t="shared" si="1"/>
        <v>237.01333333333332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66.672878464597559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7.8</v>
      </c>
      <c r="M43" s="13">
        <f t="array" ref="M43">INDEX(L:L,MIN(IF(ISNUMBER(L43:L239),ROW(L43:L239),"")))</f>
        <v>7.8</v>
      </c>
      <c r="N43" s="14">
        <f>IF('Données projet'!$A$36&gt;35,N42+M43-V42,IF(A43&lt;'Données projet'!$A$36,$K$205^A43,IF(A43='Données projet'!$A$36,'Données projet'!$B$36,N42+M43-V42)))</f>
        <v>137</v>
      </c>
      <c r="O43" s="14">
        <f>N43*VLOOKUP('Données projet'!$B$9,Paramètres!$A$1:$I$88,3,0)*VLOOKUP('Données projet'!$B$9,Paramètres!$A$1:$I$88,5,0)</f>
        <v>138.91800000000001</v>
      </c>
      <c r="P43" s="14">
        <f t="shared" si="33"/>
        <v>36.049022673886341</v>
      </c>
      <c r="Q43" s="22">
        <f t="shared" si="53"/>
        <v>304.73423115701871</v>
      </c>
      <c r="R43" s="62">
        <f t="shared" si="0"/>
        <v>585.86811886054306</v>
      </c>
      <c r="S43" s="62">
        <f ca="1">AVERAGE(OFFSET($R$3,0,0,'Données projet'!$E$9+1,1))-AVERAGE(OFFSET($H$3,0,0,'Données projet'!$E$9+1,1))</f>
        <v>488.16146816015231</v>
      </c>
      <c r="T43" s="62">
        <f t="shared" si="34"/>
        <v>259.37115195552127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0</v>
      </c>
      <c r="AA43" s="23">
        <f>EXP(-LN(2)/25)*AA42+(1-EXP(-LN(2)/25))/(LN(2)/25)*Calculateur!V43*Calculateur!X43*VLOOKUP('Données projet'!$B$9,Paramètres!$A$1:$I$88,3,0)*0.475*44/12</f>
        <v>0</v>
      </c>
      <c r="AB43" s="23">
        <f>EXP(-LN(2)/2)*AB42+(1-EXP(-LN(2)/2))/(LN(2)/2)*V43*Y43*VLOOKUP('Données projet'!$B$9,Paramètres!$A$1:$I$88,3,0)*0.475*44/12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66.672878464597559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7.8</v>
      </c>
      <c r="AH43" s="13">
        <f t="array" ref="AH43">INDEX(AG:AG,MIN(IF(ISNUMBER(AG43:AG239),ROW(AG43:AG239),"")))</f>
        <v>7.8</v>
      </c>
      <c r="AI43" s="14">
        <f>IF('Données projet'!$A$62&gt;35,AI42+AH43-AQ42,IF(A43&lt;'Données projet'!$A$62,$AF$205^A43,IF(A43='Données projet'!$A$62,'Données projet'!$B$62,AI42+AH43-AQ42)))</f>
        <v>137</v>
      </c>
      <c r="AJ43" s="14">
        <f>AI43*VLOOKUP('Données projet'!$B$10,Paramètres!$A$1:$I$88,3,0)*VLOOKUP('Données projet'!$B$10,Paramètres!$A$1:$I$88,5,0)</f>
        <v>123.9576</v>
      </c>
      <c r="AK43" s="14">
        <f t="shared" si="35"/>
        <v>32.59629414926458</v>
      </c>
      <c r="AL43" s="22">
        <f t="shared" si="4"/>
        <v>272.6646989766358</v>
      </c>
      <c r="AM43" s="62">
        <f t="shared" si="5"/>
        <v>553.79858668016027</v>
      </c>
      <c r="AN43" s="62">
        <f ca="1">AVERAGE(OFFSET($AM$3,0,0,'Données projet'!$E$10+1,1))-AVERAGE(OFFSET($H$3,0,0,'Données projet'!$E$10+1,1))</f>
        <v>441.34749554136755</v>
      </c>
      <c r="AO43" s="62">
        <f t="shared" si="36"/>
        <v>236.49038586666222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projet'!$B$10,Paramètres!$A$1:$I$88,3,0)*0.475*44/12</f>
        <v>0</v>
      </c>
      <c r="AV43" s="23">
        <f>EXP(-LN(2)/25)*AV42+(1-EXP(-LN(2)/25))/(LN(2)/25)*Calculateur!AQ43*Calculateur!AS43*VLOOKUP('Données projet'!$B$10,Paramètres!$A$1:$I$88,3,0)*0.475*44/12</f>
        <v>0</v>
      </c>
      <c r="AW43" s="23">
        <f>EXP(-LN(2)/2)*AW42+(1-EXP(-LN(2)/2))/(LN(2)/2)*AQ43*AT43*VLOOKUP('Données projet'!$B$10,Paramètres!$A$1:$I$88,3,0)*0.475*44/12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66.672878464597559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7.8</v>
      </c>
      <c r="BC43" s="13">
        <f t="array" ref="BC43">INDEX(BB:BB,MIN(IF(ISNUMBER(BB43:BB239),ROW(BB43:BB239),"")))</f>
        <v>7.8</v>
      </c>
      <c r="BD43" s="13">
        <f>IF('Données projet'!$A$88&gt;35,BD42+BC43-BL42,IF(A43&lt;'Données projet'!$A$88,$BA$205^A43,IF(A43='Données projet'!$A$88,'Données projet'!$B$88,BD42+BC43-BL42)))</f>
        <v>137</v>
      </c>
      <c r="BE43" s="14">
        <f>BD43*VLOOKUP('Données projet'!$B$11,Paramètres!$A$1:$I$88,3,0)*VLOOKUP('Données projet'!$B$11,Paramètres!$A$1:$I$88,5,0)</f>
        <v>147.46679999999998</v>
      </c>
      <c r="BF43" s="14">
        <f t="shared" si="37"/>
        <v>38.002337418636273</v>
      </c>
      <c r="BG43" s="22">
        <f t="shared" si="7"/>
        <v>323.02541433745813</v>
      </c>
      <c r="BH43" s="62">
        <f t="shared" si="8"/>
        <v>604.15930204098254</v>
      </c>
      <c r="BI43" s="62">
        <f ca="1">AVERAGE(OFFSET($BH$3,0,0,'Données projet'!$E$11+1,1))-AVERAGE(OFFSET($H$3,0,0,'Données projet'!$E$11+1,1))</f>
        <v>514.86487884889584</v>
      </c>
      <c r="BJ43" s="62">
        <f t="shared" si="38"/>
        <v>272.4206208356191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projet'!$B$11,Paramètres!$A$1:$I$88,3,0)*0.475*44/12</f>
        <v>0</v>
      </c>
      <c r="BQ43" s="23">
        <f>EXP(-LN(2)/25)*BQ42+(1-EXP(-LN(2)/25))/(LN(2)/25)*Calculateur!BL43*Calculateur!BN43*VLOOKUP('Données projet'!$B$11,Paramètres!$A$1:$I$88,3,0)*0.475*44/12</f>
        <v>0</v>
      </c>
      <c r="BR43" s="23">
        <f>EXP(-LN(2)/2)*BR42+(1-EXP(-LN(2)/2))/(LN(2)/2)*BL43*BO43*VLOOKUP('Données projet'!$B$11,Paramètres!$A$1:$I$88,3,0)*0.475*44/12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66.672878464597559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220</v>
      </c>
      <c r="BW43" s="13">
        <f>VLOOKUP(A43,'Données projet'!$A$113:$I$133,9,0)</f>
        <v>9.6</v>
      </c>
      <c r="BX43" s="13">
        <f t="array" ref="BX43">INDEX(BW:BW,MIN(IF(ISNUMBER(BW43:BW239),ROW(BW43:BW239),"")))</f>
        <v>9.6</v>
      </c>
      <c r="BY43" s="13">
        <f>IF('Données projet'!$A$114&gt;35,BY42+BX43-CG42,IF(A43&lt;'Données projet'!$A$114,$BV$205^A43,IF(A43='Données projet'!$A$114,'Données projet'!$B$114,BY42+BX43-CG42)))</f>
        <v>219.99999999999989</v>
      </c>
      <c r="BZ43" s="14">
        <f>BY43*VLOOKUP('Données projet'!$B$12,Paramètres!$A$1:$I$88,3,0)*VLOOKUP('Données projet'!$B$12,Paramètres!$A$1:$I$88,5,0)</f>
        <v>144.14399999999992</v>
      </c>
      <c r="CA43" s="14">
        <f t="shared" si="39"/>
        <v>37.244720006976216</v>
      </c>
      <c r="CB43" s="22">
        <f t="shared" si="10"/>
        <v>315.91868734548342</v>
      </c>
      <c r="CC43" s="62">
        <f t="shared" si="11"/>
        <v>597.05257504900783</v>
      </c>
      <c r="CD43" s="62">
        <f ca="1">AVERAGE(OFFSET($CC$3,0,0,'Données projet'!$E$12+1,1))-AVERAGE(OFFSET($H$3,0,0,'Données projet'!$E$12+1,1))</f>
        <v>270.10151451661864</v>
      </c>
      <c r="CE43" s="62">
        <f t="shared" si="40"/>
        <v>294.47934482366804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56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projet'!$B$12,Paramètres!$A$1:$I$88,3,0)*0.475*44/12</f>
        <v>0</v>
      </c>
      <c r="CL43" s="23">
        <f>EXP(-LN(2)/25)*CL42+(1-EXP(-LN(2)/25))/(LN(2)/25)*Calculateur!CG43*Calculateur!CI43*VLOOKUP('Données projet'!$B$12,Paramètres!$A$1:$I$88,3,0)*0.475*44/12</f>
        <v>0</v>
      </c>
      <c r="CM43" s="23">
        <f>EXP(-LN(2)/2)*CM42+(1-EXP(-LN(2)/2))/(LN(2)/2)*CG43*CJ43*VLOOKUP('Données projet'!$B$12,Paramètres!$A$1:$I$88,3,0)*0.475*44/12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66.672878464597559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220</v>
      </c>
      <c r="CR43" s="13">
        <f>VLOOKUP(A43,'Données projet'!$A$139:$I$159,9,0)</f>
        <v>9.6</v>
      </c>
      <c r="CS43" s="13">
        <f t="array" ref="CS43">INDEX(CR:CR,MIN(IF(ISNUMBER(CR43:CR239),ROW(CR43:CR239),"")))</f>
        <v>9.6</v>
      </c>
      <c r="CT43" s="13">
        <f>IF('Données projet'!$A$140&gt;35,CT42+CS43-DB42,IF(A43&lt;'Données projet'!$A$140,$CQ$205^A43,IF(A43='Données projet'!$A$140,'Données projet'!$B$140,CT42+CS43-DB42)))</f>
        <v>219.99999999999989</v>
      </c>
      <c r="CU43" s="18">
        <f>CT43*VLOOKUP('Données projet'!$B$13,Paramètres!$A$1:$I$88,3,0)*VLOOKUP('Données projet'!$B$13,Paramètres!$A$1:$I$88,5,0)</f>
        <v>144.14399999999992</v>
      </c>
      <c r="CV43" s="14">
        <f t="shared" si="41"/>
        <v>37.244720006976216</v>
      </c>
      <c r="CW43" s="22">
        <f t="shared" si="13"/>
        <v>315.91868734548342</v>
      </c>
      <c r="CX43" s="62">
        <f t="shared" si="14"/>
        <v>597.05257504900783</v>
      </c>
      <c r="CY43" s="62">
        <f ca="1">AVERAGE(OFFSET($CX$3,0,0,'Données projet'!$E$13+1,1))-AVERAGE(OFFSET($H$3,0,0,'Données projet'!$E$13+1,1))</f>
        <v>270.10151451661864</v>
      </c>
      <c r="CZ43" s="62">
        <f t="shared" si="42"/>
        <v>294.47934482366804</v>
      </c>
      <c r="DA43" s="16">
        <f>IF(ISNA(VLOOKUP(A43,'Données projet'!$A$139:$I$159,3,0)),0,VLOOKUP(A43,'Données projet'!$A$139:$I$159,3,0))</f>
        <v>3</v>
      </c>
      <c r="DB43" s="16">
        <f>IF(ISNA(VLOOKUP(A43,'Données projet'!$A$139:$I$159,4,0)),0,VLOOKUP(A43,'Données projet'!$A$139:$I$159,4,0))</f>
        <v>56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projet'!$B$13,Paramètres!$A$1:$I$88,3,0)*0.475*44/12</f>
        <v>0</v>
      </c>
      <c r="DG43" s="23">
        <f>EXP(-LN(2)/25)*DG42+(1-EXP(-LN(2)/25))/(LN(2)/25)*Calculateur!DB43*Calculateur!DD43*VLOOKUP('Données projet'!$B$13,Paramètres!$A$1:$I$88,3,0)*0.475*44/12</f>
        <v>0</v>
      </c>
      <c r="DH43" s="23">
        <f>EXP(-LN(2)/2)*DH42+(1-EXP(-LN(2)/2))/(LN(2)/2)*DB43*DE43*VLOOKUP('Données projet'!$B$13,Paramètres!$A$1:$I$88,3,0)*0.475*44/12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66.672878464597559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projet'!$B$14,Paramètres!$A$1:$I$88,3,0)*0.475*44/12</f>
        <v>#N/A</v>
      </c>
      <c r="EB43" s="23" t="e">
        <f>EXP(-LN(2)/25)*EB42+(1-EXP(-LN(2)/25))/(LN(2)/25)*Calculateur!DW43*Calculateur!DY43*VLOOKUP('Données projet'!$B$14,Paramètres!$A$1:$I$88,3,0)*0.475*44/12</f>
        <v>#N/A</v>
      </c>
      <c r="EC43" s="23" t="e">
        <f>EXP(-LN(2)/2)*EC42+(1-EXP(-LN(2)/2))/(LN(2)/2)*DW43*DZ43*VLOOKUP('Données projet'!$B$14,Paramètres!$A$1:$I$88,3,0)*0.475*44/12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66.672878464597559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66.672878464597559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66.672878464597559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66.672878464597559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1.34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4.9133333333333331</v>
      </c>
      <c r="H44" s="70">
        <f t="shared" si="1"/>
        <v>237.01333333333332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66.730596584907374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145.4</v>
      </c>
      <c r="O44" s="14">
        <f>N44*VLOOKUP('Données projet'!$B$9,Paramètres!$A$1:$I$88,3,0)*VLOOKUP('Données projet'!$B$9,Paramètres!$A$1:$I$88,5,0)</f>
        <v>147.43560000000002</v>
      </c>
      <c r="P44" s="14">
        <f t="shared" si="33"/>
        <v>37.99523294834102</v>
      </c>
      <c r="Q44" s="22">
        <f t="shared" si="53"/>
        <v>322.95870071836066</v>
      </c>
      <c r="R44" s="62">
        <f t="shared" si="0"/>
        <v>604.30422152968777</v>
      </c>
      <c r="S44" s="62">
        <f ca="1">AVERAGE(OFFSET($R$3,0,0,'Données projet'!$E$9+1,1))-AVERAGE(OFFSET($H$3,0,0,'Données projet'!$E$9+1,1))</f>
        <v>488.16146816015231</v>
      </c>
      <c r="T44" s="62">
        <f t="shared" si="34"/>
        <v>259.37115195552127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0</v>
      </c>
      <c r="AA44" s="23">
        <f>EXP(-LN(2)/25)*AA43+(1-EXP(-LN(2)/25))/(LN(2)/25)*Calculateur!V44*Calculateur!X44*VLOOKUP('Données projet'!$B$9,Paramètres!$A$1:$I$88,3,0)*0.475*44/12</f>
        <v>0</v>
      </c>
      <c r="AB44" s="23">
        <f>EXP(-LN(2)/2)*AB43+(1-EXP(-LN(2)/2))/(LN(2)/2)*V44*Y44*VLOOKUP('Données projet'!$B$9,Paramètres!$A$1:$I$88,3,0)*0.475*44/12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66.730596584907374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145.4</v>
      </c>
      <c r="AJ44" s="14">
        <f>AI44*VLOOKUP('Données projet'!$B$10,Paramètres!$A$1:$I$88,3,0)*VLOOKUP('Données projet'!$B$10,Paramètres!$A$1:$I$88,5,0)</f>
        <v>131.55792</v>
      </c>
      <c r="AK44" s="14">
        <f t="shared" si="35"/>
        <v>34.3560989338864</v>
      </c>
      <c r="AL44" s="22">
        <f t="shared" si="4"/>
        <v>288.96691630985214</v>
      </c>
      <c r="AM44" s="62">
        <f t="shared" si="5"/>
        <v>570.31243712117919</v>
      </c>
      <c r="AN44" s="62">
        <f ca="1">AVERAGE(OFFSET($AM$3,0,0,'Données projet'!$E$10+1,1))-AVERAGE(OFFSET($H$3,0,0,'Données projet'!$E$10+1,1))</f>
        <v>441.34749554136755</v>
      </c>
      <c r="AO44" s="62">
        <f t="shared" si="36"/>
        <v>236.49038586666222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0</v>
      </c>
      <c r="AV44" s="23">
        <f>EXP(-LN(2)/25)*AV43+(1-EXP(-LN(2)/25))/(LN(2)/25)*Calculateur!AQ44*Calculateur!AS44*VLOOKUP('Données projet'!$B$10,Paramètres!$A$1:$I$88,3,0)*0.475*44/12</f>
        <v>0</v>
      </c>
      <c r="AW44" s="23">
        <f>EXP(-LN(2)/2)*AW43+(1-EXP(-LN(2)/2))/(LN(2)/2)*AQ44*AT44*VLOOKUP('Données projet'!$B$10,Paramètres!$A$1:$I$88,3,0)*0.475*44/12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66.730596584907374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145.4</v>
      </c>
      <c r="BE44" s="14">
        <f>BD44*VLOOKUP('Données projet'!$B$11,Paramètres!$A$1:$I$88,3,0)*VLOOKUP('Données projet'!$B$11,Paramètres!$A$1:$I$88,5,0)</f>
        <v>156.50855999999999</v>
      </c>
      <c r="BF44" s="14">
        <f t="shared" si="37"/>
        <v>40.054003013194027</v>
      </c>
      <c r="BG44" s="22">
        <f t="shared" si="7"/>
        <v>342.34646391464622</v>
      </c>
      <c r="BH44" s="62">
        <f t="shared" si="8"/>
        <v>623.69198472597327</v>
      </c>
      <c r="BI44" s="62">
        <f ca="1">AVERAGE(OFFSET($BH$3,0,0,'Données projet'!$E$11+1,1))-AVERAGE(OFFSET($H$3,0,0,'Données projet'!$E$11+1,1))</f>
        <v>514.86487884889584</v>
      </c>
      <c r="BJ44" s="62">
        <f t="shared" si="38"/>
        <v>272.4206208356191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projet'!$B$11,Paramètres!$A$1:$I$88,3,0)*0.475*44/12</f>
        <v>0</v>
      </c>
      <c r="BQ44" s="23">
        <f>EXP(-LN(2)/25)*BQ43+(1-EXP(-LN(2)/25))/(LN(2)/25)*Calculateur!BL44*Calculateur!BN44*VLOOKUP('Données projet'!$B$11,Paramètres!$A$1:$I$88,3,0)*0.475*44/12</f>
        <v>0</v>
      </c>
      <c r="BR44" s="23">
        <f>EXP(-LN(2)/2)*BR43+(1-EXP(-LN(2)/2))/(LN(2)/2)*BL44*BO44*VLOOKUP('Données projet'!$B$11,Paramètres!$A$1:$I$88,3,0)*0.475*44/12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66.730596584907374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8.1999999999999993</v>
      </c>
      <c r="BY44" s="13">
        <f>IF('Données projet'!$A$114&gt;35,BY43+BX44-CG43,IF(A44&lt;'Données projet'!$A$114,$BV$205^A44,IF(A44='Données projet'!$A$114,'Données projet'!$B$114,BY43+BX44-CG43)))</f>
        <v>172.19999999999987</v>
      </c>
      <c r="BZ44" s="14">
        <f>BY44*VLOOKUP('Données projet'!$B$12,Paramètres!$A$1:$I$88,3,0)*VLOOKUP('Données projet'!$B$12,Paramètres!$A$1:$I$88,5,0)</f>
        <v>112.82543999999992</v>
      </c>
      <c r="CA44" s="14">
        <f t="shared" si="39"/>
        <v>29.995694500969023</v>
      </c>
      <c r="CB44" s="22">
        <f t="shared" si="10"/>
        <v>248.74680925585417</v>
      </c>
      <c r="CC44" s="62">
        <f t="shared" si="11"/>
        <v>530.09233006718125</v>
      </c>
      <c r="CD44" s="62">
        <f ca="1">AVERAGE(OFFSET($CC$3,0,0,'Données projet'!$E$12+1,1))-AVERAGE(OFFSET($H$3,0,0,'Données projet'!$E$12+1,1))</f>
        <v>270.10151451661864</v>
      </c>
      <c r="CE44" s="62">
        <f t="shared" si="40"/>
        <v>294.47934482366804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projet'!$B$12,Paramètres!$A$1:$I$88,3,0)*0.475*44/12</f>
        <v>0</v>
      </c>
      <c r="CL44" s="23">
        <f>EXP(-LN(2)/25)*CL43+(1-EXP(-LN(2)/25))/(LN(2)/25)*Calculateur!CG44*Calculateur!CI44*VLOOKUP('Données projet'!$B$12,Paramètres!$A$1:$I$88,3,0)*0.475*44/12</f>
        <v>0</v>
      </c>
      <c r="CM44" s="23">
        <f>EXP(-LN(2)/2)*CM43+(1-EXP(-LN(2)/2))/(LN(2)/2)*CG44*CJ44*VLOOKUP('Données projet'!$B$12,Paramètres!$A$1:$I$88,3,0)*0.475*44/12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66.730596584907374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8.1999999999999993</v>
      </c>
      <c r="CT44" s="13">
        <f>IF('Données projet'!$A$140&gt;35,CT43+CS44-DB43,IF(A44&lt;'Données projet'!$A$140,$CQ$205^A44,IF(A44='Données projet'!$A$140,'Données projet'!$B$140,CT43+CS44-DB43)))</f>
        <v>172.19999999999987</v>
      </c>
      <c r="CU44" s="18">
        <f>CT44*VLOOKUP('Données projet'!$B$13,Paramètres!$A$1:$I$88,3,0)*VLOOKUP('Données projet'!$B$13,Paramètres!$A$1:$I$88,5,0)</f>
        <v>112.82543999999992</v>
      </c>
      <c r="CV44" s="14">
        <f t="shared" si="41"/>
        <v>29.995694500969023</v>
      </c>
      <c r="CW44" s="22">
        <f t="shared" si="13"/>
        <v>248.74680925585417</v>
      </c>
      <c r="CX44" s="62">
        <f t="shared" si="14"/>
        <v>530.09233006718125</v>
      </c>
      <c r="CY44" s="62">
        <f ca="1">AVERAGE(OFFSET($CX$3,0,0,'Données projet'!$E$13+1,1))-AVERAGE(OFFSET($H$3,0,0,'Données projet'!$E$13+1,1))</f>
        <v>270.10151451661864</v>
      </c>
      <c r="CZ44" s="62">
        <f t="shared" si="42"/>
        <v>294.47934482366804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projet'!$B$13,Paramètres!$A$1:$I$88,3,0)*0.475*44/12</f>
        <v>0</v>
      </c>
      <c r="DG44" s="23">
        <f>EXP(-LN(2)/25)*DG43+(1-EXP(-LN(2)/25))/(LN(2)/25)*Calculateur!DB44*Calculateur!DD44*VLOOKUP('Données projet'!$B$13,Paramètres!$A$1:$I$88,3,0)*0.475*44/12</f>
        <v>0</v>
      </c>
      <c r="DH44" s="23">
        <f>EXP(-LN(2)/2)*DH43+(1-EXP(-LN(2)/2))/(LN(2)/2)*DB44*DE44*VLOOKUP('Données projet'!$B$13,Paramètres!$A$1:$I$88,3,0)*0.475*44/12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66.730596584907374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projet'!$B$14,Paramètres!$A$1:$I$88,3,0)*0.475*44/12</f>
        <v>#N/A</v>
      </c>
      <c r="EB44" s="23" t="e">
        <f>EXP(-LN(2)/25)*EB43+(1-EXP(-LN(2)/25))/(LN(2)/25)*Calculateur!DW44*Calculateur!DY44*VLOOKUP('Données projet'!$B$14,Paramètres!$A$1:$I$88,3,0)*0.475*44/12</f>
        <v>#N/A</v>
      </c>
      <c r="EC44" s="23" t="e">
        <f>EXP(-LN(2)/2)*EC43+(1-EXP(-LN(2)/2))/(LN(2)/2)*DW44*DZ44*VLOOKUP('Données projet'!$B$14,Paramètres!$A$1:$I$88,3,0)*0.475*44/12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66.730596584907374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66.730596584907374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66.730596584907374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66.730596584907374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1.34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4.9133333333333331</v>
      </c>
      <c r="H45" s="70">
        <f t="shared" si="1"/>
        <v>237.01333333333332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66.787313424868216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153.80000000000001</v>
      </c>
      <c r="O45" s="14">
        <f>N45*VLOOKUP('Données projet'!$B$9,Paramètres!$A$1:$I$88,3,0)*VLOOKUP('Données projet'!$B$9,Paramètres!$A$1:$I$88,5,0)</f>
        <v>155.95320000000004</v>
      </c>
      <c r="P45" s="14">
        <f t="shared" si="33"/>
        <v>39.928391937903875</v>
      </c>
      <c r="Q45" s="22">
        <f t="shared" si="53"/>
        <v>341.16043929184929</v>
      </c>
      <c r="R45" s="62">
        <f t="shared" si="0"/>
        <v>622.71392184969943</v>
      </c>
      <c r="S45" s="62">
        <f ca="1">AVERAGE(OFFSET($R$3,0,0,'Données projet'!$E$9+1,1))-AVERAGE(OFFSET($H$3,0,0,'Données projet'!$E$9+1,1))</f>
        <v>488.16146816015231</v>
      </c>
      <c r="T45" s="62">
        <f t="shared" si="34"/>
        <v>259.37115195552127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0</v>
      </c>
      <c r="AA45" s="23">
        <f>EXP(-LN(2)/25)*AA44+(1-EXP(-LN(2)/25))/(LN(2)/25)*Calculateur!V45*Calculateur!X45*VLOOKUP('Données projet'!$B$9,Paramètres!$A$1:$I$88,3,0)*0.475*44/12</f>
        <v>0</v>
      </c>
      <c r="AB45" s="23">
        <f>EXP(-LN(2)/2)*AB44+(1-EXP(-LN(2)/2))/(LN(2)/2)*V45*Y45*VLOOKUP('Données projet'!$B$9,Paramètres!$A$1:$I$88,3,0)*0.475*44/12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66.787313424868216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153.80000000000001</v>
      </c>
      <c r="AJ45" s="14">
        <f>AI45*VLOOKUP('Données projet'!$B$10,Paramètres!$A$1:$I$88,3,0)*VLOOKUP('Données projet'!$B$10,Paramètres!$A$1:$I$88,5,0)</f>
        <v>139.15824000000001</v>
      </c>
      <c r="AK45" s="14">
        <f t="shared" si="35"/>
        <v>36.104102468715482</v>
      </c>
      <c r="AL45" s="22">
        <f t="shared" si="4"/>
        <v>305.24857979967942</v>
      </c>
      <c r="AM45" s="62">
        <f t="shared" si="5"/>
        <v>586.80206235752962</v>
      </c>
      <c r="AN45" s="62">
        <f ca="1">AVERAGE(OFFSET($AM$3,0,0,'Données projet'!$E$10+1,1))-AVERAGE(OFFSET($H$3,0,0,'Données projet'!$E$10+1,1))</f>
        <v>441.34749554136755</v>
      </c>
      <c r="AO45" s="62">
        <f t="shared" si="36"/>
        <v>236.49038586666222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0</v>
      </c>
      <c r="AV45" s="23">
        <f>EXP(-LN(2)/25)*AV44+(1-EXP(-LN(2)/25))/(LN(2)/25)*Calculateur!AQ45*Calculateur!AS45*VLOOKUP('Données projet'!$B$10,Paramètres!$A$1:$I$88,3,0)*0.475*44/12</f>
        <v>0</v>
      </c>
      <c r="AW45" s="23">
        <f>EXP(-LN(2)/2)*AW44+(1-EXP(-LN(2)/2))/(LN(2)/2)*AQ45*AT45*VLOOKUP('Données projet'!$B$10,Paramètres!$A$1:$I$88,3,0)*0.475*44/12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66.787313424868216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153.80000000000001</v>
      </c>
      <c r="BE45" s="14">
        <f>BD45*VLOOKUP('Données projet'!$B$11,Paramètres!$A$1:$I$88,3,0)*VLOOKUP('Données projet'!$B$11,Paramètres!$A$1:$I$88,5,0)</f>
        <v>165.55032</v>
      </c>
      <c r="BF45" s="14">
        <f t="shared" si="37"/>
        <v>42.091910139548794</v>
      </c>
      <c r="BG45" s="22">
        <f t="shared" si="7"/>
        <v>361.64355082638076</v>
      </c>
      <c r="BH45" s="62">
        <f t="shared" si="8"/>
        <v>643.19703338423096</v>
      </c>
      <c r="BI45" s="62">
        <f ca="1">AVERAGE(OFFSET($BH$3,0,0,'Données projet'!$E$11+1,1))-AVERAGE(OFFSET($H$3,0,0,'Données projet'!$E$11+1,1))</f>
        <v>514.86487884889584</v>
      </c>
      <c r="BJ45" s="62">
        <f t="shared" si="38"/>
        <v>272.4206208356191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projet'!$B$11,Paramètres!$A$1:$I$88,3,0)*0.475*44/12</f>
        <v>0</v>
      </c>
      <c r="BQ45" s="23">
        <f>EXP(-LN(2)/25)*BQ44+(1-EXP(-LN(2)/25))/(LN(2)/25)*Calculateur!BL45*Calculateur!BN45*VLOOKUP('Données projet'!$B$11,Paramètres!$A$1:$I$88,3,0)*0.475*44/12</f>
        <v>0</v>
      </c>
      <c r="BR45" s="23">
        <f>EXP(-LN(2)/2)*BR44+(1-EXP(-LN(2)/2))/(LN(2)/2)*BL45*BO45*VLOOKUP('Données projet'!$B$11,Paramètres!$A$1:$I$88,3,0)*0.475*44/12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66.787313424868216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8.1999999999999993</v>
      </c>
      <c r="BY45" s="13">
        <f>IF('Données projet'!$A$114&gt;35,BY44+BX45-CG44,IF(A45&lt;'Données projet'!$A$114,$BV$205^A45,IF(A45='Données projet'!$A$114,'Données projet'!$B$114,BY44+BX45-CG44)))</f>
        <v>180.39999999999986</v>
      </c>
      <c r="BZ45" s="14">
        <f>BY45*VLOOKUP('Données projet'!$B$12,Paramètres!$A$1:$I$88,3,0)*VLOOKUP('Données projet'!$B$12,Paramètres!$A$1:$I$88,5,0)</f>
        <v>118.19807999999992</v>
      </c>
      <c r="CA45" s="14">
        <f t="shared" si="39"/>
        <v>31.254361690638451</v>
      </c>
      <c r="CB45" s="22">
        <f t="shared" si="10"/>
        <v>260.29633594452849</v>
      </c>
      <c r="CC45" s="62">
        <f t="shared" si="11"/>
        <v>541.84981850237864</v>
      </c>
      <c r="CD45" s="62">
        <f ca="1">AVERAGE(OFFSET($CC$3,0,0,'Données projet'!$E$12+1,1))-AVERAGE(OFFSET($H$3,0,0,'Données projet'!$E$12+1,1))</f>
        <v>270.10151451661864</v>
      </c>
      <c r="CE45" s="62">
        <f t="shared" si="40"/>
        <v>294.47934482366804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projet'!$B$12,Paramètres!$A$1:$I$88,3,0)*0.475*44/12</f>
        <v>0</v>
      </c>
      <c r="CL45" s="23">
        <f>EXP(-LN(2)/25)*CL44+(1-EXP(-LN(2)/25))/(LN(2)/25)*Calculateur!CG45*Calculateur!CI45*VLOOKUP('Données projet'!$B$12,Paramètres!$A$1:$I$88,3,0)*0.475*44/12</f>
        <v>0</v>
      </c>
      <c r="CM45" s="23">
        <f>EXP(-LN(2)/2)*CM44+(1-EXP(-LN(2)/2))/(LN(2)/2)*CG45*CJ45*VLOOKUP('Données projet'!$B$12,Paramètres!$A$1:$I$88,3,0)*0.475*44/12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66.787313424868216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8.1999999999999993</v>
      </c>
      <c r="CT45" s="13">
        <f>IF('Données projet'!$A$140&gt;35,CT44+CS45-DB44,IF(A45&lt;'Données projet'!$A$140,$CQ$205^A45,IF(A45='Données projet'!$A$140,'Données projet'!$B$140,CT44+CS45-DB44)))</f>
        <v>180.39999999999986</v>
      </c>
      <c r="CU45" s="18">
        <f>CT45*VLOOKUP('Données projet'!$B$13,Paramètres!$A$1:$I$88,3,0)*VLOOKUP('Données projet'!$B$13,Paramètres!$A$1:$I$88,5,0)</f>
        <v>118.19807999999992</v>
      </c>
      <c r="CV45" s="14">
        <f t="shared" si="41"/>
        <v>31.254361690638451</v>
      </c>
      <c r="CW45" s="22">
        <f t="shared" si="13"/>
        <v>260.29633594452849</v>
      </c>
      <c r="CX45" s="62">
        <f t="shared" si="14"/>
        <v>541.84981850237864</v>
      </c>
      <c r="CY45" s="62">
        <f ca="1">AVERAGE(OFFSET($CX$3,0,0,'Données projet'!$E$13+1,1))-AVERAGE(OFFSET($H$3,0,0,'Données projet'!$E$13+1,1))</f>
        <v>270.10151451661864</v>
      </c>
      <c r="CZ45" s="62">
        <f t="shared" si="42"/>
        <v>294.47934482366804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projet'!$B$13,Paramètres!$A$1:$I$88,3,0)*0.475*44/12</f>
        <v>0</v>
      </c>
      <c r="DG45" s="23">
        <f>EXP(-LN(2)/25)*DG44+(1-EXP(-LN(2)/25))/(LN(2)/25)*Calculateur!DB45*Calculateur!DD45*VLOOKUP('Données projet'!$B$13,Paramètres!$A$1:$I$88,3,0)*0.475*44/12</f>
        <v>0</v>
      </c>
      <c r="DH45" s="23">
        <f>EXP(-LN(2)/2)*DH44+(1-EXP(-LN(2)/2))/(LN(2)/2)*DB45*DE45*VLOOKUP('Données projet'!$B$13,Paramètres!$A$1:$I$88,3,0)*0.475*44/12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66.787313424868216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projet'!$B$14,Paramètres!$A$1:$I$88,3,0)*0.475*44/12</f>
        <v>#N/A</v>
      </c>
      <c r="EB45" s="23" t="e">
        <f>EXP(-LN(2)/25)*EB44+(1-EXP(-LN(2)/25))/(LN(2)/25)*Calculateur!DW45*Calculateur!DY45*VLOOKUP('Données projet'!$B$14,Paramètres!$A$1:$I$88,3,0)*0.475*44/12</f>
        <v>#N/A</v>
      </c>
      <c r="EC45" s="23" t="e">
        <f>EXP(-LN(2)/2)*EC44+(1-EXP(-LN(2)/2))/(LN(2)/2)*DW45*DZ45*VLOOKUP('Données projet'!$B$14,Paramètres!$A$1:$I$88,3,0)*0.475*44/12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66.787313424868216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66.787313424868216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66.787313424868216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66.787313424868216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1.34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4.9133333333333331</v>
      </c>
      <c r="H46" s="70">
        <f t="shared" si="1"/>
        <v>237.01333333333332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66.843046354455581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162.20000000000002</v>
      </c>
      <c r="O46" s="14">
        <f>N46*VLOOKUP('Données projet'!$B$9,Paramètres!$A$1:$I$88,3,0)*VLOOKUP('Données projet'!$B$9,Paramètres!$A$1:$I$88,5,0)</f>
        <v>164.47080000000003</v>
      </c>
      <c r="P46" s="14">
        <f t="shared" si="33"/>
        <v>41.849293714451377</v>
      </c>
      <c r="Q46" s="22">
        <f t="shared" si="53"/>
        <v>359.34082988600284</v>
      </c>
      <c r="R46" s="62">
        <f t="shared" si="0"/>
        <v>641.09866651900666</v>
      </c>
      <c r="S46" s="62">
        <f ca="1">AVERAGE(OFFSET($R$3,0,0,'Données projet'!$E$9+1,1))-AVERAGE(OFFSET($H$3,0,0,'Données projet'!$E$9+1,1))</f>
        <v>488.16146816015231</v>
      </c>
      <c r="T46" s="62">
        <f t="shared" si="34"/>
        <v>259.37115195552127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0</v>
      </c>
      <c r="AA46" s="23">
        <f>EXP(-LN(2)/25)*AA45+(1-EXP(-LN(2)/25))/(LN(2)/25)*Calculateur!V46*Calculateur!X46*VLOOKUP('Données projet'!$B$9,Paramètres!$A$1:$I$88,3,0)*0.475*44/12</f>
        <v>0</v>
      </c>
      <c r="AB46" s="23">
        <f>EXP(-LN(2)/2)*AB45+(1-EXP(-LN(2)/2))/(LN(2)/2)*V46*Y46*VLOOKUP('Données projet'!$B$9,Paramètres!$A$1:$I$88,3,0)*0.475*44/12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66.843046354455581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162.20000000000002</v>
      </c>
      <c r="AJ46" s="14">
        <f>AI46*VLOOKUP('Données projet'!$B$10,Paramètres!$A$1:$I$88,3,0)*VLOOKUP('Données projet'!$B$10,Paramètres!$A$1:$I$88,5,0)</f>
        <v>146.75856000000002</v>
      </c>
      <c r="AK46" s="14">
        <f t="shared" si="35"/>
        <v>37.841022770456242</v>
      </c>
      <c r="AL46" s="22">
        <f t="shared" si="4"/>
        <v>321.51093999187799</v>
      </c>
      <c r="AM46" s="62">
        <f t="shared" si="5"/>
        <v>603.26877662488187</v>
      </c>
      <c r="AN46" s="62">
        <f ca="1">AVERAGE(OFFSET($AM$3,0,0,'Données projet'!$E$10+1,1))-AVERAGE(OFFSET($H$3,0,0,'Données projet'!$E$10+1,1))</f>
        <v>441.34749554136755</v>
      </c>
      <c r="AO46" s="62">
        <f t="shared" si="36"/>
        <v>236.49038586666222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0</v>
      </c>
      <c r="AV46" s="23">
        <f>EXP(-LN(2)/25)*AV45+(1-EXP(-LN(2)/25))/(LN(2)/25)*Calculateur!AQ46*Calculateur!AS46*VLOOKUP('Données projet'!$B$10,Paramètres!$A$1:$I$88,3,0)*0.475*44/12</f>
        <v>0</v>
      </c>
      <c r="AW46" s="23">
        <f>EXP(-LN(2)/2)*AW45+(1-EXP(-LN(2)/2))/(LN(2)/2)*AQ46*AT46*VLOOKUP('Données projet'!$B$10,Paramètres!$A$1:$I$88,3,0)*0.475*44/12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66.843046354455581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162.20000000000002</v>
      </c>
      <c r="BE46" s="14">
        <f>BD46*VLOOKUP('Données projet'!$B$11,Paramètres!$A$1:$I$88,3,0)*VLOOKUP('Données projet'!$B$11,Paramètres!$A$1:$I$88,5,0)</f>
        <v>174.59208000000001</v>
      </c>
      <c r="BF46" s="14">
        <f t="shared" si="37"/>
        <v>44.116895896327598</v>
      </c>
      <c r="BG46" s="22">
        <f t="shared" si="7"/>
        <v>380.91813301943722</v>
      </c>
      <c r="BH46" s="62">
        <f t="shared" si="8"/>
        <v>662.67596965244104</v>
      </c>
      <c r="BI46" s="62">
        <f ca="1">AVERAGE(OFFSET($BH$3,0,0,'Données projet'!$E$11+1,1))-AVERAGE(OFFSET($H$3,0,0,'Données projet'!$E$11+1,1))</f>
        <v>514.86487884889584</v>
      </c>
      <c r="BJ46" s="62">
        <f t="shared" si="38"/>
        <v>272.4206208356191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projet'!$B$11,Paramètres!$A$1:$I$88,3,0)*0.475*44/12</f>
        <v>0</v>
      </c>
      <c r="BQ46" s="23">
        <f>EXP(-LN(2)/25)*BQ45+(1-EXP(-LN(2)/25))/(LN(2)/25)*Calculateur!BL46*Calculateur!BN46*VLOOKUP('Données projet'!$B$11,Paramètres!$A$1:$I$88,3,0)*0.475*44/12</f>
        <v>0</v>
      </c>
      <c r="BR46" s="23">
        <f>EXP(-LN(2)/2)*BR45+(1-EXP(-LN(2)/2))/(LN(2)/2)*BL46*BO46*VLOOKUP('Données projet'!$B$11,Paramètres!$A$1:$I$88,3,0)*0.475*44/12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66.843046354455581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8.1999999999999993</v>
      </c>
      <c r="BY46" s="13">
        <f>IF('Données projet'!$A$114&gt;35,BY45+BX46-CG45,IF(A46&lt;'Données projet'!$A$114,$BV$205^A46,IF(A46='Données projet'!$A$114,'Données projet'!$B$114,BY45+BX46-CG45)))</f>
        <v>188.59999999999985</v>
      </c>
      <c r="BZ46" s="14">
        <f>BY46*VLOOKUP('Données projet'!$B$12,Paramètres!$A$1:$I$88,3,0)*VLOOKUP('Données projet'!$B$12,Paramètres!$A$1:$I$88,5,0)</f>
        <v>123.57071999999989</v>
      </c>
      <c r="CA46" s="14">
        <f t="shared" si="39"/>
        <v>32.506384557027644</v>
      </c>
      <c r="CB46" s="22">
        <f t="shared" si="10"/>
        <v>271.83429043682298</v>
      </c>
      <c r="CC46" s="62">
        <f t="shared" si="11"/>
        <v>553.5921270698268</v>
      </c>
      <c r="CD46" s="62">
        <f ca="1">AVERAGE(OFFSET($CC$3,0,0,'Données projet'!$E$12+1,1))-AVERAGE(OFFSET($H$3,0,0,'Données projet'!$E$12+1,1))</f>
        <v>270.10151451661864</v>
      </c>
      <c r="CE46" s="62">
        <f t="shared" si="40"/>
        <v>294.47934482366804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projet'!$B$12,Paramètres!$A$1:$I$88,3,0)*0.475*44/12</f>
        <v>0</v>
      </c>
      <c r="CL46" s="23">
        <f>EXP(-LN(2)/25)*CL45+(1-EXP(-LN(2)/25))/(LN(2)/25)*Calculateur!CG46*Calculateur!CI46*VLOOKUP('Données projet'!$B$12,Paramètres!$A$1:$I$88,3,0)*0.475*44/12</f>
        <v>0</v>
      </c>
      <c r="CM46" s="23">
        <f>EXP(-LN(2)/2)*CM45+(1-EXP(-LN(2)/2))/(LN(2)/2)*CG46*CJ46*VLOOKUP('Données projet'!$B$12,Paramètres!$A$1:$I$88,3,0)*0.475*44/12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66.843046354455581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8.1999999999999993</v>
      </c>
      <c r="CT46" s="13">
        <f>IF('Données projet'!$A$140&gt;35,CT45+CS46-DB45,IF(A46&lt;'Données projet'!$A$140,$CQ$205^A46,IF(A46='Données projet'!$A$140,'Données projet'!$B$140,CT45+CS46-DB45)))</f>
        <v>188.59999999999985</v>
      </c>
      <c r="CU46" s="18">
        <f>CT46*VLOOKUP('Données projet'!$B$13,Paramètres!$A$1:$I$88,3,0)*VLOOKUP('Données projet'!$B$13,Paramètres!$A$1:$I$88,5,0)</f>
        <v>123.57071999999989</v>
      </c>
      <c r="CV46" s="14">
        <f t="shared" si="41"/>
        <v>32.506384557027644</v>
      </c>
      <c r="CW46" s="22">
        <f t="shared" si="13"/>
        <v>271.83429043682298</v>
      </c>
      <c r="CX46" s="62">
        <f t="shared" si="14"/>
        <v>553.5921270698268</v>
      </c>
      <c r="CY46" s="62">
        <f ca="1">AVERAGE(OFFSET($CX$3,0,0,'Données projet'!$E$13+1,1))-AVERAGE(OFFSET($H$3,0,0,'Données projet'!$E$13+1,1))</f>
        <v>270.10151451661864</v>
      </c>
      <c r="CZ46" s="62">
        <f t="shared" si="42"/>
        <v>294.47934482366804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projet'!$B$13,Paramètres!$A$1:$I$88,3,0)*0.475*44/12</f>
        <v>0</v>
      </c>
      <c r="DG46" s="23">
        <f>EXP(-LN(2)/25)*DG45+(1-EXP(-LN(2)/25))/(LN(2)/25)*Calculateur!DB46*Calculateur!DD46*VLOOKUP('Données projet'!$B$13,Paramètres!$A$1:$I$88,3,0)*0.475*44/12</f>
        <v>0</v>
      </c>
      <c r="DH46" s="23">
        <f>EXP(-LN(2)/2)*DH45+(1-EXP(-LN(2)/2))/(LN(2)/2)*DB46*DE46*VLOOKUP('Données projet'!$B$13,Paramètres!$A$1:$I$88,3,0)*0.475*44/12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66.843046354455581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projet'!$B$14,Paramètres!$A$1:$I$88,3,0)*0.475*44/12</f>
        <v>#N/A</v>
      </c>
      <c r="EB46" s="23" t="e">
        <f>EXP(-LN(2)/25)*EB45+(1-EXP(-LN(2)/25))/(LN(2)/25)*Calculateur!DW46*Calculateur!DY46*VLOOKUP('Données projet'!$B$14,Paramètres!$A$1:$I$88,3,0)*0.475*44/12</f>
        <v>#N/A</v>
      </c>
      <c r="EC46" s="23" t="e">
        <f>EXP(-LN(2)/2)*EC45+(1-EXP(-LN(2)/2))/(LN(2)/2)*DW46*DZ46*VLOOKUP('Données projet'!$B$14,Paramètres!$A$1:$I$88,3,0)*0.475*44/12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66.843046354455581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66.843046354455581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66.843046354455581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66.843046354455581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1.34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4.9133333333333331</v>
      </c>
      <c r="H47" s="70">
        <f t="shared" si="1"/>
        <v>237.01333333333332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66.897812442314773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170.60000000000002</v>
      </c>
      <c r="O47" s="14">
        <f>N47*VLOOKUP('Données projet'!$B$9,Paramètres!$A$1:$I$88,3,0)*VLOOKUP('Données projet'!$B$9,Paramètres!$A$1:$I$88,5,0)</f>
        <v>172.98840000000004</v>
      </c>
      <c r="P47" s="14">
        <f t="shared" si="33"/>
        <v>43.758645457754092</v>
      </c>
      <c r="Q47" s="22">
        <f t="shared" si="53"/>
        <v>377.50110417225505</v>
      </c>
      <c r="R47" s="62">
        <f t="shared" si="0"/>
        <v>659.45974979407583</v>
      </c>
      <c r="S47" s="62">
        <f ca="1">AVERAGE(OFFSET($R$3,0,0,'Données projet'!$E$9+1,1))-AVERAGE(OFFSET($H$3,0,0,'Données projet'!$E$9+1,1))</f>
        <v>488.16146816015231</v>
      </c>
      <c r="T47" s="62">
        <f t="shared" si="34"/>
        <v>259.37115195552127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0</v>
      </c>
      <c r="AA47" s="23">
        <f>EXP(-LN(2)/25)*AA46+(1-EXP(-LN(2)/25))/(LN(2)/25)*Calculateur!V47*Calculateur!X47*VLOOKUP('Données projet'!$B$9,Paramètres!$A$1:$I$88,3,0)*0.475*44/12</f>
        <v>0</v>
      </c>
      <c r="AB47" s="23">
        <f>EXP(-LN(2)/2)*AB46+(1-EXP(-LN(2)/2))/(LN(2)/2)*V47*Y47*VLOOKUP('Données projet'!$B$9,Paramètres!$A$1:$I$88,3,0)*0.475*44/12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66.897812442314773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170.60000000000002</v>
      </c>
      <c r="AJ47" s="14">
        <f>AI47*VLOOKUP('Données projet'!$B$10,Paramètres!$A$1:$I$88,3,0)*VLOOKUP('Données projet'!$B$10,Paramètres!$A$1:$I$88,5,0)</f>
        <v>154.35888000000003</v>
      </c>
      <c r="AK47" s="14">
        <f t="shared" si="35"/>
        <v>39.567499286120309</v>
      </c>
      <c r="AL47" s="22">
        <f t="shared" si="4"/>
        <v>337.75511058999291</v>
      </c>
      <c r="AM47" s="62">
        <f t="shared" si="5"/>
        <v>619.71375621181369</v>
      </c>
      <c r="AN47" s="62">
        <f ca="1">AVERAGE(OFFSET($AM$3,0,0,'Données projet'!$E$10+1,1))-AVERAGE(OFFSET($H$3,0,0,'Données projet'!$E$10+1,1))</f>
        <v>441.34749554136755</v>
      </c>
      <c r="AO47" s="62">
        <f t="shared" si="36"/>
        <v>236.49038586666222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0</v>
      </c>
      <c r="AV47" s="23">
        <f>EXP(-LN(2)/25)*AV46+(1-EXP(-LN(2)/25))/(LN(2)/25)*Calculateur!AQ47*Calculateur!AS47*VLOOKUP('Données projet'!$B$10,Paramètres!$A$1:$I$88,3,0)*0.475*44/12</f>
        <v>0</v>
      </c>
      <c r="AW47" s="23">
        <f>EXP(-LN(2)/2)*AW46+(1-EXP(-LN(2)/2))/(LN(2)/2)*AQ47*AT47*VLOOKUP('Données projet'!$B$10,Paramètres!$A$1:$I$88,3,0)*0.475*44/12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66.897812442314773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170.60000000000002</v>
      </c>
      <c r="BE47" s="14">
        <f>BD47*VLOOKUP('Données projet'!$B$11,Paramètres!$A$1:$I$88,3,0)*VLOOKUP('Données projet'!$B$11,Paramètres!$A$1:$I$88,5,0)</f>
        <v>183.63384000000002</v>
      </c>
      <c r="BF47" s="14">
        <f t="shared" si="37"/>
        <v>46.129705781806493</v>
      </c>
      <c r="BG47" s="22">
        <f t="shared" si="7"/>
        <v>400.17150890331294</v>
      </c>
      <c r="BH47" s="62">
        <f t="shared" si="8"/>
        <v>682.13015452513378</v>
      </c>
      <c r="BI47" s="62">
        <f ca="1">AVERAGE(OFFSET($BH$3,0,0,'Données projet'!$E$11+1,1))-AVERAGE(OFFSET($H$3,0,0,'Données projet'!$E$11+1,1))</f>
        <v>514.86487884889584</v>
      </c>
      <c r="BJ47" s="62">
        <f t="shared" si="38"/>
        <v>272.4206208356191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projet'!$B$11,Paramètres!$A$1:$I$88,3,0)*0.475*44/12</f>
        <v>0</v>
      </c>
      <c r="BQ47" s="23">
        <f>EXP(-LN(2)/25)*BQ46+(1-EXP(-LN(2)/25))/(LN(2)/25)*Calculateur!BL47*Calculateur!BN47*VLOOKUP('Données projet'!$B$11,Paramètres!$A$1:$I$88,3,0)*0.475*44/12</f>
        <v>0</v>
      </c>
      <c r="BR47" s="23">
        <f>EXP(-LN(2)/2)*BR46+(1-EXP(-LN(2)/2))/(LN(2)/2)*BL47*BO47*VLOOKUP('Données projet'!$B$11,Paramètres!$A$1:$I$88,3,0)*0.475*44/12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66.897812442314773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8.1999999999999993</v>
      </c>
      <c r="BY47" s="13">
        <f>IF('Données projet'!$A$114&gt;35,BY46+BX47-CG46,IF(A47&lt;'Données projet'!$A$114,$BV$205^A47,IF(A47='Données projet'!$A$114,'Données projet'!$B$114,BY46+BX47-CG46)))</f>
        <v>196.79999999999984</v>
      </c>
      <c r="BZ47" s="14">
        <f>BY47*VLOOKUP('Données projet'!$B$12,Paramètres!$A$1:$I$88,3,0)*VLOOKUP('Données projet'!$B$12,Paramètres!$A$1:$I$88,5,0)</f>
        <v>128.9433599999999</v>
      </c>
      <c r="CA47" s="14">
        <f t="shared" si="39"/>
        <v>33.752085002132162</v>
      </c>
      <c r="CB47" s="22">
        <f t="shared" si="10"/>
        <v>283.36123337871334</v>
      </c>
      <c r="CC47" s="62">
        <f t="shared" si="11"/>
        <v>565.31987900053423</v>
      </c>
      <c r="CD47" s="62">
        <f ca="1">AVERAGE(OFFSET($CC$3,0,0,'Données projet'!$E$12+1,1))-AVERAGE(OFFSET($H$3,0,0,'Données projet'!$E$12+1,1))</f>
        <v>270.10151451661864</v>
      </c>
      <c r="CE47" s="62">
        <f t="shared" si="40"/>
        <v>294.47934482366804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projet'!$B$12,Paramètres!$A$1:$I$88,3,0)*0.475*44/12</f>
        <v>0</v>
      </c>
      <c r="CL47" s="23">
        <f>EXP(-LN(2)/25)*CL46+(1-EXP(-LN(2)/25))/(LN(2)/25)*Calculateur!CG47*Calculateur!CI47*VLOOKUP('Données projet'!$B$12,Paramètres!$A$1:$I$88,3,0)*0.475*44/12</f>
        <v>0</v>
      </c>
      <c r="CM47" s="23">
        <f>EXP(-LN(2)/2)*CM46+(1-EXP(-LN(2)/2))/(LN(2)/2)*CG47*CJ47*VLOOKUP('Données projet'!$B$12,Paramètres!$A$1:$I$88,3,0)*0.475*44/12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66.897812442314773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8.1999999999999993</v>
      </c>
      <c r="CT47" s="13">
        <f>IF('Données projet'!$A$140&gt;35,CT46+CS47-DB46,IF(A47&lt;'Données projet'!$A$140,$CQ$205^A47,IF(A47='Données projet'!$A$140,'Données projet'!$B$140,CT46+CS47-DB46)))</f>
        <v>196.79999999999984</v>
      </c>
      <c r="CU47" s="18">
        <f>CT47*VLOOKUP('Données projet'!$B$13,Paramètres!$A$1:$I$88,3,0)*VLOOKUP('Données projet'!$B$13,Paramètres!$A$1:$I$88,5,0)</f>
        <v>128.9433599999999</v>
      </c>
      <c r="CV47" s="14">
        <f t="shared" si="41"/>
        <v>33.752085002132162</v>
      </c>
      <c r="CW47" s="22">
        <f t="shared" si="13"/>
        <v>283.36123337871334</v>
      </c>
      <c r="CX47" s="62">
        <f t="shared" si="14"/>
        <v>565.31987900053423</v>
      </c>
      <c r="CY47" s="62">
        <f ca="1">AVERAGE(OFFSET($CX$3,0,0,'Données projet'!$E$13+1,1))-AVERAGE(OFFSET($H$3,0,0,'Données projet'!$E$13+1,1))</f>
        <v>270.10151451661864</v>
      </c>
      <c r="CZ47" s="62">
        <f t="shared" si="42"/>
        <v>294.47934482366804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projet'!$B$13,Paramètres!$A$1:$I$88,3,0)*0.475*44/12</f>
        <v>0</v>
      </c>
      <c r="DG47" s="23">
        <f>EXP(-LN(2)/25)*DG46+(1-EXP(-LN(2)/25))/(LN(2)/25)*Calculateur!DB47*Calculateur!DD47*VLOOKUP('Données projet'!$B$13,Paramètres!$A$1:$I$88,3,0)*0.475*44/12</f>
        <v>0</v>
      </c>
      <c r="DH47" s="23">
        <f>EXP(-LN(2)/2)*DH46+(1-EXP(-LN(2)/2))/(LN(2)/2)*DB47*DE47*VLOOKUP('Données projet'!$B$13,Paramètres!$A$1:$I$88,3,0)*0.475*44/12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66.897812442314773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projet'!$B$14,Paramètres!$A$1:$I$88,3,0)*0.475*44/12</f>
        <v>#N/A</v>
      </c>
      <c r="EB47" s="23" t="e">
        <f>EXP(-LN(2)/25)*EB46+(1-EXP(-LN(2)/25))/(LN(2)/25)*Calculateur!DW47*Calculateur!DY47*VLOOKUP('Données projet'!$B$14,Paramètres!$A$1:$I$88,3,0)*0.475*44/12</f>
        <v>#N/A</v>
      </c>
      <c r="EC47" s="23" t="e">
        <f>EXP(-LN(2)/2)*EC46+(1-EXP(-LN(2)/2))/(LN(2)/2)*DW47*DZ47*VLOOKUP('Données projet'!$B$14,Paramètres!$A$1:$I$88,3,0)*0.475*44/12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66.897812442314773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66.897812442314773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66.897812442314773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66.897812442314773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1.34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4.9133333333333331</v>
      </c>
      <c r="H48" s="70">
        <f t="shared" si="1"/>
        <v>237.01333333333332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66.951628460988246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179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179.00000000000003</v>
      </c>
      <c r="O48" s="14">
        <f>N48*VLOOKUP('Données projet'!$B$9,Paramètres!$A$1:$I$88,3,0)*VLOOKUP('Données projet'!$B$9,Paramètres!$A$1:$I$88,5,0)</f>
        <v>181.50600000000003</v>
      </c>
      <c r="P48" s="14">
        <f t="shared" si="33"/>
        <v>45.657080773122978</v>
      </c>
      <c r="Q48" s="22">
        <f t="shared" si="53"/>
        <v>395.64236567985586</v>
      </c>
      <c r="R48" s="62">
        <f t="shared" si="0"/>
        <v>677.79833670347944</v>
      </c>
      <c r="S48" s="62">
        <f ca="1">AVERAGE(OFFSET($R$3,0,0,'Données projet'!$E$9+1,1))-AVERAGE(OFFSET($H$3,0,0,'Données projet'!$E$9+1,1))</f>
        <v>488.16146816015231</v>
      </c>
      <c r="T48" s="62">
        <f t="shared" si="34"/>
        <v>259.37115195552127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42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0</v>
      </c>
      <c r="AA48" s="23">
        <f>EXP(-LN(2)/25)*AA47+(1-EXP(-LN(2)/25))/(LN(2)/25)*Calculateur!V48*Calculateur!X48*VLOOKUP('Données projet'!$B$9,Paramètres!$A$1:$I$88,3,0)*0.475*44/12</f>
        <v>0</v>
      </c>
      <c r="AB48" s="23">
        <f>EXP(-LN(2)/2)*AB47+(1-EXP(-LN(2)/2))/(LN(2)/2)*V48*Y48*VLOOKUP('Données projet'!$B$9,Paramètres!$A$1:$I$88,3,0)*0.475*44/12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66.951628460988246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179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179.00000000000003</v>
      </c>
      <c r="AJ48" s="14">
        <f>AI48*VLOOKUP('Données projet'!$B$10,Paramètres!$A$1:$I$88,3,0)*VLOOKUP('Données projet'!$B$10,Paramètres!$A$1:$I$88,5,0)</f>
        <v>161.95920000000001</v>
      </c>
      <c r="AK48" s="14">
        <f t="shared" si="35"/>
        <v>41.284104935125683</v>
      </c>
      <c r="AL48" s="22">
        <f t="shared" si="4"/>
        <v>353.98208942867723</v>
      </c>
      <c r="AM48" s="62">
        <f t="shared" si="5"/>
        <v>636.13806045230081</v>
      </c>
      <c r="AN48" s="62">
        <f ca="1">AVERAGE(OFFSET($AM$3,0,0,'Données projet'!$E$10+1,1))-AVERAGE(OFFSET($H$3,0,0,'Données projet'!$E$10+1,1))</f>
        <v>441.34749554136755</v>
      </c>
      <c r="AO48" s="62">
        <f t="shared" si="36"/>
        <v>236.49038586666222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42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projet'!$B$10,Paramètres!$A$1:$I$88,3,0)*0.475*44/12</f>
        <v>0</v>
      </c>
      <c r="AV48" s="23">
        <f>EXP(-LN(2)/25)*AV47+(1-EXP(-LN(2)/25))/(LN(2)/25)*Calculateur!AQ48*Calculateur!AS48*VLOOKUP('Données projet'!$B$10,Paramètres!$A$1:$I$88,3,0)*0.475*44/12</f>
        <v>0</v>
      </c>
      <c r="AW48" s="23">
        <f>EXP(-LN(2)/2)*AW47+(1-EXP(-LN(2)/2))/(LN(2)/2)*AQ48*AT48*VLOOKUP('Données projet'!$B$10,Paramètres!$A$1:$I$88,3,0)*0.475*44/12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66.951628460988246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179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179.00000000000003</v>
      </c>
      <c r="BE48" s="14">
        <f>BD48*VLOOKUP('Données projet'!$B$11,Paramètres!$A$1:$I$88,3,0)*VLOOKUP('Données projet'!$B$11,Paramètres!$A$1:$I$88,5,0)</f>
        <v>192.6756</v>
      </c>
      <c r="BF48" s="14">
        <f t="shared" si="37"/>
        <v>48.131007733172986</v>
      </c>
      <c r="BG48" s="22">
        <f t="shared" si="7"/>
        <v>419.40484180194295</v>
      </c>
      <c r="BH48" s="62">
        <f t="shared" si="8"/>
        <v>701.56081282556647</v>
      </c>
      <c r="BI48" s="62">
        <f ca="1">AVERAGE(OFFSET($BH$3,0,0,'Données projet'!$E$11+1,1))-AVERAGE(OFFSET($H$3,0,0,'Données projet'!$E$11+1,1))</f>
        <v>514.86487884889584</v>
      </c>
      <c r="BJ48" s="62">
        <f t="shared" si="38"/>
        <v>272.4206208356191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42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projet'!$B$11,Paramètres!$A$1:$I$88,3,0)*0.475*44/12</f>
        <v>0</v>
      </c>
      <c r="BQ48" s="23">
        <f>EXP(-LN(2)/25)*BQ47+(1-EXP(-LN(2)/25))/(LN(2)/25)*Calculateur!BL48*Calculateur!BN48*VLOOKUP('Données projet'!$B$11,Paramètres!$A$1:$I$88,3,0)*0.475*44/12</f>
        <v>0</v>
      </c>
      <c r="BR48" s="23">
        <f>EXP(-LN(2)/2)*BR47+(1-EXP(-LN(2)/2))/(LN(2)/2)*BL48*BO48*VLOOKUP('Données projet'!$B$11,Paramètres!$A$1:$I$88,3,0)*0.475*44/12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66.951628460988246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205</v>
      </c>
      <c r="BW48" s="13">
        <f>VLOOKUP(A48,'Données projet'!$A$113:$I$133,9,0)</f>
        <v>8.1999999999999993</v>
      </c>
      <c r="BX48" s="13">
        <f t="array" ref="BX48">INDEX(BW:BW,MIN(IF(ISNUMBER(BW48:BW244),ROW(BW48:BW244),"")))</f>
        <v>8.1999999999999993</v>
      </c>
      <c r="BY48" s="13">
        <f>IF('Données projet'!$A$114&gt;35,BY47+BX48-CG47,IF(A48&lt;'Données projet'!$A$114,$BV$205^A48,IF(A48='Données projet'!$A$114,'Données projet'!$B$114,BY47+BX48-CG47)))</f>
        <v>204.99999999999983</v>
      </c>
      <c r="BZ48" s="14">
        <f>BY48*VLOOKUP('Données projet'!$B$12,Paramètres!$A$1:$I$88,3,0)*VLOOKUP('Données projet'!$B$12,Paramètres!$A$1:$I$88,5,0)</f>
        <v>134.31599999999989</v>
      </c>
      <c r="CA48" s="14">
        <f t="shared" si="39"/>
        <v>34.99175658512241</v>
      </c>
      <c r="CB48" s="22">
        <f t="shared" si="10"/>
        <v>294.87767605242135</v>
      </c>
      <c r="CC48" s="62">
        <f t="shared" si="11"/>
        <v>577.03364707604487</v>
      </c>
      <c r="CD48" s="62">
        <f ca="1">AVERAGE(OFFSET($CC$3,0,0,'Données projet'!$E$12+1,1))-AVERAGE(OFFSET($H$3,0,0,'Données projet'!$E$12+1,1))</f>
        <v>270.10151451661864</v>
      </c>
      <c r="CE48" s="62">
        <f t="shared" si="40"/>
        <v>294.47934482366804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projet'!$B$12,Paramètres!$A$1:$I$88,3,0)*0.475*44/12</f>
        <v>0</v>
      </c>
      <c r="CL48" s="23">
        <f>EXP(-LN(2)/25)*CL47+(1-EXP(-LN(2)/25))/(LN(2)/25)*Calculateur!CG48*Calculateur!CI48*VLOOKUP('Données projet'!$B$12,Paramètres!$A$1:$I$88,3,0)*0.475*44/12</f>
        <v>0</v>
      </c>
      <c r="CM48" s="23">
        <f>EXP(-LN(2)/2)*CM47+(1-EXP(-LN(2)/2))/(LN(2)/2)*CG48*CJ48*VLOOKUP('Données projet'!$B$12,Paramètres!$A$1:$I$88,3,0)*0.475*44/12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66.951628460988246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205</v>
      </c>
      <c r="CR48" s="13">
        <f>VLOOKUP(A48,'Données projet'!$A$139:$I$159,9,0)</f>
        <v>8.1999999999999993</v>
      </c>
      <c r="CS48" s="13">
        <f t="array" ref="CS48">INDEX(CR:CR,MIN(IF(ISNUMBER(CR48:CR244),ROW(CR48:CR244),"")))</f>
        <v>8.1999999999999993</v>
      </c>
      <c r="CT48" s="13">
        <f>IF('Données projet'!$A$140&gt;35,CT47+CS48-DB47,IF(A48&lt;'Données projet'!$A$140,$CQ$205^A48,IF(A48='Données projet'!$A$140,'Données projet'!$B$140,CT47+CS48-DB47)))</f>
        <v>204.99999999999983</v>
      </c>
      <c r="CU48" s="18">
        <f>CT48*VLOOKUP('Données projet'!$B$13,Paramètres!$A$1:$I$88,3,0)*VLOOKUP('Données projet'!$B$13,Paramètres!$A$1:$I$88,5,0)</f>
        <v>134.31599999999989</v>
      </c>
      <c r="CV48" s="14">
        <f t="shared" si="41"/>
        <v>34.99175658512241</v>
      </c>
      <c r="CW48" s="22">
        <f t="shared" si="13"/>
        <v>294.87767605242135</v>
      </c>
      <c r="CX48" s="62">
        <f t="shared" si="14"/>
        <v>577.03364707604487</v>
      </c>
      <c r="CY48" s="62">
        <f ca="1">AVERAGE(OFFSET($CX$3,0,0,'Données projet'!$E$13+1,1))-AVERAGE(OFFSET($H$3,0,0,'Données projet'!$E$13+1,1))</f>
        <v>270.10151451661864</v>
      </c>
      <c r="CZ48" s="62">
        <f t="shared" si="42"/>
        <v>294.47934482366804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projet'!$B$13,Paramètres!$A$1:$I$88,3,0)*0.475*44/12</f>
        <v>0</v>
      </c>
      <c r="DG48" s="23">
        <f>EXP(-LN(2)/25)*DG47+(1-EXP(-LN(2)/25))/(LN(2)/25)*Calculateur!DB48*Calculateur!DD48*VLOOKUP('Données projet'!$B$13,Paramètres!$A$1:$I$88,3,0)*0.475*44/12</f>
        <v>0</v>
      </c>
      <c r="DH48" s="23">
        <f>EXP(-LN(2)/2)*DH47+(1-EXP(-LN(2)/2))/(LN(2)/2)*DB48*DE48*VLOOKUP('Données projet'!$B$13,Paramètres!$A$1:$I$88,3,0)*0.475*44/12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66.951628460988246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projet'!$B$14,Paramètres!$A$1:$I$88,3,0)*0.475*44/12</f>
        <v>#N/A</v>
      </c>
      <c r="EB48" s="23" t="e">
        <f>EXP(-LN(2)/25)*EB47+(1-EXP(-LN(2)/25))/(LN(2)/25)*Calculateur!DW48*Calculateur!DY48*VLOOKUP('Données projet'!$B$14,Paramètres!$A$1:$I$88,3,0)*0.475*44/12</f>
        <v>#N/A</v>
      </c>
      <c r="EC48" s="23" t="e">
        <f>EXP(-LN(2)/2)*EC47+(1-EXP(-LN(2)/2))/(LN(2)/2)*DW48*DZ48*VLOOKUP('Données projet'!$B$14,Paramètres!$A$1:$I$88,3,0)*0.475*44/12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66.951628460988246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66.951628460988246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66.951628460988246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66.951628460988246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1.34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4.9133333333333331</v>
      </c>
      <c r="H49" s="70">
        <f t="shared" si="1"/>
        <v>237.01333333333332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67.004510892052309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145.20000000000002</v>
      </c>
      <c r="O49" s="14">
        <f>N49*VLOOKUP('Données projet'!$B$9,Paramètres!$A$1:$I$88,3,0)*VLOOKUP('Données projet'!$B$9,Paramètres!$A$1:$I$88,5,0)</f>
        <v>147.23280000000003</v>
      </c>
      <c r="P49" s="14">
        <f t="shared" si="33"/>
        <v>37.949049623906205</v>
      </c>
      <c r="Q49" s="22">
        <f t="shared" si="53"/>
        <v>322.52505476163668</v>
      </c>
      <c r="R49" s="62">
        <f t="shared" si="0"/>
        <v>604.87492803249518</v>
      </c>
      <c r="S49" s="62">
        <f ca="1">AVERAGE(OFFSET($R$3,0,0,'Données projet'!$E$9+1,1))-AVERAGE(OFFSET($H$3,0,0,'Données projet'!$E$9+1,1))</f>
        <v>488.16146816015231</v>
      </c>
      <c r="T49" s="62">
        <f t="shared" si="34"/>
        <v>259.37115195552127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0</v>
      </c>
      <c r="AA49" s="23">
        <f>EXP(-LN(2)/25)*AA48+(1-EXP(-LN(2)/25))/(LN(2)/25)*Calculateur!V49*Calculateur!X49*VLOOKUP('Données projet'!$B$9,Paramètres!$A$1:$I$88,3,0)*0.475*44/12</f>
        <v>0</v>
      </c>
      <c r="AB49" s="23">
        <f>EXP(-LN(2)/2)*AB48+(1-EXP(-LN(2)/2))/(LN(2)/2)*V49*Y49*VLOOKUP('Données projet'!$B$9,Paramètres!$A$1:$I$88,3,0)*0.475*44/12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67.004510892052309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145.20000000000002</v>
      </c>
      <c r="AJ49" s="14">
        <f>AI49*VLOOKUP('Données projet'!$B$10,Paramètres!$A$1:$I$88,3,0)*VLOOKUP('Données projet'!$B$10,Paramètres!$A$1:$I$88,5,0)</f>
        <v>131.37696000000003</v>
      </c>
      <c r="AK49" s="14">
        <f t="shared" si="35"/>
        <v>34.314338988223334</v>
      </c>
      <c r="AL49" s="22">
        <f t="shared" si="4"/>
        <v>288.57901240448905</v>
      </c>
      <c r="AM49" s="62">
        <f t="shared" si="5"/>
        <v>570.9288856753476</v>
      </c>
      <c r="AN49" s="62">
        <f ca="1">AVERAGE(OFFSET($AM$3,0,0,'Données projet'!$E$10+1,1))-AVERAGE(OFFSET($H$3,0,0,'Données projet'!$E$10+1,1))</f>
        <v>441.34749554136755</v>
      </c>
      <c r="AO49" s="62">
        <f t="shared" si="36"/>
        <v>236.49038586666222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0</v>
      </c>
      <c r="AV49" s="23">
        <f>EXP(-LN(2)/25)*AV48+(1-EXP(-LN(2)/25))/(LN(2)/25)*Calculateur!AQ49*Calculateur!AS49*VLOOKUP('Données projet'!$B$10,Paramètres!$A$1:$I$88,3,0)*0.475*44/12</f>
        <v>0</v>
      </c>
      <c r="AW49" s="23">
        <f>EXP(-LN(2)/2)*AW48+(1-EXP(-LN(2)/2))/(LN(2)/2)*AQ49*AT49*VLOOKUP('Données projet'!$B$10,Paramètres!$A$1:$I$88,3,0)*0.475*44/12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67.004510892052309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145.20000000000002</v>
      </c>
      <c r="BE49" s="14">
        <f>BD49*VLOOKUP('Données projet'!$B$11,Paramètres!$A$1:$I$88,3,0)*VLOOKUP('Données projet'!$B$11,Paramètres!$A$1:$I$88,5,0)</f>
        <v>156.29328000000001</v>
      </c>
      <c r="BF49" s="14">
        <f t="shared" si="37"/>
        <v>40.005317247308959</v>
      </c>
      <c r="BG49" s="22">
        <f t="shared" si="7"/>
        <v>341.8867235390631</v>
      </c>
      <c r="BH49" s="62">
        <f t="shared" si="8"/>
        <v>624.23659680992159</v>
      </c>
      <c r="BI49" s="62">
        <f ca="1">AVERAGE(OFFSET($BH$3,0,0,'Données projet'!$E$11+1,1))-AVERAGE(OFFSET($H$3,0,0,'Données projet'!$E$11+1,1))</f>
        <v>514.86487884889584</v>
      </c>
      <c r="BJ49" s="62">
        <f t="shared" si="38"/>
        <v>272.4206208356191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projet'!$B$11,Paramètres!$A$1:$I$88,3,0)*0.475*44/12</f>
        <v>0</v>
      </c>
      <c r="BQ49" s="23">
        <f>EXP(-LN(2)/25)*BQ48+(1-EXP(-LN(2)/25))/(LN(2)/25)*Calculateur!BL49*Calculateur!BN49*VLOOKUP('Données projet'!$B$11,Paramètres!$A$1:$I$88,3,0)*0.475*44/12</f>
        <v>0</v>
      </c>
      <c r="BR49" s="23">
        <f>EXP(-LN(2)/2)*BR48+(1-EXP(-LN(2)/2))/(LN(2)/2)*BL49*BO49*VLOOKUP('Données projet'!$B$11,Paramètres!$A$1:$I$88,3,0)*0.475*44/12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67.004510892052309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7</v>
      </c>
      <c r="BY49" s="13">
        <f>IF('Données projet'!$A$114&gt;35,BY48+BX49-CG48,IF(A49&lt;'Données projet'!$A$114,$BV$205^A49,IF(A49='Données projet'!$A$114,'Données projet'!$B$114,BY48+BX49-CG48)))</f>
        <v>211.99999999999983</v>
      </c>
      <c r="BZ49" s="14">
        <f>BY49*VLOOKUP('Données projet'!$B$12,Paramètres!$A$1:$I$88,3,0)*VLOOKUP('Données projet'!$B$12,Paramètres!$A$1:$I$88,5,0)</f>
        <v>138.90239999999989</v>
      </c>
      <c r="CA49" s="14">
        <f t="shared" si="39"/>
        <v>36.045445680666425</v>
      </c>
      <c r="CB49" s="22">
        <f t="shared" si="10"/>
        <v>304.70083122716051</v>
      </c>
      <c r="CC49" s="62">
        <f t="shared" si="11"/>
        <v>587.05070449801906</v>
      </c>
      <c r="CD49" s="62">
        <f ca="1">AVERAGE(OFFSET($CC$3,0,0,'Données projet'!$E$12+1,1))-AVERAGE(OFFSET($H$3,0,0,'Données projet'!$E$12+1,1))</f>
        <v>270.10151451661864</v>
      </c>
      <c r="CE49" s="62">
        <f t="shared" si="40"/>
        <v>294.47934482366804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projet'!$B$12,Paramètres!$A$1:$I$88,3,0)*0.475*44/12</f>
        <v>0</v>
      </c>
      <c r="CL49" s="23">
        <f>EXP(-LN(2)/25)*CL48+(1-EXP(-LN(2)/25))/(LN(2)/25)*Calculateur!CG49*Calculateur!CI49*VLOOKUP('Données projet'!$B$12,Paramètres!$A$1:$I$88,3,0)*0.475*44/12</f>
        <v>0</v>
      </c>
      <c r="CM49" s="23">
        <f>EXP(-LN(2)/2)*CM48+(1-EXP(-LN(2)/2))/(LN(2)/2)*CG49*CJ49*VLOOKUP('Données projet'!$B$12,Paramètres!$A$1:$I$88,3,0)*0.475*44/12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67.004510892052309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7</v>
      </c>
      <c r="CT49" s="13">
        <f>IF('Données projet'!$A$140&gt;35,CT48+CS49-DB48,IF(A49&lt;'Données projet'!$A$140,$CQ$205^A49,IF(A49='Données projet'!$A$140,'Données projet'!$B$140,CT48+CS49-DB48)))</f>
        <v>211.99999999999983</v>
      </c>
      <c r="CU49" s="18">
        <f>CT49*VLOOKUP('Données projet'!$B$13,Paramètres!$A$1:$I$88,3,0)*VLOOKUP('Données projet'!$B$13,Paramètres!$A$1:$I$88,5,0)</f>
        <v>138.90239999999989</v>
      </c>
      <c r="CV49" s="14">
        <f t="shared" si="41"/>
        <v>36.045445680666425</v>
      </c>
      <c r="CW49" s="22">
        <f t="shared" si="13"/>
        <v>304.70083122716051</v>
      </c>
      <c r="CX49" s="62">
        <f t="shared" si="14"/>
        <v>587.05070449801906</v>
      </c>
      <c r="CY49" s="62">
        <f ca="1">AVERAGE(OFFSET($CX$3,0,0,'Données projet'!$E$13+1,1))-AVERAGE(OFFSET($H$3,0,0,'Données projet'!$E$13+1,1))</f>
        <v>270.10151451661864</v>
      </c>
      <c r="CZ49" s="62">
        <f t="shared" si="42"/>
        <v>294.47934482366804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projet'!$B$13,Paramètres!$A$1:$I$88,3,0)*0.475*44/12</f>
        <v>0</v>
      </c>
      <c r="DG49" s="23">
        <f>EXP(-LN(2)/25)*DG48+(1-EXP(-LN(2)/25))/(LN(2)/25)*Calculateur!DB49*Calculateur!DD49*VLOOKUP('Données projet'!$B$13,Paramètres!$A$1:$I$88,3,0)*0.475*44/12</f>
        <v>0</v>
      </c>
      <c r="DH49" s="23">
        <f>EXP(-LN(2)/2)*DH48+(1-EXP(-LN(2)/2))/(LN(2)/2)*DB49*DE49*VLOOKUP('Données projet'!$B$13,Paramètres!$A$1:$I$88,3,0)*0.475*44/12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67.004510892052309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projet'!$B$14,Paramètres!$A$1:$I$88,3,0)*0.475*44/12</f>
        <v>#N/A</v>
      </c>
      <c r="EB49" s="23" t="e">
        <f>EXP(-LN(2)/25)*EB48+(1-EXP(-LN(2)/25))/(LN(2)/25)*Calculateur!DW49*Calculateur!DY49*VLOOKUP('Données projet'!$B$14,Paramètres!$A$1:$I$88,3,0)*0.475*44/12</f>
        <v>#N/A</v>
      </c>
      <c r="EC49" s="23" t="e">
        <f>EXP(-LN(2)/2)*EC48+(1-EXP(-LN(2)/2))/(LN(2)/2)*DW49*DZ49*VLOOKUP('Données projet'!$B$14,Paramètres!$A$1:$I$88,3,0)*0.475*44/12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67.004510892052309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67.004510892052309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67.004510892052309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67.004510892052309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1.34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4.9133333333333331</v>
      </c>
      <c r="H50" s="70">
        <f t="shared" si="1"/>
        <v>237.01333333333332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67.056475931164826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</v>
      </c>
      <c r="O50" s="14">
        <f>N50*VLOOKUP('Données projet'!$B$9,Paramètres!$A$1:$I$88,3,0)*VLOOKUP('Données projet'!$B$9,Paramètres!$A$1:$I$88,5,0)</f>
        <v>155.54760000000002</v>
      </c>
      <c r="P50" s="14">
        <f t="shared" si="33"/>
        <v>39.836620617816237</v>
      </c>
      <c r="Q50" s="22">
        <f t="shared" si="53"/>
        <v>340.29418424269664</v>
      </c>
      <c r="R50" s="62">
        <f t="shared" si="0"/>
        <v>622.83459599030107</v>
      </c>
      <c r="S50" s="62">
        <f ca="1">AVERAGE(OFFSET($R$3,0,0,'Données projet'!$E$9+1,1))-AVERAGE(OFFSET($H$3,0,0,'Données projet'!$E$9+1,1))</f>
        <v>488.16146816015231</v>
      </c>
      <c r="T50" s="62">
        <f t="shared" si="34"/>
        <v>259.37115195552127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0</v>
      </c>
      <c r="AA50" s="23">
        <f>EXP(-LN(2)/25)*AA49+(1-EXP(-LN(2)/25))/(LN(2)/25)*Calculateur!V50*Calculateur!X50*VLOOKUP('Données projet'!$B$9,Paramètres!$A$1:$I$88,3,0)*0.475*44/12</f>
        <v>0</v>
      </c>
      <c r="AB50" s="23">
        <f>EXP(-LN(2)/2)*AB49+(1-EXP(-LN(2)/2))/(LN(2)/2)*V50*Y50*VLOOKUP('Données projet'!$B$9,Paramètres!$A$1:$I$88,3,0)*0.475*44/12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67.056475931164826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153.4</v>
      </c>
      <c r="AJ50" s="14">
        <f>AI50*VLOOKUP('Données projet'!$B$10,Paramètres!$A$1:$I$88,3,0)*VLOOKUP('Données projet'!$B$10,Paramètres!$A$1:$I$88,5,0)</f>
        <v>138.79632000000001</v>
      </c>
      <c r="AK50" s="14">
        <f t="shared" si="35"/>
        <v>36.021120886354588</v>
      </c>
      <c r="AL50" s="22">
        <f t="shared" si="4"/>
        <v>304.47370954373423</v>
      </c>
      <c r="AM50" s="62">
        <f t="shared" si="5"/>
        <v>587.0141212913386</v>
      </c>
      <c r="AN50" s="62">
        <f ca="1">AVERAGE(OFFSET($AM$3,0,0,'Données projet'!$E$10+1,1))-AVERAGE(OFFSET($H$3,0,0,'Données projet'!$E$10+1,1))</f>
        <v>441.34749554136755</v>
      </c>
      <c r="AO50" s="62">
        <f t="shared" si="36"/>
        <v>236.49038586666222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0</v>
      </c>
      <c r="AV50" s="23">
        <f>EXP(-LN(2)/25)*AV49+(1-EXP(-LN(2)/25))/(LN(2)/25)*Calculateur!AQ50*Calculateur!AS50*VLOOKUP('Données projet'!$B$10,Paramètres!$A$1:$I$88,3,0)*0.475*44/12</f>
        <v>0</v>
      </c>
      <c r="AW50" s="23">
        <f>EXP(-LN(2)/2)*AW49+(1-EXP(-LN(2)/2))/(LN(2)/2)*AQ50*AT50*VLOOKUP('Données projet'!$B$10,Paramètres!$A$1:$I$88,3,0)*0.475*44/12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67.056475931164826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153.4</v>
      </c>
      <c r="BE50" s="14">
        <f>BD50*VLOOKUP('Données projet'!$B$11,Paramètres!$A$1:$I$88,3,0)*VLOOKUP('Données projet'!$B$11,Paramètres!$A$1:$I$88,5,0)</f>
        <v>165.11975999999999</v>
      </c>
      <c r="BF50" s="14">
        <f t="shared" si="37"/>
        <v>41.995166194425131</v>
      </c>
      <c r="BG50" s="22">
        <f t="shared" si="7"/>
        <v>360.72516312195711</v>
      </c>
      <c r="BH50" s="62">
        <f t="shared" si="8"/>
        <v>643.26557486956153</v>
      </c>
      <c r="BI50" s="62">
        <f ca="1">AVERAGE(OFFSET($BH$3,0,0,'Données projet'!$E$11+1,1))-AVERAGE(OFFSET($H$3,0,0,'Données projet'!$E$11+1,1))</f>
        <v>514.86487884889584</v>
      </c>
      <c r="BJ50" s="62">
        <f t="shared" si="38"/>
        <v>272.4206208356191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projet'!$B$11,Paramètres!$A$1:$I$88,3,0)*0.475*44/12</f>
        <v>0</v>
      </c>
      <c r="BQ50" s="23">
        <f>EXP(-LN(2)/25)*BQ49+(1-EXP(-LN(2)/25))/(LN(2)/25)*Calculateur!BL50*Calculateur!BN50*VLOOKUP('Données projet'!$B$11,Paramètres!$A$1:$I$88,3,0)*0.475*44/12</f>
        <v>0</v>
      </c>
      <c r="BR50" s="23">
        <f>EXP(-LN(2)/2)*BR49+(1-EXP(-LN(2)/2))/(LN(2)/2)*BL50*BO50*VLOOKUP('Données projet'!$B$11,Paramètres!$A$1:$I$88,3,0)*0.475*44/12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67.056475931164826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7</v>
      </c>
      <c r="BY50" s="13">
        <f>IF('Données projet'!$A$114&gt;35,BY49+BX50-CG49,IF(A50&lt;'Données projet'!$A$114,$BV$205^A50,IF(A50='Données projet'!$A$114,'Données projet'!$B$114,BY49+BX50-CG49)))</f>
        <v>218.99999999999983</v>
      </c>
      <c r="BZ50" s="14">
        <f>BY50*VLOOKUP('Données projet'!$B$12,Paramètres!$A$1:$I$88,3,0)*VLOOKUP('Données projet'!$B$12,Paramètres!$A$1:$I$88,5,0)</f>
        <v>143.48879999999988</v>
      </c>
      <c r="CA50" s="14">
        <f t="shared" si="39"/>
        <v>37.095092027878849</v>
      </c>
      <c r="CB50" s="22">
        <f t="shared" si="10"/>
        <v>314.51694528188875</v>
      </c>
      <c r="CC50" s="62">
        <f t="shared" si="11"/>
        <v>597.05735702949312</v>
      </c>
      <c r="CD50" s="62">
        <f ca="1">AVERAGE(OFFSET($CC$3,0,0,'Données projet'!$E$12+1,1))-AVERAGE(OFFSET($H$3,0,0,'Données projet'!$E$12+1,1))</f>
        <v>270.10151451661864</v>
      </c>
      <c r="CE50" s="62">
        <f t="shared" si="40"/>
        <v>294.47934482366804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projet'!$B$12,Paramètres!$A$1:$I$88,3,0)*0.475*44/12</f>
        <v>0</v>
      </c>
      <c r="CL50" s="23">
        <f>EXP(-LN(2)/25)*CL49+(1-EXP(-LN(2)/25))/(LN(2)/25)*Calculateur!CG50*Calculateur!CI50*VLOOKUP('Données projet'!$B$12,Paramètres!$A$1:$I$88,3,0)*0.475*44/12</f>
        <v>0</v>
      </c>
      <c r="CM50" s="23">
        <f>EXP(-LN(2)/2)*CM49+(1-EXP(-LN(2)/2))/(LN(2)/2)*CG50*CJ50*VLOOKUP('Données projet'!$B$12,Paramètres!$A$1:$I$88,3,0)*0.475*44/12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67.056475931164826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7</v>
      </c>
      <c r="CT50" s="13">
        <f>IF('Données projet'!$A$140&gt;35,CT49+CS50-DB49,IF(A50&lt;'Données projet'!$A$140,$CQ$205^A50,IF(A50='Données projet'!$A$140,'Données projet'!$B$140,CT49+CS50-DB49)))</f>
        <v>218.99999999999983</v>
      </c>
      <c r="CU50" s="18">
        <f>CT50*VLOOKUP('Données projet'!$B$13,Paramètres!$A$1:$I$88,3,0)*VLOOKUP('Données projet'!$B$13,Paramètres!$A$1:$I$88,5,0)</f>
        <v>143.48879999999988</v>
      </c>
      <c r="CV50" s="14">
        <f t="shared" si="41"/>
        <v>37.095092027878849</v>
      </c>
      <c r="CW50" s="22">
        <f t="shared" si="13"/>
        <v>314.51694528188875</v>
      </c>
      <c r="CX50" s="62">
        <f t="shared" si="14"/>
        <v>597.05735702949312</v>
      </c>
      <c r="CY50" s="62">
        <f ca="1">AVERAGE(OFFSET($CX$3,0,0,'Données projet'!$E$13+1,1))-AVERAGE(OFFSET($H$3,0,0,'Données projet'!$E$13+1,1))</f>
        <v>270.10151451661864</v>
      </c>
      <c r="CZ50" s="62">
        <f t="shared" si="42"/>
        <v>294.47934482366804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projet'!$B$13,Paramètres!$A$1:$I$88,3,0)*0.475*44/12</f>
        <v>0</v>
      </c>
      <c r="DG50" s="23">
        <f>EXP(-LN(2)/25)*DG49+(1-EXP(-LN(2)/25))/(LN(2)/25)*Calculateur!DB50*Calculateur!DD50*VLOOKUP('Données projet'!$B$13,Paramètres!$A$1:$I$88,3,0)*0.475*44/12</f>
        <v>0</v>
      </c>
      <c r="DH50" s="23">
        <f>EXP(-LN(2)/2)*DH49+(1-EXP(-LN(2)/2))/(LN(2)/2)*DB50*DE50*VLOOKUP('Données projet'!$B$13,Paramètres!$A$1:$I$88,3,0)*0.475*44/12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67.056475931164826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projet'!$B$14,Paramètres!$A$1:$I$88,3,0)*0.475*44/12</f>
        <v>#N/A</v>
      </c>
      <c r="EB50" s="23" t="e">
        <f>EXP(-LN(2)/25)*EB49+(1-EXP(-LN(2)/25))/(LN(2)/25)*Calculateur!DW50*Calculateur!DY50*VLOOKUP('Données projet'!$B$14,Paramètres!$A$1:$I$88,3,0)*0.475*44/12</f>
        <v>#N/A</v>
      </c>
      <c r="EC50" s="23" t="e">
        <f>EXP(-LN(2)/2)*EC49+(1-EXP(-LN(2)/2))/(LN(2)/2)*DW50*DZ50*VLOOKUP('Données projet'!$B$14,Paramètres!$A$1:$I$88,3,0)*0.475*44/12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67.056475931164826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67.056475931164826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67.056475931164826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67.056475931164826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1.34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4.9133333333333331</v>
      </c>
      <c r="H51" s="70">
        <f t="shared" si="1"/>
        <v>237.01333333333332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67.107539493025172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</v>
      </c>
      <c r="O51" s="14">
        <f>N51*VLOOKUP('Données projet'!$B$9,Paramètres!$A$1:$I$88,3,0)*VLOOKUP('Données projet'!$B$9,Paramètres!$A$1:$I$88,5,0)</f>
        <v>163.86240000000001</v>
      </c>
      <c r="P51" s="14">
        <f t="shared" si="33"/>
        <v>41.712477409029084</v>
      </c>
      <c r="Q51" s="22">
        <f t="shared" si="53"/>
        <v>358.0429114873923</v>
      </c>
      <c r="R51" s="62">
        <f t="shared" si="0"/>
        <v>640.77055629515121</v>
      </c>
      <c r="S51" s="62">
        <f ca="1">AVERAGE(OFFSET($R$3,0,0,'Données projet'!$E$9+1,1))-AVERAGE(OFFSET($H$3,0,0,'Données projet'!$E$9+1,1))</f>
        <v>488.16146816015231</v>
      </c>
      <c r="T51" s="62">
        <f t="shared" si="34"/>
        <v>259.37115195552127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0</v>
      </c>
      <c r="AA51" s="23">
        <f>EXP(-LN(2)/25)*AA50+(1-EXP(-LN(2)/25))/(LN(2)/25)*Calculateur!V51*Calculateur!X51*VLOOKUP('Données projet'!$B$9,Paramètres!$A$1:$I$88,3,0)*0.475*44/12</f>
        <v>0</v>
      </c>
      <c r="AB51" s="23">
        <f>EXP(-LN(2)/2)*AB50+(1-EXP(-LN(2)/2))/(LN(2)/2)*V51*Y51*VLOOKUP('Données projet'!$B$9,Paramètres!$A$1:$I$88,3,0)*0.475*44/12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67.107539493025172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161.6</v>
      </c>
      <c r="AJ51" s="14">
        <f>AI51*VLOOKUP('Données projet'!$B$10,Paramètres!$A$1:$I$88,3,0)*VLOOKUP('Données projet'!$B$10,Paramètres!$A$1:$I$88,5,0)</f>
        <v>146.21567999999999</v>
      </c>
      <c r="AK51" s="14">
        <f t="shared" si="35"/>
        <v>37.717310552893402</v>
      </c>
      <c r="AL51" s="22">
        <f t="shared" si="4"/>
        <v>320.34995854628932</v>
      </c>
      <c r="AM51" s="62">
        <f t="shared" si="5"/>
        <v>603.07760335404828</v>
      </c>
      <c r="AN51" s="62">
        <f ca="1">AVERAGE(OFFSET($AM$3,0,0,'Données projet'!$E$10+1,1))-AVERAGE(OFFSET($H$3,0,0,'Données projet'!$E$10+1,1))</f>
        <v>441.34749554136755</v>
      </c>
      <c r="AO51" s="62">
        <f t="shared" si="36"/>
        <v>236.49038586666222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0</v>
      </c>
      <c r="AV51" s="23">
        <f>EXP(-LN(2)/25)*AV50+(1-EXP(-LN(2)/25))/(LN(2)/25)*Calculateur!AQ51*Calculateur!AS51*VLOOKUP('Données projet'!$B$10,Paramètres!$A$1:$I$88,3,0)*0.475*44/12</f>
        <v>0</v>
      </c>
      <c r="AW51" s="23">
        <f>EXP(-LN(2)/2)*AW50+(1-EXP(-LN(2)/2))/(LN(2)/2)*AQ51*AT51*VLOOKUP('Données projet'!$B$10,Paramètres!$A$1:$I$88,3,0)*0.475*44/12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67.107539493025172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161.6</v>
      </c>
      <c r="BE51" s="14">
        <f>BD51*VLOOKUP('Données projet'!$B$11,Paramètres!$A$1:$I$88,3,0)*VLOOKUP('Données projet'!$B$11,Paramètres!$A$1:$I$88,5,0)</f>
        <v>173.94623999999999</v>
      </c>
      <c r="BF51" s="14">
        <f t="shared" si="37"/>
        <v>43.972666205274265</v>
      </c>
      <c r="BG51" s="22">
        <f t="shared" si="7"/>
        <v>379.542094974186</v>
      </c>
      <c r="BH51" s="62">
        <f t="shared" si="8"/>
        <v>662.26973978194496</v>
      </c>
      <c r="BI51" s="62">
        <f ca="1">AVERAGE(OFFSET($BH$3,0,0,'Données projet'!$E$11+1,1))-AVERAGE(OFFSET($H$3,0,0,'Données projet'!$E$11+1,1))</f>
        <v>514.86487884889584</v>
      </c>
      <c r="BJ51" s="62">
        <f t="shared" si="38"/>
        <v>272.4206208356191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projet'!$B$11,Paramètres!$A$1:$I$88,3,0)*0.475*44/12</f>
        <v>0</v>
      </c>
      <c r="BQ51" s="23">
        <f>EXP(-LN(2)/25)*BQ50+(1-EXP(-LN(2)/25))/(LN(2)/25)*Calculateur!BL51*Calculateur!BN51*VLOOKUP('Données projet'!$B$11,Paramètres!$A$1:$I$88,3,0)*0.475*44/12</f>
        <v>0</v>
      </c>
      <c r="BR51" s="23">
        <f>EXP(-LN(2)/2)*BR50+(1-EXP(-LN(2)/2))/(LN(2)/2)*BL51*BO51*VLOOKUP('Données projet'!$B$11,Paramètres!$A$1:$I$88,3,0)*0.475*44/12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67.107539493025172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7</v>
      </c>
      <c r="BY51" s="13">
        <f>IF('Données projet'!$A$114&gt;35,BY50+BX51-CG50,IF(A51&lt;'Données projet'!$A$114,$BV$205^A51,IF(A51='Données projet'!$A$114,'Données projet'!$B$114,BY50+BX51-CG50)))</f>
        <v>225.99999999999983</v>
      </c>
      <c r="BZ51" s="14">
        <f>BY51*VLOOKUP('Données projet'!$B$12,Paramètres!$A$1:$I$88,3,0)*VLOOKUP('Données projet'!$B$12,Paramètres!$A$1:$I$88,5,0)</f>
        <v>148.07519999999991</v>
      </c>
      <c r="CA51" s="14">
        <f t="shared" si="39"/>
        <v>38.140839670017236</v>
      </c>
      <c r="CB51" s="22">
        <f t="shared" si="10"/>
        <v>324.32626909194659</v>
      </c>
      <c r="CC51" s="62">
        <f t="shared" si="11"/>
        <v>607.05391389970555</v>
      </c>
      <c r="CD51" s="62">
        <f ca="1">AVERAGE(OFFSET($CC$3,0,0,'Données projet'!$E$12+1,1))-AVERAGE(OFFSET($H$3,0,0,'Données projet'!$E$12+1,1))</f>
        <v>270.10151451661864</v>
      </c>
      <c r="CE51" s="62">
        <f t="shared" si="40"/>
        <v>294.47934482366804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projet'!$B$12,Paramètres!$A$1:$I$88,3,0)*0.475*44/12</f>
        <v>0</v>
      </c>
      <c r="CL51" s="23">
        <f>EXP(-LN(2)/25)*CL50+(1-EXP(-LN(2)/25))/(LN(2)/25)*Calculateur!CG51*Calculateur!CI51*VLOOKUP('Données projet'!$B$12,Paramètres!$A$1:$I$88,3,0)*0.475*44/12</f>
        <v>0</v>
      </c>
      <c r="CM51" s="23">
        <f>EXP(-LN(2)/2)*CM50+(1-EXP(-LN(2)/2))/(LN(2)/2)*CG51*CJ51*VLOOKUP('Données projet'!$B$12,Paramètres!$A$1:$I$88,3,0)*0.475*44/12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67.107539493025172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7</v>
      </c>
      <c r="CT51" s="13">
        <f>IF('Données projet'!$A$140&gt;35,CT50+CS51-DB50,IF(A51&lt;'Données projet'!$A$140,$CQ$205^A51,IF(A51='Données projet'!$A$140,'Données projet'!$B$140,CT50+CS51-DB50)))</f>
        <v>225.99999999999983</v>
      </c>
      <c r="CU51" s="18">
        <f>CT51*VLOOKUP('Données projet'!$B$13,Paramètres!$A$1:$I$88,3,0)*VLOOKUP('Données projet'!$B$13,Paramètres!$A$1:$I$88,5,0)</f>
        <v>148.07519999999991</v>
      </c>
      <c r="CV51" s="14">
        <f t="shared" si="41"/>
        <v>38.140839670017236</v>
      </c>
      <c r="CW51" s="22">
        <f t="shared" si="13"/>
        <v>324.32626909194659</v>
      </c>
      <c r="CX51" s="62">
        <f t="shared" si="14"/>
        <v>607.05391389970555</v>
      </c>
      <c r="CY51" s="62">
        <f ca="1">AVERAGE(OFFSET($CX$3,0,0,'Données projet'!$E$13+1,1))-AVERAGE(OFFSET($H$3,0,0,'Données projet'!$E$13+1,1))</f>
        <v>270.10151451661864</v>
      </c>
      <c r="CZ51" s="62">
        <f t="shared" si="42"/>
        <v>294.47934482366804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projet'!$B$13,Paramètres!$A$1:$I$88,3,0)*0.475*44/12</f>
        <v>0</v>
      </c>
      <c r="DG51" s="23">
        <f>EXP(-LN(2)/25)*DG50+(1-EXP(-LN(2)/25))/(LN(2)/25)*Calculateur!DB51*Calculateur!DD51*VLOOKUP('Données projet'!$B$13,Paramètres!$A$1:$I$88,3,0)*0.475*44/12</f>
        <v>0</v>
      </c>
      <c r="DH51" s="23">
        <f>EXP(-LN(2)/2)*DH50+(1-EXP(-LN(2)/2))/(LN(2)/2)*DB51*DE51*VLOOKUP('Données projet'!$B$13,Paramètres!$A$1:$I$88,3,0)*0.475*44/12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67.107539493025172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projet'!$B$14,Paramètres!$A$1:$I$88,3,0)*0.475*44/12</f>
        <v>#N/A</v>
      </c>
      <c r="EB51" s="23" t="e">
        <f>EXP(-LN(2)/25)*EB50+(1-EXP(-LN(2)/25))/(LN(2)/25)*Calculateur!DW51*Calculateur!DY51*VLOOKUP('Données projet'!$B$14,Paramètres!$A$1:$I$88,3,0)*0.475*44/12</f>
        <v>#N/A</v>
      </c>
      <c r="EC51" s="23" t="e">
        <f>EXP(-LN(2)/2)*EC50+(1-EXP(-LN(2)/2))/(LN(2)/2)*DW51*DZ51*VLOOKUP('Données projet'!$B$14,Paramètres!$A$1:$I$88,3,0)*0.475*44/12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67.107539493025172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67.107539493025172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67.107539493025172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67.107539493025172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1.34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4.9133333333333331</v>
      </c>
      <c r="H52" s="70">
        <f t="shared" si="1"/>
        <v>237.01333333333332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67.157717216248244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169.79999999999998</v>
      </c>
      <c r="O52" s="14">
        <f>N52*VLOOKUP('Données projet'!$B$9,Paramètres!$A$1:$I$88,3,0)*VLOOKUP('Données projet'!$B$9,Paramètres!$A$1:$I$88,5,0)</f>
        <v>172.1772</v>
      </c>
      <c r="P52" s="14">
        <f t="shared" si="33"/>
        <v>43.577282221917017</v>
      </c>
      <c r="Q52" s="22">
        <f t="shared" si="53"/>
        <v>375.77238986983883</v>
      </c>
      <c r="R52" s="62">
        <f t="shared" si="0"/>
        <v>658.68401966274905</v>
      </c>
      <c r="S52" s="62">
        <f ca="1">AVERAGE(OFFSET($R$3,0,0,'Données projet'!$E$9+1,1))-AVERAGE(OFFSET($H$3,0,0,'Données projet'!$E$9+1,1))</f>
        <v>488.16146816015231</v>
      </c>
      <c r="T52" s="62">
        <f t="shared" si="34"/>
        <v>259.37115195552127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0</v>
      </c>
      <c r="AA52" s="23">
        <f>EXP(-LN(2)/25)*AA51+(1-EXP(-LN(2)/25))/(LN(2)/25)*Calculateur!V52*Calculateur!X52*VLOOKUP('Données projet'!$B$9,Paramètres!$A$1:$I$88,3,0)*0.475*44/12</f>
        <v>0</v>
      </c>
      <c r="AB52" s="23">
        <f>EXP(-LN(2)/2)*AB51+(1-EXP(-LN(2)/2))/(LN(2)/2)*V52*Y52*VLOOKUP('Données projet'!$B$9,Paramètres!$A$1:$I$88,3,0)*0.475*44/12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67.157717216248244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169.79999999999998</v>
      </c>
      <c r="AJ52" s="14">
        <f>AI52*VLOOKUP('Données projet'!$B$10,Paramètres!$A$1:$I$88,3,0)*VLOOKUP('Données projet'!$B$10,Paramètres!$A$1:$I$88,5,0)</f>
        <v>153.63503999999998</v>
      </c>
      <c r="AK52" s="14">
        <f t="shared" si="35"/>
        <v>39.403506785222667</v>
      </c>
      <c r="AL52" s="22">
        <f t="shared" si="4"/>
        <v>336.20880231759611</v>
      </c>
      <c r="AM52" s="62">
        <f t="shared" si="5"/>
        <v>619.12043211050627</v>
      </c>
      <c r="AN52" s="62">
        <f ca="1">AVERAGE(OFFSET($AM$3,0,0,'Données projet'!$E$10+1,1))-AVERAGE(OFFSET($H$3,0,0,'Données projet'!$E$10+1,1))</f>
        <v>441.34749554136755</v>
      </c>
      <c r="AO52" s="62">
        <f t="shared" si="36"/>
        <v>236.49038586666222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0</v>
      </c>
      <c r="AV52" s="23">
        <f>EXP(-LN(2)/25)*AV51+(1-EXP(-LN(2)/25))/(LN(2)/25)*Calculateur!AQ52*Calculateur!AS52*VLOOKUP('Données projet'!$B$10,Paramètres!$A$1:$I$88,3,0)*0.475*44/12</f>
        <v>0</v>
      </c>
      <c r="AW52" s="23">
        <f>EXP(-LN(2)/2)*AW51+(1-EXP(-LN(2)/2))/(LN(2)/2)*AQ52*AT52*VLOOKUP('Données projet'!$B$10,Paramètres!$A$1:$I$88,3,0)*0.475*44/12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67.157717216248244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169.79999999999998</v>
      </c>
      <c r="BE52" s="14">
        <f>BD52*VLOOKUP('Données projet'!$B$11,Paramètres!$A$1:$I$88,3,0)*VLOOKUP('Données projet'!$B$11,Paramètres!$A$1:$I$88,5,0)</f>
        <v>182.77271999999996</v>
      </c>
      <c r="BF52" s="14">
        <f t="shared" si="37"/>
        <v>45.938515386827795</v>
      </c>
      <c r="BG52" s="22">
        <f t="shared" si="7"/>
        <v>398.33873496539167</v>
      </c>
      <c r="BH52" s="62">
        <f t="shared" si="8"/>
        <v>681.25036475830188</v>
      </c>
      <c r="BI52" s="62">
        <f ca="1">AVERAGE(OFFSET($BH$3,0,0,'Données projet'!$E$11+1,1))-AVERAGE(OFFSET($H$3,0,0,'Données projet'!$E$11+1,1))</f>
        <v>514.86487884889584</v>
      </c>
      <c r="BJ52" s="62">
        <f t="shared" si="38"/>
        <v>272.4206208356191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projet'!$B$11,Paramètres!$A$1:$I$88,3,0)*0.475*44/12</f>
        <v>0</v>
      </c>
      <c r="BQ52" s="23">
        <f>EXP(-LN(2)/25)*BQ51+(1-EXP(-LN(2)/25))/(LN(2)/25)*Calculateur!BL52*Calculateur!BN52*VLOOKUP('Données projet'!$B$11,Paramètres!$A$1:$I$88,3,0)*0.475*44/12</f>
        <v>0</v>
      </c>
      <c r="BR52" s="23">
        <f>EXP(-LN(2)/2)*BR51+(1-EXP(-LN(2)/2))/(LN(2)/2)*BL52*BO52*VLOOKUP('Données projet'!$B$11,Paramètres!$A$1:$I$88,3,0)*0.475*44/12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67.157717216248244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7</v>
      </c>
      <c r="BY52" s="13">
        <f>IF('Données projet'!$A$114&gt;35,BY51+BX52-CG51,IF(A52&lt;'Données projet'!$A$114,$BV$205^A52,IF(A52='Données projet'!$A$114,'Données projet'!$B$114,BY51+BX52-CG51)))</f>
        <v>232.99999999999983</v>
      </c>
      <c r="BZ52" s="14">
        <f>BY52*VLOOKUP('Données projet'!$B$12,Paramètres!$A$1:$I$88,3,0)*VLOOKUP('Données projet'!$B$12,Paramètres!$A$1:$I$88,5,0)</f>
        <v>152.66159999999991</v>
      </c>
      <c r="CA52" s="14">
        <f t="shared" si="39"/>
        <v>39.182823220412082</v>
      </c>
      <c r="CB52" s="22">
        <f t="shared" si="10"/>
        <v>334.12903710888418</v>
      </c>
      <c r="CC52" s="62">
        <f t="shared" si="11"/>
        <v>617.04066690179434</v>
      </c>
      <c r="CD52" s="62">
        <f ca="1">AVERAGE(OFFSET($CC$3,0,0,'Données projet'!$E$12+1,1))-AVERAGE(OFFSET($H$3,0,0,'Données projet'!$E$12+1,1))</f>
        <v>270.10151451661864</v>
      </c>
      <c r="CE52" s="62">
        <f t="shared" si="40"/>
        <v>294.47934482366804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projet'!$B$12,Paramètres!$A$1:$I$88,3,0)*0.475*44/12</f>
        <v>0</v>
      </c>
      <c r="CL52" s="23">
        <f>EXP(-LN(2)/25)*CL51+(1-EXP(-LN(2)/25))/(LN(2)/25)*Calculateur!CG52*Calculateur!CI52*VLOOKUP('Données projet'!$B$12,Paramètres!$A$1:$I$88,3,0)*0.475*44/12</f>
        <v>0</v>
      </c>
      <c r="CM52" s="23">
        <f>EXP(-LN(2)/2)*CM51+(1-EXP(-LN(2)/2))/(LN(2)/2)*CG52*CJ52*VLOOKUP('Données projet'!$B$12,Paramètres!$A$1:$I$88,3,0)*0.475*44/12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67.157717216248244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7</v>
      </c>
      <c r="CT52" s="13">
        <f>IF('Données projet'!$A$140&gt;35,CT51+CS52-DB51,IF(A52&lt;'Données projet'!$A$140,$CQ$205^A52,IF(A52='Données projet'!$A$140,'Données projet'!$B$140,CT51+CS52-DB51)))</f>
        <v>232.99999999999983</v>
      </c>
      <c r="CU52" s="18">
        <f>CT52*VLOOKUP('Données projet'!$B$13,Paramètres!$A$1:$I$88,3,0)*VLOOKUP('Données projet'!$B$13,Paramètres!$A$1:$I$88,5,0)</f>
        <v>152.66159999999991</v>
      </c>
      <c r="CV52" s="14">
        <f t="shared" si="41"/>
        <v>39.182823220412082</v>
      </c>
      <c r="CW52" s="22">
        <f t="shared" si="13"/>
        <v>334.12903710888418</v>
      </c>
      <c r="CX52" s="62">
        <f t="shared" si="14"/>
        <v>617.04066690179434</v>
      </c>
      <c r="CY52" s="62">
        <f ca="1">AVERAGE(OFFSET($CX$3,0,0,'Données projet'!$E$13+1,1))-AVERAGE(OFFSET($H$3,0,0,'Données projet'!$E$13+1,1))</f>
        <v>270.10151451661864</v>
      </c>
      <c r="CZ52" s="62">
        <f t="shared" si="42"/>
        <v>294.47934482366804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projet'!$B$13,Paramètres!$A$1:$I$88,3,0)*0.475*44/12</f>
        <v>0</v>
      </c>
      <c r="DG52" s="23">
        <f>EXP(-LN(2)/25)*DG51+(1-EXP(-LN(2)/25))/(LN(2)/25)*Calculateur!DB52*Calculateur!DD52*VLOOKUP('Données projet'!$B$13,Paramètres!$A$1:$I$88,3,0)*0.475*44/12</f>
        <v>0</v>
      </c>
      <c r="DH52" s="23">
        <f>EXP(-LN(2)/2)*DH51+(1-EXP(-LN(2)/2))/(LN(2)/2)*DB52*DE52*VLOOKUP('Données projet'!$B$13,Paramètres!$A$1:$I$88,3,0)*0.475*44/12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67.157717216248244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projet'!$B$14,Paramètres!$A$1:$I$88,3,0)*0.475*44/12</f>
        <v>#N/A</v>
      </c>
      <c r="EB52" s="23" t="e">
        <f>EXP(-LN(2)/25)*EB51+(1-EXP(-LN(2)/25))/(LN(2)/25)*Calculateur!DW52*Calculateur!DY52*VLOOKUP('Données projet'!$B$14,Paramètres!$A$1:$I$88,3,0)*0.475*44/12</f>
        <v>#N/A</v>
      </c>
      <c r="EC52" s="23" t="e">
        <f>EXP(-LN(2)/2)*EC51+(1-EXP(-LN(2)/2))/(LN(2)/2)*DW52*DZ52*VLOOKUP('Données projet'!$B$14,Paramètres!$A$1:$I$88,3,0)*0.475*44/12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67.157717216248244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67.157717216248244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67.157717216248244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67.157717216248244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1.34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4.9133333333333331</v>
      </c>
      <c r="H53" s="70">
        <f t="shared" si="1"/>
        <v>237.01333333333332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67.207024468154003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177.99999999999997</v>
      </c>
      <c r="O53" s="14">
        <f>N53*VLOOKUP('Données projet'!$B$9,Paramètres!$A$1:$I$88,3,0)*VLOOKUP('Données projet'!$B$9,Paramètres!$A$1:$I$88,5,0)</f>
        <v>180.49199999999999</v>
      </c>
      <c r="P53" s="14">
        <f t="shared" si="33"/>
        <v>45.431629706642617</v>
      </c>
      <c r="Q53" s="22">
        <f t="shared" si="53"/>
        <v>393.48365507240254</v>
      </c>
      <c r="R53" s="62">
        <f t="shared" si="0"/>
        <v>676.57607812230049</v>
      </c>
      <c r="S53" s="62">
        <f ca="1">AVERAGE(OFFSET($R$3,0,0,'Données projet'!$E$9+1,1))-AVERAGE(OFFSET($H$3,0,0,'Données projet'!$E$9+1,1))</f>
        <v>488.16146816015231</v>
      </c>
      <c r="T53" s="62">
        <f t="shared" si="34"/>
        <v>259.37115195552127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0</v>
      </c>
      <c r="AA53" s="23">
        <f>EXP(-LN(2)/25)*AA52+(1-EXP(-LN(2)/25))/(LN(2)/25)*Calculateur!V53*Calculateur!X53*VLOOKUP('Données projet'!$B$9,Paramètres!$A$1:$I$88,3,0)*0.475*44/12</f>
        <v>0</v>
      </c>
      <c r="AB53" s="23">
        <f>EXP(-LN(2)/2)*AB52+(1-EXP(-LN(2)/2))/(LN(2)/2)*V53*Y53*VLOOKUP('Données projet'!$B$9,Paramètres!$A$1:$I$88,3,0)*0.475*44/12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67.207024468154003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177.99999999999997</v>
      </c>
      <c r="AJ53" s="14">
        <f>AI53*VLOOKUP('Données projet'!$B$10,Paramètres!$A$1:$I$88,3,0)*VLOOKUP('Données projet'!$B$10,Paramètres!$A$1:$I$88,5,0)</f>
        <v>161.05439999999999</v>
      </c>
      <c r="AK53" s="14">
        <f t="shared" si="35"/>
        <v>41.080247278685491</v>
      </c>
      <c r="AL53" s="22">
        <f t="shared" si="4"/>
        <v>352.05117734371055</v>
      </c>
      <c r="AM53" s="62">
        <f t="shared" si="5"/>
        <v>635.14360039360849</v>
      </c>
      <c r="AN53" s="62">
        <f ca="1">AVERAGE(OFFSET($AM$3,0,0,'Données projet'!$E$10+1,1))-AVERAGE(OFFSET($H$3,0,0,'Données projet'!$E$10+1,1))</f>
        <v>441.34749554136755</v>
      </c>
      <c r="AO53" s="62">
        <f t="shared" si="36"/>
        <v>236.49038586666222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projet'!$B$10,Paramètres!$A$1:$I$88,3,0)*0.475*44/12</f>
        <v>0</v>
      </c>
      <c r="AV53" s="23">
        <f>EXP(-LN(2)/25)*AV52+(1-EXP(-LN(2)/25))/(LN(2)/25)*Calculateur!AQ53*Calculateur!AS53*VLOOKUP('Données projet'!$B$10,Paramètres!$A$1:$I$88,3,0)*0.475*44/12</f>
        <v>0</v>
      </c>
      <c r="AW53" s="23">
        <f>EXP(-LN(2)/2)*AW52+(1-EXP(-LN(2)/2))/(LN(2)/2)*AQ53*AT53*VLOOKUP('Données projet'!$B$10,Paramètres!$A$1:$I$88,3,0)*0.475*44/12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67.207024468154003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178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177.99999999999997</v>
      </c>
      <c r="BE53" s="14">
        <f>BD53*VLOOKUP('Données projet'!$B$11,Paramètres!$A$1:$I$88,3,0)*VLOOKUP('Données projet'!$B$11,Paramètres!$A$1:$I$88,5,0)</f>
        <v>191.59919999999994</v>
      </c>
      <c r="BF53" s="14">
        <f t="shared" si="37"/>
        <v>47.893340610341816</v>
      </c>
      <c r="BG53" s="22">
        <f t="shared" si="7"/>
        <v>417.11617489634523</v>
      </c>
      <c r="BH53" s="62">
        <f t="shared" si="8"/>
        <v>700.20859794624323</v>
      </c>
      <c r="BI53" s="62">
        <f ca="1">AVERAGE(OFFSET($BH$3,0,0,'Données projet'!$E$11+1,1))-AVERAGE(OFFSET($H$3,0,0,'Données projet'!$E$11+1,1))</f>
        <v>514.86487884889584</v>
      </c>
      <c r="BJ53" s="62">
        <f t="shared" si="38"/>
        <v>272.4206208356191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projet'!$B$11,Paramètres!$A$1:$I$88,3,0)*0.475*44/12</f>
        <v>0</v>
      </c>
      <c r="BQ53" s="23">
        <f>EXP(-LN(2)/25)*BQ52+(1-EXP(-LN(2)/25))/(LN(2)/25)*Calculateur!BL53*Calculateur!BN53*VLOOKUP('Données projet'!$B$11,Paramètres!$A$1:$I$88,3,0)*0.475*44/12</f>
        <v>0</v>
      </c>
      <c r="BR53" s="23">
        <f>EXP(-LN(2)/2)*BR52+(1-EXP(-LN(2)/2))/(LN(2)/2)*BL53*BO53*VLOOKUP('Données projet'!$B$11,Paramètres!$A$1:$I$88,3,0)*0.475*44/12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67.207024468154003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240</v>
      </c>
      <c r="BW53" s="13">
        <f>VLOOKUP(A53,'Données projet'!$A$113:$I$133,9,0)</f>
        <v>7</v>
      </c>
      <c r="BX53" s="13">
        <f t="array" ref="BX53">INDEX(BW:BW,MIN(IF(ISNUMBER(BW53:BW249),ROW(BW53:BW249),"")))</f>
        <v>7</v>
      </c>
      <c r="BY53" s="13">
        <f>IF('Données projet'!$A$114&gt;35,BY52+BX53-CG52,IF(A53&lt;'Données projet'!$A$114,$BV$205^A53,IF(A53='Données projet'!$A$114,'Données projet'!$B$114,BY52+BX53-CG52)))</f>
        <v>239.99999999999983</v>
      </c>
      <c r="BZ53" s="14">
        <f>BY53*VLOOKUP('Données projet'!$B$12,Paramètres!$A$1:$I$88,3,0)*VLOOKUP('Données projet'!$B$12,Paramètres!$A$1:$I$88,5,0)</f>
        <v>157.24799999999988</v>
      </c>
      <c r="CA53" s="14">
        <f t="shared" si="39"/>
        <v>40.22116874434861</v>
      </c>
      <c r="CB53" s="22">
        <f t="shared" si="10"/>
        <v>343.92546889640693</v>
      </c>
      <c r="CC53" s="62">
        <f t="shared" si="11"/>
        <v>627.01789194630487</v>
      </c>
      <c r="CD53" s="62">
        <f ca="1">AVERAGE(OFFSET($CC$3,0,0,'Données projet'!$E$12+1,1))-AVERAGE(OFFSET($H$3,0,0,'Données projet'!$E$12+1,1))</f>
        <v>270.10151451661864</v>
      </c>
      <c r="CE53" s="62">
        <f t="shared" si="40"/>
        <v>294.47934482366804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39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projet'!$B$12,Paramètres!$A$1:$I$88,3,0)*0.475*44/12</f>
        <v>0</v>
      </c>
      <c r="CL53" s="23">
        <f>EXP(-LN(2)/25)*CL52+(1-EXP(-LN(2)/25))/(LN(2)/25)*Calculateur!CG53*Calculateur!CI53*VLOOKUP('Données projet'!$B$12,Paramètres!$A$1:$I$88,3,0)*0.475*44/12</f>
        <v>0</v>
      </c>
      <c r="CM53" s="23">
        <f>EXP(-LN(2)/2)*CM52+(1-EXP(-LN(2)/2))/(LN(2)/2)*CG53*CJ53*VLOOKUP('Données projet'!$B$12,Paramètres!$A$1:$I$88,3,0)*0.475*44/12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67.207024468154003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240</v>
      </c>
      <c r="CR53" s="13">
        <f>VLOOKUP(A53,'Données projet'!$A$139:$I$159,9,0)</f>
        <v>7</v>
      </c>
      <c r="CS53" s="13">
        <f t="array" ref="CS53">INDEX(CR:CR,MIN(IF(ISNUMBER(CR53:CR249),ROW(CR53:CR249),"")))</f>
        <v>7</v>
      </c>
      <c r="CT53" s="13">
        <f>IF('Données projet'!$A$140&gt;35,CT52+CS53-DB52,IF(A53&lt;'Données projet'!$A$140,$CQ$205^A53,IF(A53='Données projet'!$A$140,'Données projet'!$B$140,CT52+CS53-DB52)))</f>
        <v>239.99999999999983</v>
      </c>
      <c r="CU53" s="18">
        <f>CT53*VLOOKUP('Données projet'!$B$13,Paramètres!$A$1:$I$88,3,0)*VLOOKUP('Données projet'!$B$13,Paramètres!$A$1:$I$88,5,0)</f>
        <v>157.24799999999988</v>
      </c>
      <c r="CV53" s="14">
        <f t="shared" si="41"/>
        <v>40.22116874434861</v>
      </c>
      <c r="CW53" s="22">
        <f t="shared" si="13"/>
        <v>343.92546889640693</v>
      </c>
      <c r="CX53" s="62">
        <f t="shared" si="14"/>
        <v>627.01789194630487</v>
      </c>
      <c r="CY53" s="62">
        <f ca="1">AVERAGE(OFFSET($CX$3,0,0,'Données projet'!$E$13+1,1))-AVERAGE(OFFSET($H$3,0,0,'Données projet'!$E$13+1,1))</f>
        <v>270.10151451661864</v>
      </c>
      <c r="CZ53" s="62">
        <f t="shared" si="42"/>
        <v>294.47934482366804</v>
      </c>
      <c r="DA53" s="16">
        <f>IF(ISNA(VLOOKUP(A53,'Données projet'!$A$139:$I$159,3,0)),0,VLOOKUP(A53,'Données projet'!$A$139:$I$159,3,0))</f>
        <v>4</v>
      </c>
      <c r="DB53" s="16">
        <f>IF(ISNA(VLOOKUP(A53,'Données projet'!$A$139:$I$159,4,0)),0,VLOOKUP(A53,'Données projet'!$A$139:$I$159,4,0))</f>
        <v>39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projet'!$B$13,Paramètres!$A$1:$I$88,3,0)*0.475*44/12</f>
        <v>0</v>
      </c>
      <c r="DG53" s="23">
        <f>EXP(-LN(2)/25)*DG52+(1-EXP(-LN(2)/25))/(LN(2)/25)*Calculateur!DB53*Calculateur!DD53*VLOOKUP('Données projet'!$B$13,Paramètres!$A$1:$I$88,3,0)*0.475*44/12</f>
        <v>0</v>
      </c>
      <c r="DH53" s="23">
        <f>EXP(-LN(2)/2)*DH52+(1-EXP(-LN(2)/2))/(LN(2)/2)*DB53*DE53*VLOOKUP('Données projet'!$B$13,Paramètres!$A$1:$I$88,3,0)*0.475*44/12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67.207024468154003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projet'!$B$14,Paramètres!$A$1:$I$88,3,0)*0.475*44/12</f>
        <v>#N/A</v>
      </c>
      <c r="EB53" s="23" t="e">
        <f>EXP(-LN(2)/25)*EB52+(1-EXP(-LN(2)/25))/(LN(2)/25)*Calculateur!DW53*Calculateur!DY53*VLOOKUP('Données projet'!$B$14,Paramètres!$A$1:$I$88,3,0)*0.475*44/12</f>
        <v>#N/A</v>
      </c>
      <c r="EC53" s="23" t="e">
        <f>EXP(-LN(2)/2)*EC52+(1-EXP(-LN(2)/2))/(LN(2)/2)*DW53*DZ53*VLOOKUP('Données projet'!$B$14,Paramètres!$A$1:$I$88,3,0)*0.475*44/12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67.207024468154003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67.207024468154003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67.207024468154003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67.207024468154003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1.34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4.9133333333333331</v>
      </c>
      <c r="H54" s="70">
        <f t="shared" si="1"/>
        <v>237.01333333333332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67.255476349473682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185.99999999999997</v>
      </c>
      <c r="O54" s="14">
        <f>N54*VLOOKUP('Données projet'!$B$9,Paramètres!$A$1:$I$88,3,0)*VLOOKUP('Données projet'!$B$9,Paramètres!$A$1:$I$88,5,0)</f>
        <v>188.60399999999998</v>
      </c>
      <c r="P54" s="14">
        <f t="shared" si="33"/>
        <v>47.231184731814224</v>
      </c>
      <c r="Q54" s="22">
        <f t="shared" si="53"/>
        <v>410.74628007457636</v>
      </c>
      <c r="R54" s="62">
        <f t="shared" si="0"/>
        <v>694.0163600226465</v>
      </c>
      <c r="S54" s="62">
        <f ca="1">AVERAGE(OFFSET($R$3,0,0,'Données projet'!$E$9+1,1))-AVERAGE(OFFSET($H$3,0,0,'Données projet'!$E$9+1,1))</f>
        <v>488.16146816015231</v>
      </c>
      <c r="T54" s="62">
        <f t="shared" si="34"/>
        <v>259.37115195552127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0</v>
      </c>
      <c r="AA54" s="23">
        <f>EXP(-LN(2)/25)*AA53+(1-EXP(-LN(2)/25))/(LN(2)/25)*Calculateur!V54*Calculateur!X54*VLOOKUP('Données projet'!$B$9,Paramètres!$A$1:$I$88,3,0)*0.475*44/12</f>
        <v>0</v>
      </c>
      <c r="AB54" s="23">
        <f>EXP(-LN(2)/2)*AB53+(1-EXP(-LN(2)/2))/(LN(2)/2)*V54*Y54*VLOOKUP('Données projet'!$B$9,Paramètres!$A$1:$I$88,3,0)*0.475*44/12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67.255476349473682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185.99999999999997</v>
      </c>
      <c r="AJ54" s="14">
        <f>AI54*VLOOKUP('Données projet'!$B$10,Paramètres!$A$1:$I$88,3,0)*VLOOKUP('Données projet'!$B$10,Paramètres!$A$1:$I$88,5,0)</f>
        <v>168.29279999999997</v>
      </c>
      <c r="AK54" s="14">
        <f t="shared" si="35"/>
        <v>42.707443263135104</v>
      </c>
      <c r="AL54" s="22">
        <f t="shared" si="4"/>
        <v>367.49209034996028</v>
      </c>
      <c r="AM54" s="62">
        <f t="shared" si="5"/>
        <v>650.76217029803047</v>
      </c>
      <c r="AN54" s="62">
        <f ca="1">AVERAGE(OFFSET($AM$3,0,0,'Données projet'!$E$10+1,1))-AVERAGE(OFFSET($H$3,0,0,'Données projet'!$E$10+1,1))</f>
        <v>441.34749554136755</v>
      </c>
      <c r="AO54" s="62">
        <f t="shared" si="36"/>
        <v>236.49038586666222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0</v>
      </c>
      <c r="AV54" s="23">
        <f>EXP(-LN(2)/25)*AV53+(1-EXP(-LN(2)/25))/(LN(2)/25)*Calculateur!AQ54*Calculateur!AS54*VLOOKUP('Données projet'!$B$10,Paramètres!$A$1:$I$88,3,0)*0.475*44/12</f>
        <v>0</v>
      </c>
      <c r="AW54" s="23">
        <f>EXP(-LN(2)/2)*AW53+(1-EXP(-LN(2)/2))/(LN(2)/2)*AQ54*AT54*VLOOKUP('Données projet'!$B$10,Paramètres!$A$1:$I$88,3,0)*0.475*44/12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67.255476349473682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185.99999999999997</v>
      </c>
      <c r="BE54" s="14">
        <f>BD54*VLOOKUP('Données projet'!$B$11,Paramètres!$A$1:$I$88,3,0)*VLOOKUP('Données projet'!$B$11,Paramètres!$A$1:$I$88,5,0)</f>
        <v>200.21039999999996</v>
      </c>
      <c r="BF54" s="14">
        <f t="shared" si="37"/>
        <v>49.790404447235048</v>
      </c>
      <c r="BG54" s="22">
        <f t="shared" si="7"/>
        <v>435.41806774560092</v>
      </c>
      <c r="BH54" s="62">
        <f t="shared" si="8"/>
        <v>718.68814769367111</v>
      </c>
      <c r="BI54" s="62">
        <f ca="1">AVERAGE(OFFSET($BH$3,0,0,'Données projet'!$E$11+1,1))-AVERAGE(OFFSET($H$3,0,0,'Données projet'!$E$11+1,1))</f>
        <v>514.86487884889584</v>
      </c>
      <c r="BJ54" s="62">
        <f t="shared" si="38"/>
        <v>272.4206208356191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projet'!$B$11,Paramètres!$A$1:$I$88,3,0)*0.475*44/12</f>
        <v>0</v>
      </c>
      <c r="BQ54" s="23">
        <f>EXP(-LN(2)/25)*BQ53+(1-EXP(-LN(2)/25))/(LN(2)/25)*Calculateur!BL54*Calculateur!BN54*VLOOKUP('Données projet'!$B$11,Paramètres!$A$1:$I$88,3,0)*0.475*44/12</f>
        <v>0</v>
      </c>
      <c r="BR54" s="23">
        <f>EXP(-LN(2)/2)*BR53+(1-EXP(-LN(2)/2))/(LN(2)/2)*BL54*BO54*VLOOKUP('Données projet'!$B$11,Paramètres!$A$1:$I$88,3,0)*0.475*44/12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67.255476349473682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6.4</v>
      </c>
      <c r="BY54" s="13">
        <f>IF('Données projet'!$A$114&gt;35,BY53+BX54-CG53,IF(A54&lt;'Données projet'!$A$114,$BV$205^A54,IF(A54='Données projet'!$A$114,'Données projet'!$B$114,BY53+BX54-CG53)))</f>
        <v>207.39999999999984</v>
      </c>
      <c r="BZ54" s="14">
        <f>BY54*VLOOKUP('Données projet'!$B$12,Paramètres!$A$1:$I$88,3,0)*VLOOKUP('Données projet'!$B$12,Paramètres!$A$1:$I$88,5,0)</f>
        <v>135.8884799999999</v>
      </c>
      <c r="CA54" s="14">
        <f t="shared" si="39"/>
        <v>35.353486228582113</v>
      </c>
      <c r="CB54" s="22">
        <f t="shared" si="10"/>
        <v>298.24642451478036</v>
      </c>
      <c r="CC54" s="62">
        <f t="shared" si="11"/>
        <v>581.51650446285055</v>
      </c>
      <c r="CD54" s="62">
        <f ca="1">AVERAGE(OFFSET($CC$3,0,0,'Données projet'!$E$12+1,1))-AVERAGE(OFFSET($H$3,0,0,'Données projet'!$E$12+1,1))</f>
        <v>270.10151451661864</v>
      </c>
      <c r="CE54" s="62">
        <f t="shared" si="40"/>
        <v>294.47934482366804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projet'!$B$12,Paramètres!$A$1:$I$88,3,0)*0.475*44/12</f>
        <v>0</v>
      </c>
      <c r="CL54" s="23">
        <f>EXP(-LN(2)/25)*CL53+(1-EXP(-LN(2)/25))/(LN(2)/25)*Calculateur!CG54*Calculateur!CI54*VLOOKUP('Données projet'!$B$12,Paramètres!$A$1:$I$88,3,0)*0.475*44/12</f>
        <v>0</v>
      </c>
      <c r="CM54" s="23">
        <f>EXP(-LN(2)/2)*CM53+(1-EXP(-LN(2)/2))/(LN(2)/2)*CG54*CJ54*VLOOKUP('Données projet'!$B$12,Paramètres!$A$1:$I$88,3,0)*0.475*44/12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67.255476349473682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6.4</v>
      </c>
      <c r="CT54" s="13">
        <f>IF('Données projet'!$A$140&gt;35,CT53+CS54-DB53,IF(A54&lt;'Données projet'!$A$140,$CQ$205^A54,IF(A54='Données projet'!$A$140,'Données projet'!$B$140,CT53+CS54-DB53)))</f>
        <v>207.39999999999984</v>
      </c>
      <c r="CU54" s="18">
        <f>CT54*VLOOKUP('Données projet'!$B$13,Paramètres!$A$1:$I$88,3,0)*VLOOKUP('Données projet'!$B$13,Paramètres!$A$1:$I$88,5,0)</f>
        <v>135.8884799999999</v>
      </c>
      <c r="CV54" s="14">
        <f t="shared" si="41"/>
        <v>35.353486228582113</v>
      </c>
      <c r="CW54" s="22">
        <f t="shared" si="13"/>
        <v>298.24642451478036</v>
      </c>
      <c r="CX54" s="62">
        <f t="shared" si="14"/>
        <v>581.51650446285055</v>
      </c>
      <c r="CY54" s="62">
        <f ca="1">AVERAGE(OFFSET($CX$3,0,0,'Données projet'!$E$13+1,1))-AVERAGE(OFFSET($H$3,0,0,'Données projet'!$E$13+1,1))</f>
        <v>270.10151451661864</v>
      </c>
      <c r="CZ54" s="62">
        <f t="shared" si="42"/>
        <v>294.47934482366804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projet'!$B$13,Paramètres!$A$1:$I$88,3,0)*0.475*44/12</f>
        <v>0</v>
      </c>
      <c r="DG54" s="23">
        <f>EXP(-LN(2)/25)*DG53+(1-EXP(-LN(2)/25))/(LN(2)/25)*Calculateur!DB54*Calculateur!DD54*VLOOKUP('Données projet'!$B$13,Paramètres!$A$1:$I$88,3,0)*0.475*44/12</f>
        <v>0</v>
      </c>
      <c r="DH54" s="23">
        <f>EXP(-LN(2)/2)*DH53+(1-EXP(-LN(2)/2))/(LN(2)/2)*DB54*DE54*VLOOKUP('Données projet'!$B$13,Paramètres!$A$1:$I$88,3,0)*0.475*44/12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67.255476349473682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projet'!$B$14,Paramètres!$A$1:$I$88,3,0)*0.475*44/12</f>
        <v>#N/A</v>
      </c>
      <c r="EB54" s="23" t="e">
        <f>EXP(-LN(2)/25)*EB53+(1-EXP(-LN(2)/25))/(LN(2)/25)*Calculateur!DW54*Calculateur!DY54*VLOOKUP('Données projet'!$B$14,Paramètres!$A$1:$I$88,3,0)*0.475*44/12</f>
        <v>#N/A</v>
      </c>
      <c r="EC54" s="23" t="e">
        <f>EXP(-LN(2)/2)*EC53+(1-EXP(-LN(2)/2))/(LN(2)/2)*DW54*DZ54*VLOOKUP('Données projet'!$B$14,Paramètres!$A$1:$I$88,3,0)*0.475*44/12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67.255476349473682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67.255476349473682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67.255476349473682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67.255476349473682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1.34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4.9133333333333331</v>
      </c>
      <c r="H55" s="70">
        <f t="shared" si="1"/>
        <v>237.01333333333332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67.30308769897465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193.99999999999997</v>
      </c>
      <c r="O55" s="14">
        <f>N55*VLOOKUP('Données projet'!$B$9,Paramètres!$A$1:$I$88,3,0)*VLOOKUP('Données projet'!$B$9,Paramètres!$A$1:$I$88,5,0)</f>
        <v>196.71599999999998</v>
      </c>
      <c r="P55" s="14">
        <f t="shared" si="33"/>
        <v>49.021749959730009</v>
      </c>
      <c r="Q55" s="22">
        <f t="shared" si="53"/>
        <v>427.99324784652975</v>
      </c>
      <c r="R55" s="62">
        <f t="shared" si="0"/>
        <v>711.43790274277012</v>
      </c>
      <c r="S55" s="62">
        <f ca="1">AVERAGE(OFFSET($R$3,0,0,'Données projet'!$E$9+1,1))-AVERAGE(OFFSET($H$3,0,0,'Données projet'!$E$9+1,1))</f>
        <v>488.16146816015231</v>
      </c>
      <c r="T55" s="62">
        <f t="shared" si="34"/>
        <v>259.37115195552127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0</v>
      </c>
      <c r="AA55" s="23">
        <f>EXP(-LN(2)/25)*AA54+(1-EXP(-LN(2)/25))/(LN(2)/25)*Calculateur!V55*Calculateur!X55*VLOOKUP('Données projet'!$B$9,Paramètres!$A$1:$I$88,3,0)*0.475*44/12</f>
        <v>0</v>
      </c>
      <c r="AB55" s="23">
        <f>EXP(-LN(2)/2)*AB54+(1-EXP(-LN(2)/2))/(LN(2)/2)*V55*Y55*VLOOKUP('Données projet'!$B$9,Paramètres!$A$1:$I$88,3,0)*0.475*44/12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67.30308769897465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193.99999999999997</v>
      </c>
      <c r="AJ55" s="14">
        <f>AI55*VLOOKUP('Données projet'!$B$10,Paramètres!$A$1:$I$88,3,0)*VLOOKUP('Données projet'!$B$10,Paramètres!$A$1:$I$88,5,0)</f>
        <v>175.53119999999998</v>
      </c>
      <c r="AK55" s="14">
        <f t="shared" si="35"/>
        <v>44.326510481422488</v>
      </c>
      <c r="AL55" s="22">
        <f t="shared" si="4"/>
        <v>382.9188457551441</v>
      </c>
      <c r="AM55" s="62">
        <f t="shared" si="5"/>
        <v>666.36350065138447</v>
      </c>
      <c r="AN55" s="62">
        <f ca="1">AVERAGE(OFFSET($AM$3,0,0,'Données projet'!$E$10+1,1))-AVERAGE(OFFSET($H$3,0,0,'Données projet'!$E$10+1,1))</f>
        <v>441.34749554136755</v>
      </c>
      <c r="AO55" s="62">
        <f t="shared" si="36"/>
        <v>236.49038586666222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0</v>
      </c>
      <c r="AV55" s="23">
        <f>EXP(-LN(2)/25)*AV54+(1-EXP(-LN(2)/25))/(LN(2)/25)*Calculateur!AQ55*Calculateur!AS55*VLOOKUP('Données projet'!$B$10,Paramètres!$A$1:$I$88,3,0)*0.475*44/12</f>
        <v>0</v>
      </c>
      <c r="AW55" s="23">
        <f>EXP(-LN(2)/2)*AW54+(1-EXP(-LN(2)/2))/(LN(2)/2)*AQ55*AT55*VLOOKUP('Données projet'!$B$10,Paramètres!$A$1:$I$88,3,0)*0.475*44/12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67.30308769897465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193.99999999999997</v>
      </c>
      <c r="BE55" s="14">
        <f>BD55*VLOOKUP('Données projet'!$B$11,Paramètres!$A$1:$I$88,3,0)*VLOOKUP('Données projet'!$B$11,Paramètres!$A$1:$I$88,5,0)</f>
        <v>208.82159999999993</v>
      </c>
      <c r="BF55" s="14">
        <f t="shared" si="37"/>
        <v>51.6779913750944</v>
      </c>
      <c r="BG55" s="22">
        <f t="shared" si="7"/>
        <v>453.70345497828924</v>
      </c>
      <c r="BH55" s="62">
        <f t="shared" si="8"/>
        <v>737.14810987452961</v>
      </c>
      <c r="BI55" s="62">
        <f ca="1">AVERAGE(OFFSET($BH$3,0,0,'Données projet'!$E$11+1,1))-AVERAGE(OFFSET($H$3,0,0,'Données projet'!$E$11+1,1))</f>
        <v>514.86487884889584</v>
      </c>
      <c r="BJ55" s="62">
        <f t="shared" si="38"/>
        <v>272.4206208356191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projet'!$B$11,Paramètres!$A$1:$I$88,3,0)*0.475*44/12</f>
        <v>0</v>
      </c>
      <c r="BQ55" s="23">
        <f>EXP(-LN(2)/25)*BQ54+(1-EXP(-LN(2)/25))/(LN(2)/25)*Calculateur!BL55*Calculateur!BN55*VLOOKUP('Données projet'!$B$11,Paramètres!$A$1:$I$88,3,0)*0.475*44/12</f>
        <v>0</v>
      </c>
      <c r="BR55" s="23">
        <f>EXP(-LN(2)/2)*BR54+(1-EXP(-LN(2)/2))/(LN(2)/2)*BL55*BO55*VLOOKUP('Données projet'!$B$11,Paramètres!$A$1:$I$88,3,0)*0.475*44/12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67.30308769897465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6.4</v>
      </c>
      <c r="BY55" s="13">
        <f>IF('Données projet'!$A$114&gt;35,BY54+BX55-CG54,IF(A55&lt;'Données projet'!$A$114,$BV$205^A55,IF(A55='Données projet'!$A$114,'Données projet'!$B$114,BY54+BX55-CG54)))</f>
        <v>213.79999999999984</v>
      </c>
      <c r="BZ55" s="14">
        <f>BY55*VLOOKUP('Données projet'!$B$12,Paramètres!$A$1:$I$88,3,0)*VLOOKUP('Données projet'!$B$12,Paramètres!$A$1:$I$88,5,0)</f>
        <v>140.08175999999992</v>
      </c>
      <c r="CA55" s="14">
        <f t="shared" si="39"/>
        <v>36.315734926422095</v>
      </c>
      <c r="CB55" s="22">
        <f t="shared" si="10"/>
        <v>307.22563699685162</v>
      </c>
      <c r="CC55" s="62">
        <f t="shared" si="11"/>
        <v>590.67029189309199</v>
      </c>
      <c r="CD55" s="62">
        <f ca="1">AVERAGE(OFFSET($CC$3,0,0,'Données projet'!$E$12+1,1))-AVERAGE(OFFSET($H$3,0,0,'Données projet'!$E$12+1,1))</f>
        <v>270.10151451661864</v>
      </c>
      <c r="CE55" s="62">
        <f t="shared" si="40"/>
        <v>294.47934482366804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projet'!$B$12,Paramètres!$A$1:$I$88,3,0)*0.475*44/12</f>
        <v>0</v>
      </c>
      <c r="CL55" s="23">
        <f>EXP(-LN(2)/25)*CL54+(1-EXP(-LN(2)/25))/(LN(2)/25)*Calculateur!CG55*Calculateur!CI55*VLOOKUP('Données projet'!$B$12,Paramètres!$A$1:$I$88,3,0)*0.475*44/12</f>
        <v>0</v>
      </c>
      <c r="CM55" s="23">
        <f>EXP(-LN(2)/2)*CM54+(1-EXP(-LN(2)/2))/(LN(2)/2)*CG55*CJ55*VLOOKUP('Données projet'!$B$12,Paramètres!$A$1:$I$88,3,0)*0.475*44/12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67.30308769897465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6.4</v>
      </c>
      <c r="CT55" s="13">
        <f>IF('Données projet'!$A$140&gt;35,CT54+CS55-DB54,IF(A55&lt;'Données projet'!$A$140,$CQ$205^A55,IF(A55='Données projet'!$A$140,'Données projet'!$B$140,CT54+CS55-DB54)))</f>
        <v>213.79999999999984</v>
      </c>
      <c r="CU55" s="18">
        <f>CT55*VLOOKUP('Données projet'!$B$13,Paramètres!$A$1:$I$88,3,0)*VLOOKUP('Données projet'!$B$13,Paramètres!$A$1:$I$88,5,0)</f>
        <v>140.08175999999992</v>
      </c>
      <c r="CV55" s="14">
        <f t="shared" si="41"/>
        <v>36.315734926422095</v>
      </c>
      <c r="CW55" s="22">
        <f t="shared" si="13"/>
        <v>307.22563699685162</v>
      </c>
      <c r="CX55" s="62">
        <f t="shared" si="14"/>
        <v>590.67029189309199</v>
      </c>
      <c r="CY55" s="62">
        <f ca="1">AVERAGE(OFFSET($CX$3,0,0,'Données projet'!$E$13+1,1))-AVERAGE(OFFSET($H$3,0,0,'Données projet'!$E$13+1,1))</f>
        <v>270.10151451661864</v>
      </c>
      <c r="CZ55" s="62">
        <f t="shared" si="42"/>
        <v>294.47934482366804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projet'!$B$13,Paramètres!$A$1:$I$88,3,0)*0.475*44/12</f>
        <v>0</v>
      </c>
      <c r="DG55" s="23">
        <f>EXP(-LN(2)/25)*DG54+(1-EXP(-LN(2)/25))/(LN(2)/25)*Calculateur!DB55*Calculateur!DD55*VLOOKUP('Données projet'!$B$13,Paramètres!$A$1:$I$88,3,0)*0.475*44/12</f>
        <v>0</v>
      </c>
      <c r="DH55" s="23">
        <f>EXP(-LN(2)/2)*DH54+(1-EXP(-LN(2)/2))/(LN(2)/2)*DB55*DE55*VLOOKUP('Données projet'!$B$13,Paramètres!$A$1:$I$88,3,0)*0.475*44/12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67.30308769897465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projet'!$B$14,Paramètres!$A$1:$I$88,3,0)*0.475*44/12</f>
        <v>#N/A</v>
      </c>
      <c r="EB55" s="23" t="e">
        <f>EXP(-LN(2)/25)*EB54+(1-EXP(-LN(2)/25))/(LN(2)/25)*Calculateur!DW55*Calculateur!DY55*VLOOKUP('Données projet'!$B$14,Paramètres!$A$1:$I$88,3,0)*0.475*44/12</f>
        <v>#N/A</v>
      </c>
      <c r="EC55" s="23" t="e">
        <f>EXP(-LN(2)/2)*EC54+(1-EXP(-LN(2)/2))/(LN(2)/2)*DW55*DZ55*VLOOKUP('Données projet'!$B$14,Paramètres!$A$1:$I$88,3,0)*0.475*44/12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67.30308769897465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67.30308769897465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67.30308769897465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67.30308769897465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1.34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4.9133333333333331</v>
      </c>
      <c r="H56" s="70">
        <f t="shared" si="1"/>
        <v>237.01333333333332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67.349873098004792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201.99999999999997</v>
      </c>
      <c r="O56" s="14">
        <f>N56*VLOOKUP('Données projet'!$B$9,Paramètres!$A$1:$I$88,3,0)*VLOOKUP('Données projet'!$B$9,Paramètres!$A$1:$I$88,5,0)</f>
        <v>204.82799999999997</v>
      </c>
      <c r="P56" s="14">
        <f t="shared" si="33"/>
        <v>50.80373850176295</v>
      </c>
      <c r="Q56" s="22">
        <f t="shared" si="53"/>
        <v>445.2252778905704</v>
      </c>
      <c r="R56" s="62">
        <f t="shared" si="0"/>
        <v>728.84147924992135</v>
      </c>
      <c r="S56" s="62">
        <f ca="1">AVERAGE(OFFSET($R$3,0,0,'Données projet'!$E$9+1,1))-AVERAGE(OFFSET($H$3,0,0,'Données projet'!$E$9+1,1))</f>
        <v>488.16146816015231</v>
      </c>
      <c r="T56" s="62">
        <f t="shared" si="34"/>
        <v>259.37115195552127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0</v>
      </c>
      <c r="AA56" s="23">
        <f>EXP(-LN(2)/25)*AA55+(1-EXP(-LN(2)/25))/(LN(2)/25)*Calculateur!V56*Calculateur!X56*VLOOKUP('Données projet'!$B$9,Paramètres!$A$1:$I$88,3,0)*0.475*44/12</f>
        <v>0</v>
      </c>
      <c r="AB56" s="23">
        <f>EXP(-LN(2)/2)*AB55+(1-EXP(-LN(2)/2))/(LN(2)/2)*V56*Y56*VLOOKUP('Données projet'!$B$9,Paramètres!$A$1:$I$88,3,0)*0.475*44/12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67.349873098004792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201.99999999999997</v>
      </c>
      <c r="AJ56" s="14">
        <f>AI56*VLOOKUP('Données projet'!$B$10,Paramètres!$A$1:$I$88,3,0)*VLOOKUP('Données projet'!$B$10,Paramètres!$A$1:$I$88,5,0)</f>
        <v>182.76959999999997</v>
      </c>
      <c r="AK56" s="14">
        <f t="shared" si="35"/>
        <v>45.937822477650357</v>
      </c>
      <c r="AL56" s="22">
        <f t="shared" si="4"/>
        <v>398.33209414857424</v>
      </c>
      <c r="AM56" s="62">
        <f t="shared" si="5"/>
        <v>681.9482955079252</v>
      </c>
      <c r="AN56" s="62">
        <f ca="1">AVERAGE(OFFSET($AM$3,0,0,'Données projet'!$E$10+1,1))-AVERAGE(OFFSET($H$3,0,0,'Données projet'!$E$10+1,1))</f>
        <v>441.34749554136755</v>
      </c>
      <c r="AO56" s="62">
        <f t="shared" si="36"/>
        <v>236.49038586666222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0</v>
      </c>
      <c r="AV56" s="23">
        <f>EXP(-LN(2)/25)*AV55+(1-EXP(-LN(2)/25))/(LN(2)/25)*Calculateur!AQ56*Calculateur!AS56*VLOOKUP('Données projet'!$B$10,Paramètres!$A$1:$I$88,3,0)*0.475*44/12</f>
        <v>0</v>
      </c>
      <c r="AW56" s="23">
        <f>EXP(-LN(2)/2)*AW55+(1-EXP(-LN(2)/2))/(LN(2)/2)*AQ56*AT56*VLOOKUP('Données projet'!$B$10,Paramètres!$A$1:$I$88,3,0)*0.475*44/12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67.349873098004792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201.99999999999997</v>
      </c>
      <c r="BE56" s="14">
        <f>BD56*VLOOKUP('Données projet'!$B$11,Paramètres!$A$1:$I$88,3,0)*VLOOKUP('Données projet'!$B$11,Paramètres!$A$1:$I$88,5,0)</f>
        <v>217.43279999999996</v>
      </c>
      <c r="BF56" s="14">
        <f t="shared" si="37"/>
        <v>53.556536889714792</v>
      </c>
      <c r="BG56" s="22">
        <f t="shared" si="7"/>
        <v>471.97309508291983</v>
      </c>
      <c r="BH56" s="62">
        <f t="shared" si="8"/>
        <v>755.58929644227078</v>
      </c>
      <c r="BI56" s="62">
        <f ca="1">AVERAGE(OFFSET($BH$3,0,0,'Données projet'!$E$11+1,1))-AVERAGE(OFFSET($H$3,0,0,'Données projet'!$E$11+1,1))</f>
        <v>514.86487884889584</v>
      </c>
      <c r="BJ56" s="62">
        <f t="shared" si="38"/>
        <v>272.4206208356191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projet'!$B$11,Paramètres!$A$1:$I$88,3,0)*0.475*44/12</f>
        <v>0</v>
      </c>
      <c r="BQ56" s="23">
        <f>EXP(-LN(2)/25)*BQ55+(1-EXP(-LN(2)/25))/(LN(2)/25)*Calculateur!BL56*Calculateur!BN56*VLOOKUP('Données projet'!$B$11,Paramètres!$A$1:$I$88,3,0)*0.475*44/12</f>
        <v>0</v>
      </c>
      <c r="BR56" s="23">
        <f>EXP(-LN(2)/2)*BR55+(1-EXP(-LN(2)/2))/(LN(2)/2)*BL56*BO56*VLOOKUP('Données projet'!$B$11,Paramètres!$A$1:$I$88,3,0)*0.475*44/12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67.349873098004792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6.4</v>
      </c>
      <c r="BY56" s="13">
        <f>IF('Données projet'!$A$114&gt;35,BY55+BX56-CG55,IF(A56&lt;'Données projet'!$A$114,$BV$205^A56,IF(A56='Données projet'!$A$114,'Données projet'!$B$114,BY55+BX56-CG55)))</f>
        <v>220.19999999999985</v>
      </c>
      <c r="BZ56" s="14">
        <f>BY56*VLOOKUP('Données projet'!$B$12,Paramètres!$A$1:$I$88,3,0)*VLOOKUP('Données projet'!$B$12,Paramètres!$A$1:$I$88,5,0)</f>
        <v>144.2750399999999</v>
      </c>
      <c r="CA56" s="14">
        <f t="shared" si="39"/>
        <v>37.274636092411384</v>
      </c>
      <c r="CB56" s="22">
        <f t="shared" si="10"/>
        <v>316.19901919428293</v>
      </c>
      <c r="CC56" s="62">
        <f t="shared" si="11"/>
        <v>599.81522055363382</v>
      </c>
      <c r="CD56" s="62">
        <f ca="1">AVERAGE(OFFSET($CC$3,0,0,'Données projet'!$E$12+1,1))-AVERAGE(OFFSET($H$3,0,0,'Données projet'!$E$12+1,1))</f>
        <v>270.10151451661864</v>
      </c>
      <c r="CE56" s="62">
        <f t="shared" si="40"/>
        <v>294.47934482366804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projet'!$B$12,Paramètres!$A$1:$I$88,3,0)*0.475*44/12</f>
        <v>0</v>
      </c>
      <c r="CL56" s="23">
        <f>EXP(-LN(2)/25)*CL55+(1-EXP(-LN(2)/25))/(LN(2)/25)*Calculateur!CG56*Calculateur!CI56*VLOOKUP('Données projet'!$B$12,Paramètres!$A$1:$I$88,3,0)*0.475*44/12</f>
        <v>0</v>
      </c>
      <c r="CM56" s="23">
        <f>EXP(-LN(2)/2)*CM55+(1-EXP(-LN(2)/2))/(LN(2)/2)*CG56*CJ56*VLOOKUP('Données projet'!$B$12,Paramètres!$A$1:$I$88,3,0)*0.475*44/12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67.349873098004792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6.4</v>
      </c>
      <c r="CT56" s="13">
        <f>IF('Données projet'!$A$140&gt;35,CT55+CS56-DB55,IF(A56&lt;'Données projet'!$A$140,$CQ$205^A56,IF(A56='Données projet'!$A$140,'Données projet'!$B$140,CT55+CS56-DB55)))</f>
        <v>220.19999999999985</v>
      </c>
      <c r="CU56" s="18">
        <f>CT56*VLOOKUP('Données projet'!$B$13,Paramètres!$A$1:$I$88,3,0)*VLOOKUP('Données projet'!$B$13,Paramètres!$A$1:$I$88,5,0)</f>
        <v>144.2750399999999</v>
      </c>
      <c r="CV56" s="14">
        <f t="shared" si="41"/>
        <v>37.274636092411384</v>
      </c>
      <c r="CW56" s="22">
        <f t="shared" si="13"/>
        <v>316.19901919428293</v>
      </c>
      <c r="CX56" s="62">
        <f t="shared" si="14"/>
        <v>599.81522055363382</v>
      </c>
      <c r="CY56" s="62">
        <f ca="1">AVERAGE(OFFSET($CX$3,0,0,'Données projet'!$E$13+1,1))-AVERAGE(OFFSET($H$3,0,0,'Données projet'!$E$13+1,1))</f>
        <v>270.10151451661864</v>
      </c>
      <c r="CZ56" s="62">
        <f t="shared" si="42"/>
        <v>294.47934482366804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projet'!$B$13,Paramètres!$A$1:$I$88,3,0)*0.475*44/12</f>
        <v>0</v>
      </c>
      <c r="DG56" s="23">
        <f>EXP(-LN(2)/25)*DG55+(1-EXP(-LN(2)/25))/(LN(2)/25)*Calculateur!DB56*Calculateur!DD56*VLOOKUP('Données projet'!$B$13,Paramètres!$A$1:$I$88,3,0)*0.475*44/12</f>
        <v>0</v>
      </c>
      <c r="DH56" s="23">
        <f>EXP(-LN(2)/2)*DH55+(1-EXP(-LN(2)/2))/(LN(2)/2)*DB56*DE56*VLOOKUP('Données projet'!$B$13,Paramètres!$A$1:$I$88,3,0)*0.475*44/12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67.349873098004792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projet'!$B$14,Paramètres!$A$1:$I$88,3,0)*0.475*44/12</f>
        <v>#N/A</v>
      </c>
      <c r="EB56" s="23" t="e">
        <f>EXP(-LN(2)/25)*EB55+(1-EXP(-LN(2)/25))/(LN(2)/25)*Calculateur!DW56*Calculateur!DY56*VLOOKUP('Données projet'!$B$14,Paramètres!$A$1:$I$88,3,0)*0.475*44/12</f>
        <v>#N/A</v>
      </c>
      <c r="EC56" s="23" t="e">
        <f>EXP(-LN(2)/2)*EC55+(1-EXP(-LN(2)/2))/(LN(2)/2)*DW56*DZ56*VLOOKUP('Données projet'!$B$14,Paramètres!$A$1:$I$88,3,0)*0.475*44/12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67.349873098004792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67.349873098004792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67.349873098004792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67.349873098004792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1.34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4.9133333333333331</v>
      </c>
      <c r="H57" s="70">
        <f t="shared" si="1"/>
        <v>237.01333333333332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67.395846874958252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209.99999999999997</v>
      </c>
      <c r="O57" s="14">
        <f>N57*VLOOKUP('Données projet'!$B$9,Paramètres!$A$1:$I$88,3,0)*VLOOKUP('Données projet'!$B$9,Paramètres!$A$1:$I$88,5,0)</f>
        <v>212.94</v>
      </c>
      <c r="P57" s="14">
        <f t="shared" si="33"/>
        <v>52.577528895212865</v>
      </c>
      <c r="Q57" s="22">
        <f t="shared" si="53"/>
        <v>462.44302949249573</v>
      </c>
      <c r="R57" s="62">
        <f t="shared" si="0"/>
        <v>746.22780136734264</v>
      </c>
      <c r="S57" s="62">
        <f ca="1">AVERAGE(OFFSET($R$3,0,0,'Données projet'!$E$9+1,1))-AVERAGE(OFFSET($H$3,0,0,'Données projet'!$E$9+1,1))</f>
        <v>488.16146816015231</v>
      </c>
      <c r="T57" s="62">
        <f t="shared" si="34"/>
        <v>259.37115195552127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0</v>
      </c>
      <c r="AA57" s="23">
        <f>EXP(-LN(2)/25)*AA56+(1-EXP(-LN(2)/25))/(LN(2)/25)*Calculateur!V57*Calculateur!X57*VLOOKUP('Données projet'!$B$9,Paramètres!$A$1:$I$88,3,0)*0.475*44/12</f>
        <v>0</v>
      </c>
      <c r="AB57" s="23">
        <f>EXP(-LN(2)/2)*AB56+(1-EXP(-LN(2)/2))/(LN(2)/2)*V57*Y57*VLOOKUP('Données projet'!$B$9,Paramètres!$A$1:$I$88,3,0)*0.475*44/12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67.395846874958252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209.99999999999997</v>
      </c>
      <c r="AJ57" s="14">
        <f>AI57*VLOOKUP('Données projet'!$B$10,Paramètres!$A$1:$I$88,3,0)*VLOOKUP('Données projet'!$B$10,Paramètres!$A$1:$I$88,5,0)</f>
        <v>190.00799999999995</v>
      </c>
      <c r="AK57" s="14">
        <f t="shared" si="35"/>
        <v>47.541721533308163</v>
      </c>
      <c r="AL57" s="22">
        <f t="shared" si="4"/>
        <v>413.73243167051163</v>
      </c>
      <c r="AM57" s="62">
        <f t="shared" si="5"/>
        <v>697.5172035453586</v>
      </c>
      <c r="AN57" s="62">
        <f ca="1">AVERAGE(OFFSET($AM$3,0,0,'Données projet'!$E$10+1,1))-AVERAGE(OFFSET($H$3,0,0,'Données projet'!$E$10+1,1))</f>
        <v>441.34749554136755</v>
      </c>
      <c r="AO57" s="62">
        <f t="shared" si="36"/>
        <v>236.49038586666222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0</v>
      </c>
      <c r="AV57" s="23">
        <f>EXP(-LN(2)/25)*AV56+(1-EXP(-LN(2)/25))/(LN(2)/25)*Calculateur!AQ57*Calculateur!AS57*VLOOKUP('Données projet'!$B$10,Paramètres!$A$1:$I$88,3,0)*0.475*44/12</f>
        <v>0</v>
      </c>
      <c r="AW57" s="23">
        <f>EXP(-LN(2)/2)*AW56+(1-EXP(-LN(2)/2))/(LN(2)/2)*AQ57*AT57*VLOOKUP('Données projet'!$B$10,Paramètres!$A$1:$I$88,3,0)*0.475*44/12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67.395846874958252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209.99999999999997</v>
      </c>
      <c r="BE57" s="14">
        <f>BD57*VLOOKUP('Données projet'!$B$11,Paramètres!$A$1:$I$88,3,0)*VLOOKUP('Données projet'!$B$11,Paramètres!$A$1:$I$88,5,0)</f>
        <v>226.04399999999998</v>
      </c>
      <c r="BF57" s="14">
        <f t="shared" si="37"/>
        <v>55.426440039423504</v>
      </c>
      <c r="BG57" s="22">
        <f t="shared" si="7"/>
        <v>490.22768306866254</v>
      </c>
      <c r="BH57" s="62">
        <f t="shared" si="8"/>
        <v>774.01245494350951</v>
      </c>
      <c r="BI57" s="62">
        <f ca="1">AVERAGE(OFFSET($BH$3,0,0,'Données projet'!$E$11+1,1))-AVERAGE(OFFSET($H$3,0,0,'Données projet'!$E$11+1,1))</f>
        <v>514.86487884889584</v>
      </c>
      <c r="BJ57" s="62">
        <f t="shared" si="38"/>
        <v>272.4206208356191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projet'!$B$11,Paramètres!$A$1:$I$88,3,0)*0.475*44/12</f>
        <v>0</v>
      </c>
      <c r="BQ57" s="23">
        <f>EXP(-LN(2)/25)*BQ56+(1-EXP(-LN(2)/25))/(LN(2)/25)*Calculateur!BL57*Calculateur!BN57*VLOOKUP('Données projet'!$B$11,Paramètres!$A$1:$I$88,3,0)*0.475*44/12</f>
        <v>0</v>
      </c>
      <c r="BR57" s="23">
        <f>EXP(-LN(2)/2)*BR56+(1-EXP(-LN(2)/2))/(LN(2)/2)*BL57*BO57*VLOOKUP('Données projet'!$B$11,Paramètres!$A$1:$I$88,3,0)*0.475*44/12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67.395846874958252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6.4</v>
      </c>
      <c r="BY57" s="13">
        <f>IF('Données projet'!$A$114&gt;35,BY56+BX57-CG56,IF(A57&lt;'Données projet'!$A$114,$BV$205^A57,IF(A57='Données projet'!$A$114,'Données projet'!$B$114,BY56+BX57-CG56)))</f>
        <v>226.59999999999985</v>
      </c>
      <c r="BZ57" s="14">
        <f>BY57*VLOOKUP('Données projet'!$B$12,Paramètres!$A$1:$I$88,3,0)*VLOOKUP('Données projet'!$B$12,Paramètres!$A$1:$I$88,5,0)</f>
        <v>148.46831999999992</v>
      </c>
      <c r="CA57" s="14">
        <f t="shared" si="39"/>
        <v>38.230298193326924</v>
      </c>
      <c r="CB57" s="22">
        <f t="shared" si="10"/>
        <v>325.16676002004425</v>
      </c>
      <c r="CC57" s="62">
        <f t="shared" si="11"/>
        <v>608.9515318948911</v>
      </c>
      <c r="CD57" s="62">
        <f ca="1">AVERAGE(OFFSET($CC$3,0,0,'Données projet'!$E$12+1,1))-AVERAGE(OFFSET($H$3,0,0,'Données projet'!$E$12+1,1))</f>
        <v>270.10151451661864</v>
      </c>
      <c r="CE57" s="62">
        <f t="shared" si="40"/>
        <v>294.47934482366804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projet'!$B$12,Paramètres!$A$1:$I$88,3,0)*0.475*44/12</f>
        <v>0</v>
      </c>
      <c r="CL57" s="23">
        <f>EXP(-LN(2)/25)*CL56+(1-EXP(-LN(2)/25))/(LN(2)/25)*Calculateur!CG57*Calculateur!CI57*VLOOKUP('Données projet'!$B$12,Paramètres!$A$1:$I$88,3,0)*0.475*44/12</f>
        <v>0</v>
      </c>
      <c r="CM57" s="23">
        <f>EXP(-LN(2)/2)*CM56+(1-EXP(-LN(2)/2))/(LN(2)/2)*CG57*CJ57*VLOOKUP('Données projet'!$B$12,Paramètres!$A$1:$I$88,3,0)*0.475*44/12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67.395846874958252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6.4</v>
      </c>
      <c r="CT57" s="13">
        <f>IF('Données projet'!$A$140&gt;35,CT56+CS57-DB56,IF(A57&lt;'Données projet'!$A$140,$CQ$205^A57,IF(A57='Données projet'!$A$140,'Données projet'!$B$140,CT56+CS57-DB56)))</f>
        <v>226.59999999999985</v>
      </c>
      <c r="CU57" s="18">
        <f>CT57*VLOOKUP('Données projet'!$B$13,Paramètres!$A$1:$I$88,3,0)*VLOOKUP('Données projet'!$B$13,Paramètres!$A$1:$I$88,5,0)</f>
        <v>148.46831999999992</v>
      </c>
      <c r="CV57" s="14">
        <f t="shared" si="41"/>
        <v>38.230298193326924</v>
      </c>
      <c r="CW57" s="22">
        <f t="shared" si="13"/>
        <v>325.16676002004425</v>
      </c>
      <c r="CX57" s="62">
        <f t="shared" si="14"/>
        <v>608.9515318948911</v>
      </c>
      <c r="CY57" s="62">
        <f ca="1">AVERAGE(OFFSET($CX$3,0,0,'Données projet'!$E$13+1,1))-AVERAGE(OFFSET($H$3,0,0,'Données projet'!$E$13+1,1))</f>
        <v>270.10151451661864</v>
      </c>
      <c r="CZ57" s="62">
        <f t="shared" si="42"/>
        <v>294.47934482366804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projet'!$B$13,Paramètres!$A$1:$I$88,3,0)*0.475*44/12</f>
        <v>0</v>
      </c>
      <c r="DG57" s="23">
        <f>EXP(-LN(2)/25)*DG56+(1-EXP(-LN(2)/25))/(LN(2)/25)*Calculateur!DB57*Calculateur!DD57*VLOOKUP('Données projet'!$B$13,Paramètres!$A$1:$I$88,3,0)*0.475*44/12</f>
        <v>0</v>
      </c>
      <c r="DH57" s="23">
        <f>EXP(-LN(2)/2)*DH56+(1-EXP(-LN(2)/2))/(LN(2)/2)*DB57*DE57*VLOOKUP('Données projet'!$B$13,Paramètres!$A$1:$I$88,3,0)*0.475*44/12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67.395846874958252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projet'!$B$14,Paramètres!$A$1:$I$88,3,0)*0.475*44/12</f>
        <v>#N/A</v>
      </c>
      <c r="EB57" s="23" t="e">
        <f>EXP(-LN(2)/25)*EB56+(1-EXP(-LN(2)/25))/(LN(2)/25)*Calculateur!DW57*Calculateur!DY57*VLOOKUP('Données projet'!$B$14,Paramètres!$A$1:$I$88,3,0)*0.475*44/12</f>
        <v>#N/A</v>
      </c>
      <c r="EC57" s="23" t="e">
        <f>EXP(-LN(2)/2)*EC56+(1-EXP(-LN(2)/2))/(LN(2)/2)*DW57*DZ57*VLOOKUP('Données projet'!$B$14,Paramètres!$A$1:$I$88,3,0)*0.475*44/12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67.395846874958252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67.395846874958252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67.395846874958252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67.395846874958252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1.34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4.9133333333333331</v>
      </c>
      <c r="H58" s="70">
        <f t="shared" si="1"/>
        <v>237.01333333333332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67.441023109663547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218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217.99999999999997</v>
      </c>
      <c r="O58" s="14">
        <f>N58*VLOOKUP('Données projet'!$B$9,Paramètres!$A$1:$I$88,3,0)*VLOOKUP('Données projet'!$B$9,Paramètres!$A$1:$I$88,5,0)</f>
        <v>221.05199999999999</v>
      </c>
      <c r="P58" s="14">
        <f t="shared" si="33"/>
        <v>54.343469202939204</v>
      </c>
      <c r="Q58" s="22">
        <f t="shared" si="53"/>
        <v>479.64710886178574</v>
      </c>
      <c r="R58" s="62">
        <f t="shared" si="0"/>
        <v>763.59752693055202</v>
      </c>
      <c r="S58" s="62">
        <f ca="1">AVERAGE(OFFSET($R$3,0,0,'Données projet'!$E$9+1,1))-AVERAGE(OFFSET($H$3,0,0,'Données projet'!$E$9+1,1))</f>
        <v>488.16146816015231</v>
      </c>
      <c r="T58" s="62">
        <f t="shared" si="34"/>
        <v>259.37115195552127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42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0</v>
      </c>
      <c r="AA58" s="23">
        <f>EXP(-LN(2)/25)*AA57+(1-EXP(-LN(2)/25))/(LN(2)/25)*Calculateur!V58*Calculateur!X58*VLOOKUP('Données projet'!$B$9,Paramètres!$A$1:$I$88,3,0)*0.475*44/12</f>
        <v>0</v>
      </c>
      <c r="AB58" s="23">
        <f>EXP(-LN(2)/2)*AB57+(1-EXP(-LN(2)/2))/(LN(2)/2)*V58*Y58*VLOOKUP('Données projet'!$B$9,Paramètres!$A$1:$I$88,3,0)*0.475*44/12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67.441023109663547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218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217.99999999999997</v>
      </c>
      <c r="AJ58" s="14">
        <f>AI58*VLOOKUP('Données projet'!$B$10,Paramètres!$A$1:$I$88,3,0)*VLOOKUP('Données projet'!$B$10,Paramètres!$A$1:$I$88,5,0)</f>
        <v>197.24639999999997</v>
      </c>
      <c r="AK58" s="14">
        <f t="shared" si="35"/>
        <v>49.138522374247202</v>
      </c>
      <c r="AL58" s="22">
        <f t="shared" si="4"/>
        <v>429.1204064684805</v>
      </c>
      <c r="AM58" s="62">
        <f t="shared" si="5"/>
        <v>713.07082453724684</v>
      </c>
      <c r="AN58" s="62">
        <f ca="1">AVERAGE(OFFSET($AM$3,0,0,'Données projet'!$E$10+1,1))-AVERAGE(OFFSET($H$3,0,0,'Données projet'!$E$10+1,1))</f>
        <v>441.34749554136755</v>
      </c>
      <c r="AO58" s="62">
        <f t="shared" si="36"/>
        <v>236.49038586666222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42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0</v>
      </c>
      <c r="AV58" s="23">
        <f>EXP(-LN(2)/25)*AV57+(1-EXP(-LN(2)/25))/(LN(2)/25)*Calculateur!AQ58*Calculateur!AS58*VLOOKUP('Données projet'!$B$10,Paramètres!$A$1:$I$88,3,0)*0.475*44/12</f>
        <v>0</v>
      </c>
      <c r="AW58" s="23">
        <f>EXP(-LN(2)/2)*AW57+(1-EXP(-LN(2)/2))/(LN(2)/2)*AQ58*AT58*VLOOKUP('Données projet'!$B$10,Paramètres!$A$1:$I$88,3,0)*0.475*44/12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67.441023109663547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218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217.99999999999997</v>
      </c>
      <c r="BE58" s="14">
        <f>BD58*VLOOKUP('Données projet'!$B$11,Paramètres!$A$1:$I$88,3,0)*VLOOKUP('Données projet'!$B$11,Paramètres!$A$1:$I$88,5,0)</f>
        <v>234.65519999999995</v>
      </c>
      <c r="BF58" s="14">
        <f t="shared" si="37"/>
        <v>57.288067746850999</v>
      </c>
      <c r="BG58" s="22">
        <f t="shared" si="7"/>
        <v>508.46785799243207</v>
      </c>
      <c r="BH58" s="62">
        <f t="shared" si="8"/>
        <v>792.41827606119841</v>
      </c>
      <c r="BI58" s="62">
        <f ca="1">AVERAGE(OFFSET($BH$3,0,0,'Données projet'!$E$11+1,1))-AVERAGE(OFFSET($H$3,0,0,'Données projet'!$E$11+1,1))</f>
        <v>514.86487884889584</v>
      </c>
      <c r="BJ58" s="62">
        <f t="shared" si="38"/>
        <v>272.4206208356191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42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projet'!$B$11,Paramètres!$A$1:$I$88,3,0)*0.475*44/12</f>
        <v>0</v>
      </c>
      <c r="BQ58" s="23">
        <f>EXP(-LN(2)/25)*BQ57+(1-EXP(-LN(2)/25))/(LN(2)/25)*Calculateur!BL58*Calculateur!BN58*VLOOKUP('Données projet'!$B$11,Paramètres!$A$1:$I$88,3,0)*0.475*44/12</f>
        <v>0</v>
      </c>
      <c r="BR58" s="23">
        <f>EXP(-LN(2)/2)*BR57+(1-EXP(-LN(2)/2))/(LN(2)/2)*BL58*BO58*VLOOKUP('Données projet'!$B$11,Paramètres!$A$1:$I$88,3,0)*0.475*44/12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67.441023109663547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233</v>
      </c>
      <c r="BW58" s="13">
        <f>VLOOKUP(A58,'Données projet'!$A$113:$I$133,9,0)</f>
        <v>6.4</v>
      </c>
      <c r="BX58" s="13">
        <f t="array" ref="BX58">INDEX(BW:BW,MIN(IF(ISNUMBER(BW58:BW254),ROW(BW58:BW254),"")))</f>
        <v>6.4</v>
      </c>
      <c r="BY58" s="13">
        <f>IF('Données projet'!$A$114&gt;35,BY57+BX58-CG57,IF(A58&lt;'Données projet'!$A$114,$BV$205^A58,IF(A58='Données projet'!$A$114,'Données projet'!$B$114,BY57+BX58-CG57)))</f>
        <v>232.99999999999986</v>
      </c>
      <c r="BZ58" s="14">
        <f>BY58*VLOOKUP('Données projet'!$B$12,Paramètres!$A$1:$I$88,3,0)*VLOOKUP('Données projet'!$B$12,Paramètres!$A$1:$I$88,5,0)</f>
        <v>152.66159999999991</v>
      </c>
      <c r="CA58" s="14">
        <f t="shared" si="39"/>
        <v>39.182823220412082</v>
      </c>
      <c r="CB58" s="22">
        <f t="shared" si="10"/>
        <v>334.12903710888418</v>
      </c>
      <c r="CC58" s="62">
        <f t="shared" si="11"/>
        <v>618.07945517765052</v>
      </c>
      <c r="CD58" s="62">
        <f ca="1">AVERAGE(OFFSET($CC$3,0,0,'Données projet'!$E$12+1,1))-AVERAGE(OFFSET($H$3,0,0,'Données projet'!$E$12+1,1))</f>
        <v>270.10151451661864</v>
      </c>
      <c r="CE58" s="62">
        <f t="shared" si="40"/>
        <v>294.47934482366804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projet'!$B$12,Paramètres!$A$1:$I$88,3,0)*0.475*44/12</f>
        <v>0</v>
      </c>
      <c r="CL58" s="23">
        <f>EXP(-LN(2)/25)*CL57+(1-EXP(-LN(2)/25))/(LN(2)/25)*Calculateur!CG58*Calculateur!CI58*VLOOKUP('Données projet'!$B$12,Paramètres!$A$1:$I$88,3,0)*0.475*44/12</f>
        <v>0</v>
      </c>
      <c r="CM58" s="23">
        <f>EXP(-LN(2)/2)*CM57+(1-EXP(-LN(2)/2))/(LN(2)/2)*CG58*CJ58*VLOOKUP('Données projet'!$B$12,Paramètres!$A$1:$I$88,3,0)*0.475*44/12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67.441023109663547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233</v>
      </c>
      <c r="CR58" s="13">
        <f>VLOOKUP(A58,'Données projet'!$A$139:$I$159,9,0)</f>
        <v>6.4</v>
      </c>
      <c r="CS58" s="13">
        <f t="array" ref="CS58">INDEX(CR:CR,MIN(IF(ISNUMBER(CR58:CR254),ROW(CR58:CR254),"")))</f>
        <v>6.4</v>
      </c>
      <c r="CT58" s="13">
        <f>IF('Données projet'!$A$140&gt;35,CT57+CS58-DB57,IF(A58&lt;'Données projet'!$A$140,$CQ$205^A58,IF(A58='Données projet'!$A$140,'Données projet'!$B$140,CT57+CS58-DB57)))</f>
        <v>232.99999999999986</v>
      </c>
      <c r="CU58" s="18">
        <f>CT58*VLOOKUP('Données projet'!$B$13,Paramètres!$A$1:$I$88,3,0)*VLOOKUP('Données projet'!$B$13,Paramètres!$A$1:$I$88,5,0)</f>
        <v>152.66159999999991</v>
      </c>
      <c r="CV58" s="14">
        <f t="shared" si="41"/>
        <v>39.182823220412082</v>
      </c>
      <c r="CW58" s="22">
        <f t="shared" si="13"/>
        <v>334.12903710888418</v>
      </c>
      <c r="CX58" s="62">
        <f t="shared" si="14"/>
        <v>618.07945517765052</v>
      </c>
      <c r="CY58" s="62">
        <f ca="1">AVERAGE(OFFSET($CX$3,0,0,'Données projet'!$E$13+1,1))-AVERAGE(OFFSET($H$3,0,0,'Données projet'!$E$13+1,1))</f>
        <v>270.10151451661864</v>
      </c>
      <c r="CZ58" s="62">
        <f t="shared" si="42"/>
        <v>294.47934482366804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projet'!$B$13,Paramètres!$A$1:$I$88,3,0)*0.475*44/12</f>
        <v>0</v>
      </c>
      <c r="DG58" s="23">
        <f>EXP(-LN(2)/25)*DG57+(1-EXP(-LN(2)/25))/(LN(2)/25)*Calculateur!DB58*Calculateur!DD58*VLOOKUP('Données projet'!$B$13,Paramètres!$A$1:$I$88,3,0)*0.475*44/12</f>
        <v>0</v>
      </c>
      <c r="DH58" s="23">
        <f>EXP(-LN(2)/2)*DH57+(1-EXP(-LN(2)/2))/(LN(2)/2)*DB58*DE58*VLOOKUP('Données projet'!$B$13,Paramètres!$A$1:$I$88,3,0)*0.475*44/12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67.441023109663547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projet'!$B$14,Paramètres!$A$1:$I$88,3,0)*0.475*44/12</f>
        <v>#N/A</v>
      </c>
      <c r="EB58" s="23" t="e">
        <f>EXP(-LN(2)/25)*EB57+(1-EXP(-LN(2)/25))/(LN(2)/25)*Calculateur!DW58*Calculateur!DY58*VLOOKUP('Données projet'!$B$14,Paramètres!$A$1:$I$88,3,0)*0.475*44/12</f>
        <v>#N/A</v>
      </c>
      <c r="EC58" s="23" t="e">
        <f>EXP(-LN(2)/2)*EC57+(1-EXP(-LN(2)/2))/(LN(2)/2)*DW58*DZ58*VLOOKUP('Données projet'!$B$14,Paramètres!$A$1:$I$88,3,0)*0.475*44/12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67.441023109663547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67.441023109663547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67.441023109663547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67.441023109663547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1.34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4.9133333333333331</v>
      </c>
      <c r="H59" s="70">
        <f t="shared" si="1"/>
        <v>237.01333333333332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67.485415637695624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183.59999999999997</v>
      </c>
      <c r="O59" s="14">
        <f>N59*VLOOKUP('Données projet'!$B$9,Paramètres!$A$1:$I$88,3,0)*VLOOKUP('Données projet'!$B$9,Paramètres!$A$1:$I$88,5,0)</f>
        <v>186.17039999999997</v>
      </c>
      <c r="P59" s="14">
        <f t="shared" si="33"/>
        <v>46.692281933796018</v>
      </c>
      <c r="Q59" s="22">
        <f t="shared" si="53"/>
        <v>405.56917103469465</v>
      </c>
      <c r="R59" s="62">
        <f t="shared" si="0"/>
        <v>689.68236170624527</v>
      </c>
      <c r="S59" s="62">
        <f ca="1">AVERAGE(OFFSET($R$3,0,0,'Données projet'!$E$9+1,1))-AVERAGE(OFFSET($H$3,0,0,'Données projet'!$E$9+1,1))</f>
        <v>488.16146816015231</v>
      </c>
      <c r="T59" s="62">
        <f t="shared" si="34"/>
        <v>259.37115195552127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0</v>
      </c>
      <c r="AA59" s="23">
        <f>EXP(-LN(2)/25)*AA58+(1-EXP(-LN(2)/25))/(LN(2)/25)*Calculateur!V59*Calculateur!X59*VLOOKUP('Données projet'!$B$9,Paramètres!$A$1:$I$88,3,0)*0.475*44/12</f>
        <v>0</v>
      </c>
      <c r="AB59" s="23">
        <f>EXP(-LN(2)/2)*AB58+(1-EXP(-LN(2)/2))/(LN(2)/2)*V59*Y59*VLOOKUP('Données projet'!$B$9,Paramètres!$A$1:$I$88,3,0)*0.475*44/12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67.485415637695624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183.59999999999997</v>
      </c>
      <c r="AJ59" s="14">
        <f>AI59*VLOOKUP('Données projet'!$B$10,Paramètres!$A$1:$I$88,3,0)*VLOOKUP('Données projet'!$B$10,Paramètres!$A$1:$I$88,5,0)</f>
        <v>166.12127999999996</v>
      </c>
      <c r="AK59" s="14">
        <f t="shared" si="35"/>
        <v>42.220155874487318</v>
      </c>
      <c r="AL59" s="22">
        <f t="shared" si="4"/>
        <v>362.86133414806528</v>
      </c>
      <c r="AM59" s="62">
        <f t="shared" si="5"/>
        <v>646.97452481961591</v>
      </c>
      <c r="AN59" s="62">
        <f ca="1">AVERAGE(OFFSET($AM$3,0,0,'Données projet'!$E$10+1,1))-AVERAGE(OFFSET($H$3,0,0,'Données projet'!$E$10+1,1))</f>
        <v>441.34749554136755</v>
      </c>
      <c r="AO59" s="62">
        <f t="shared" si="36"/>
        <v>236.49038586666222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0</v>
      </c>
      <c r="AV59" s="23">
        <f>EXP(-LN(2)/25)*AV58+(1-EXP(-LN(2)/25))/(LN(2)/25)*Calculateur!AQ59*Calculateur!AS59*VLOOKUP('Données projet'!$B$10,Paramètres!$A$1:$I$88,3,0)*0.475*44/12</f>
        <v>0</v>
      </c>
      <c r="AW59" s="23">
        <f>EXP(-LN(2)/2)*AW58+(1-EXP(-LN(2)/2))/(LN(2)/2)*AQ59*AT59*VLOOKUP('Données projet'!$B$10,Paramètres!$A$1:$I$88,3,0)*0.475*44/12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67.485415637695624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183.59999999999997</v>
      </c>
      <c r="BE59" s="14">
        <f>BD59*VLOOKUP('Données projet'!$B$11,Paramètres!$A$1:$I$88,3,0)*VLOOKUP('Données projet'!$B$11,Paramètres!$A$1:$I$88,5,0)</f>
        <v>197.62703999999997</v>
      </c>
      <c r="BF59" s="14">
        <f t="shared" si="37"/>
        <v>49.222301224260015</v>
      </c>
      <c r="BG59" s="22">
        <f t="shared" si="7"/>
        <v>429.92926929891945</v>
      </c>
      <c r="BH59" s="62">
        <f t="shared" si="8"/>
        <v>714.04245997047008</v>
      </c>
      <c r="BI59" s="62">
        <f ca="1">AVERAGE(OFFSET($BH$3,0,0,'Données projet'!$E$11+1,1))-AVERAGE(OFFSET($H$3,0,0,'Données projet'!$E$11+1,1))</f>
        <v>514.86487884889584</v>
      </c>
      <c r="BJ59" s="62">
        <f t="shared" si="38"/>
        <v>272.4206208356191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projet'!$B$11,Paramètres!$A$1:$I$88,3,0)*0.475*44/12</f>
        <v>0</v>
      </c>
      <c r="BQ59" s="23">
        <f>EXP(-LN(2)/25)*BQ58+(1-EXP(-LN(2)/25))/(LN(2)/25)*Calculateur!BL59*Calculateur!BN59*VLOOKUP('Données projet'!$B$11,Paramètres!$A$1:$I$88,3,0)*0.475*44/12</f>
        <v>0</v>
      </c>
      <c r="BR59" s="23">
        <f>EXP(-LN(2)/2)*BR58+(1-EXP(-LN(2)/2))/(LN(2)/2)*BL59*BO59*VLOOKUP('Données projet'!$B$11,Paramètres!$A$1:$I$88,3,0)*0.475*44/12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67.485415637695624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</v>
      </c>
      <c r="BY59" s="13">
        <f>IF('Données projet'!$A$114&gt;35,BY58+BX59-CG58,IF(A59&lt;'Données projet'!$A$114,$BV$205^A59,IF(A59='Données projet'!$A$114,'Données projet'!$B$114,BY58+BX59-CG58)))</f>
        <v>237.99999999999986</v>
      </c>
      <c r="BZ59" s="14">
        <f>BY59*VLOOKUP('Données projet'!$B$12,Paramètres!$A$1:$I$88,3,0)*VLOOKUP('Données projet'!$B$12,Paramètres!$A$1:$I$88,5,0)</f>
        <v>155.93759999999992</v>
      </c>
      <c r="CA59" s="14">
        <f t="shared" si="39"/>
        <v>39.924862785906306</v>
      </c>
      <c r="CB59" s="22">
        <f t="shared" si="10"/>
        <v>341.12712268545334</v>
      </c>
      <c r="CC59" s="62">
        <f t="shared" si="11"/>
        <v>625.24031335700397</v>
      </c>
      <c r="CD59" s="62">
        <f ca="1">AVERAGE(OFFSET($CC$3,0,0,'Données projet'!$E$12+1,1))-AVERAGE(OFFSET($H$3,0,0,'Données projet'!$E$12+1,1))</f>
        <v>270.10151451661864</v>
      </c>
      <c r="CE59" s="62">
        <f t="shared" si="40"/>
        <v>294.47934482366804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projet'!$B$12,Paramètres!$A$1:$I$88,3,0)*0.475*44/12</f>
        <v>0</v>
      </c>
      <c r="CL59" s="23">
        <f>EXP(-LN(2)/25)*CL58+(1-EXP(-LN(2)/25))/(LN(2)/25)*Calculateur!CG59*Calculateur!CI59*VLOOKUP('Données projet'!$B$12,Paramètres!$A$1:$I$88,3,0)*0.475*44/12</f>
        <v>0</v>
      </c>
      <c r="CM59" s="23">
        <f>EXP(-LN(2)/2)*CM58+(1-EXP(-LN(2)/2))/(LN(2)/2)*CG59*CJ59*VLOOKUP('Données projet'!$B$12,Paramètres!$A$1:$I$88,3,0)*0.475*44/12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67.485415637695624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</v>
      </c>
      <c r="CT59" s="13">
        <f>IF('Données projet'!$A$140&gt;35,CT58+CS59-DB58,IF(A59&lt;'Données projet'!$A$140,$CQ$205^A59,IF(A59='Données projet'!$A$140,'Données projet'!$B$140,CT58+CS59-DB58)))</f>
        <v>237.99999999999986</v>
      </c>
      <c r="CU59" s="18">
        <f>CT59*VLOOKUP('Données projet'!$B$13,Paramètres!$A$1:$I$88,3,0)*VLOOKUP('Données projet'!$B$13,Paramètres!$A$1:$I$88,5,0)</f>
        <v>155.93759999999992</v>
      </c>
      <c r="CV59" s="14">
        <f t="shared" si="41"/>
        <v>39.924862785906306</v>
      </c>
      <c r="CW59" s="22">
        <f t="shared" si="13"/>
        <v>341.12712268545334</v>
      </c>
      <c r="CX59" s="62">
        <f t="shared" si="14"/>
        <v>625.24031335700397</v>
      </c>
      <c r="CY59" s="62">
        <f ca="1">AVERAGE(OFFSET($CX$3,0,0,'Données projet'!$E$13+1,1))-AVERAGE(OFFSET($H$3,0,0,'Données projet'!$E$13+1,1))</f>
        <v>270.10151451661864</v>
      </c>
      <c r="CZ59" s="62">
        <f t="shared" si="42"/>
        <v>294.47934482366804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projet'!$B$13,Paramètres!$A$1:$I$88,3,0)*0.475*44/12</f>
        <v>0</v>
      </c>
      <c r="DG59" s="23">
        <f>EXP(-LN(2)/25)*DG58+(1-EXP(-LN(2)/25))/(LN(2)/25)*Calculateur!DB59*Calculateur!DD59*VLOOKUP('Données projet'!$B$13,Paramètres!$A$1:$I$88,3,0)*0.475*44/12</f>
        <v>0</v>
      </c>
      <c r="DH59" s="23">
        <f>EXP(-LN(2)/2)*DH58+(1-EXP(-LN(2)/2))/(LN(2)/2)*DB59*DE59*VLOOKUP('Données projet'!$B$13,Paramètres!$A$1:$I$88,3,0)*0.475*44/12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67.485415637695624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projet'!$B$14,Paramètres!$A$1:$I$88,3,0)*0.475*44/12</f>
        <v>#N/A</v>
      </c>
      <c r="EB59" s="23" t="e">
        <f>EXP(-LN(2)/25)*EB58+(1-EXP(-LN(2)/25))/(LN(2)/25)*Calculateur!DW59*Calculateur!DY59*VLOOKUP('Données projet'!$B$14,Paramètres!$A$1:$I$88,3,0)*0.475*44/12</f>
        <v>#N/A</v>
      </c>
      <c r="EC59" s="23" t="e">
        <f>EXP(-LN(2)/2)*EC58+(1-EXP(-LN(2)/2))/(LN(2)/2)*DW59*DZ59*VLOOKUP('Données projet'!$B$14,Paramètres!$A$1:$I$88,3,0)*0.475*44/12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67.485415637695624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67.485415637695624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67.485415637695624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67.485415637695624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1.34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4.9133333333333331</v>
      </c>
      <c r="H60" s="70">
        <f t="shared" si="1"/>
        <v>237.01333333333332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67.529038054613181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191.19999999999996</v>
      </c>
      <c r="O60" s="14">
        <f>N60*VLOOKUP('Données projet'!$B$9,Paramètres!$A$1:$I$88,3,0)*VLOOKUP('Données projet'!$B$9,Paramètres!$A$1:$I$88,5,0)</f>
        <v>193.87679999999997</v>
      </c>
      <c r="P60" s="14">
        <f t="shared" si="33"/>
        <v>48.396048099527611</v>
      </c>
      <c r="Q60" s="22">
        <f t="shared" si="53"/>
        <v>421.95854377334382</v>
      </c>
      <c r="R60" s="62">
        <f t="shared" si="0"/>
        <v>706.23168330692545</v>
      </c>
      <c r="S60" s="62">
        <f ca="1">AVERAGE(OFFSET($R$3,0,0,'Données projet'!$E$9+1,1))-AVERAGE(OFFSET($H$3,0,0,'Données projet'!$E$9+1,1))</f>
        <v>488.16146816015231</v>
      </c>
      <c r="T60" s="62">
        <f t="shared" si="34"/>
        <v>259.37115195552127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0</v>
      </c>
      <c r="AA60" s="23">
        <f>EXP(-LN(2)/25)*AA59+(1-EXP(-LN(2)/25))/(LN(2)/25)*Calculateur!V60*Calculateur!X60*VLOOKUP('Données projet'!$B$9,Paramètres!$A$1:$I$88,3,0)*0.475*44/12</f>
        <v>0</v>
      </c>
      <c r="AB60" s="23">
        <f>EXP(-LN(2)/2)*AB59+(1-EXP(-LN(2)/2))/(LN(2)/2)*V60*Y60*VLOOKUP('Données projet'!$B$9,Paramètres!$A$1:$I$88,3,0)*0.475*44/12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67.529038054613181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191.19999999999996</v>
      </c>
      <c r="AJ60" s="14">
        <f>AI60*VLOOKUP('Données projet'!$B$10,Paramètres!$A$1:$I$88,3,0)*VLOOKUP('Données projet'!$B$10,Paramètres!$A$1:$I$88,5,0)</f>
        <v>172.99775999999997</v>
      </c>
      <c r="AK60" s="14">
        <f t="shared" si="35"/>
        <v>43.760737531919609</v>
      </c>
      <c r="AL60" s="22">
        <f t="shared" si="4"/>
        <v>377.52104986809326</v>
      </c>
      <c r="AM60" s="62">
        <f t="shared" si="5"/>
        <v>661.79418940167488</v>
      </c>
      <c r="AN60" s="62">
        <f ca="1">AVERAGE(OFFSET($AM$3,0,0,'Données projet'!$E$10+1,1))-AVERAGE(OFFSET($H$3,0,0,'Données projet'!$E$10+1,1))</f>
        <v>441.34749554136755</v>
      </c>
      <c r="AO60" s="62">
        <f t="shared" si="36"/>
        <v>236.49038586666222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0</v>
      </c>
      <c r="AV60" s="23">
        <f>EXP(-LN(2)/25)*AV59+(1-EXP(-LN(2)/25))/(LN(2)/25)*Calculateur!AQ60*Calculateur!AS60*VLOOKUP('Données projet'!$B$10,Paramètres!$A$1:$I$88,3,0)*0.475*44/12</f>
        <v>0</v>
      </c>
      <c r="AW60" s="23">
        <f>EXP(-LN(2)/2)*AW59+(1-EXP(-LN(2)/2))/(LN(2)/2)*AQ60*AT60*VLOOKUP('Données projet'!$B$10,Paramètres!$A$1:$I$88,3,0)*0.475*44/12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67.529038054613181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191.19999999999996</v>
      </c>
      <c r="BE60" s="14">
        <f>BD60*VLOOKUP('Données projet'!$B$11,Paramètres!$A$1:$I$88,3,0)*VLOOKUP('Données projet'!$B$11,Paramètres!$A$1:$I$88,5,0)</f>
        <v>205.80767999999995</v>
      </c>
      <c r="BF60" s="14">
        <f t="shared" si="37"/>
        <v>51.018385886479962</v>
      </c>
      <c r="BG60" s="22">
        <f t="shared" si="7"/>
        <v>447.30539808561917</v>
      </c>
      <c r="BH60" s="62">
        <f t="shared" si="8"/>
        <v>731.5785376192008</v>
      </c>
      <c r="BI60" s="62">
        <f ca="1">AVERAGE(OFFSET($BH$3,0,0,'Données projet'!$E$11+1,1))-AVERAGE(OFFSET($H$3,0,0,'Données projet'!$E$11+1,1))</f>
        <v>514.86487884889584</v>
      </c>
      <c r="BJ60" s="62">
        <f t="shared" si="38"/>
        <v>272.4206208356191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projet'!$B$11,Paramètres!$A$1:$I$88,3,0)*0.475*44/12</f>
        <v>0</v>
      </c>
      <c r="BQ60" s="23">
        <f>EXP(-LN(2)/25)*BQ59+(1-EXP(-LN(2)/25))/(LN(2)/25)*Calculateur!BL60*Calculateur!BN60*VLOOKUP('Données projet'!$B$11,Paramètres!$A$1:$I$88,3,0)*0.475*44/12</f>
        <v>0</v>
      </c>
      <c r="BR60" s="23">
        <f>EXP(-LN(2)/2)*BR59+(1-EXP(-LN(2)/2))/(LN(2)/2)*BL60*BO60*VLOOKUP('Données projet'!$B$11,Paramètres!$A$1:$I$88,3,0)*0.475*44/12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67.529038054613181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</v>
      </c>
      <c r="BY60" s="13">
        <f>IF('Données projet'!$A$114&gt;35,BY59+BX60-CG59,IF(A60&lt;'Données projet'!$A$114,$BV$205^A60,IF(A60='Données projet'!$A$114,'Données projet'!$B$114,BY59+BX60-CG59)))</f>
        <v>242.99999999999986</v>
      </c>
      <c r="BZ60" s="14">
        <f>BY60*VLOOKUP('Données projet'!$B$12,Paramètres!$A$1:$I$88,3,0)*VLOOKUP('Données projet'!$B$12,Paramètres!$A$1:$I$88,5,0)</f>
        <v>159.2135999999999</v>
      </c>
      <c r="CA60" s="14">
        <f t="shared" si="39"/>
        <v>40.665089859977073</v>
      </c>
      <c r="CB60" s="22">
        <f t="shared" si="10"/>
        <v>348.12205150612658</v>
      </c>
      <c r="CC60" s="62">
        <f t="shared" si="11"/>
        <v>632.39519103970815</v>
      </c>
      <c r="CD60" s="62">
        <f ca="1">AVERAGE(OFFSET($CC$3,0,0,'Données projet'!$E$12+1,1))-AVERAGE(OFFSET($H$3,0,0,'Données projet'!$E$12+1,1))</f>
        <v>270.10151451661864</v>
      </c>
      <c r="CE60" s="62">
        <f t="shared" si="40"/>
        <v>294.47934482366804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projet'!$B$12,Paramètres!$A$1:$I$88,3,0)*0.475*44/12</f>
        <v>0</v>
      </c>
      <c r="CL60" s="23">
        <f>EXP(-LN(2)/25)*CL59+(1-EXP(-LN(2)/25))/(LN(2)/25)*Calculateur!CG60*Calculateur!CI60*VLOOKUP('Données projet'!$B$12,Paramètres!$A$1:$I$88,3,0)*0.475*44/12</f>
        <v>0</v>
      </c>
      <c r="CM60" s="23">
        <f>EXP(-LN(2)/2)*CM59+(1-EXP(-LN(2)/2))/(LN(2)/2)*CG60*CJ60*VLOOKUP('Données projet'!$B$12,Paramètres!$A$1:$I$88,3,0)*0.475*44/12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67.529038054613181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</v>
      </c>
      <c r="CT60" s="13">
        <f>IF('Données projet'!$A$140&gt;35,CT59+CS60-DB59,IF(A60&lt;'Données projet'!$A$140,$CQ$205^A60,IF(A60='Données projet'!$A$140,'Données projet'!$B$140,CT59+CS60-DB59)))</f>
        <v>242.99999999999986</v>
      </c>
      <c r="CU60" s="18">
        <f>CT60*VLOOKUP('Données projet'!$B$13,Paramètres!$A$1:$I$88,3,0)*VLOOKUP('Données projet'!$B$13,Paramètres!$A$1:$I$88,5,0)</f>
        <v>159.2135999999999</v>
      </c>
      <c r="CV60" s="14">
        <f t="shared" si="41"/>
        <v>40.665089859977073</v>
      </c>
      <c r="CW60" s="22">
        <f t="shared" si="13"/>
        <v>348.12205150612658</v>
      </c>
      <c r="CX60" s="62">
        <f t="shared" si="14"/>
        <v>632.39519103970815</v>
      </c>
      <c r="CY60" s="62">
        <f ca="1">AVERAGE(OFFSET($CX$3,0,0,'Données projet'!$E$13+1,1))-AVERAGE(OFFSET($H$3,0,0,'Données projet'!$E$13+1,1))</f>
        <v>270.10151451661864</v>
      </c>
      <c r="CZ60" s="62">
        <f t="shared" si="42"/>
        <v>294.47934482366804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projet'!$B$13,Paramètres!$A$1:$I$88,3,0)*0.475*44/12</f>
        <v>0</v>
      </c>
      <c r="DG60" s="23">
        <f>EXP(-LN(2)/25)*DG59+(1-EXP(-LN(2)/25))/(LN(2)/25)*Calculateur!DB60*Calculateur!DD60*VLOOKUP('Données projet'!$B$13,Paramètres!$A$1:$I$88,3,0)*0.475*44/12</f>
        <v>0</v>
      </c>
      <c r="DH60" s="23">
        <f>EXP(-LN(2)/2)*DH59+(1-EXP(-LN(2)/2))/(LN(2)/2)*DB60*DE60*VLOOKUP('Données projet'!$B$13,Paramètres!$A$1:$I$88,3,0)*0.475*44/12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67.529038054613181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projet'!$B$14,Paramètres!$A$1:$I$88,3,0)*0.475*44/12</f>
        <v>#N/A</v>
      </c>
      <c r="EB60" s="23" t="e">
        <f>EXP(-LN(2)/25)*EB59+(1-EXP(-LN(2)/25))/(LN(2)/25)*Calculateur!DW60*Calculateur!DY60*VLOOKUP('Données projet'!$B$14,Paramètres!$A$1:$I$88,3,0)*0.475*44/12</f>
        <v>#N/A</v>
      </c>
      <c r="EC60" s="23" t="e">
        <f>EXP(-LN(2)/2)*EC59+(1-EXP(-LN(2)/2))/(LN(2)/2)*DW60*DZ60*VLOOKUP('Données projet'!$B$14,Paramètres!$A$1:$I$88,3,0)*0.475*44/12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67.529038054613181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67.529038054613181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67.529038054613181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67.529038054613181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1.34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4.9133333333333331</v>
      </c>
      <c r="H61" s="70">
        <f t="shared" si="1"/>
        <v>237.01333333333332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67.571903720122322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198.79999999999995</v>
      </c>
      <c r="O61" s="14">
        <f>N61*VLOOKUP('Données projet'!$B$9,Paramètres!$A$1:$I$88,3,0)*VLOOKUP('Données projet'!$B$9,Paramètres!$A$1:$I$88,5,0)</f>
        <v>201.58319999999995</v>
      </c>
      <c r="P61" s="14">
        <f t="shared" si="33"/>
        <v>50.091947337331924</v>
      </c>
      <c r="Q61" s="22">
        <f t="shared" si="53"/>
        <v>438.33421494585303</v>
      </c>
      <c r="R61" s="62">
        <f t="shared" si="0"/>
        <v>722.76452858630159</v>
      </c>
      <c r="S61" s="62">
        <f ca="1">AVERAGE(OFFSET($R$3,0,0,'Données projet'!$E$9+1,1))-AVERAGE(OFFSET($H$3,0,0,'Données projet'!$E$9+1,1))</f>
        <v>488.16146816015231</v>
      </c>
      <c r="T61" s="62">
        <f t="shared" si="34"/>
        <v>259.37115195552127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0</v>
      </c>
      <c r="AA61" s="23">
        <f>EXP(-LN(2)/25)*AA60+(1-EXP(-LN(2)/25))/(LN(2)/25)*Calculateur!V61*Calculateur!X61*VLOOKUP('Données projet'!$B$9,Paramètres!$A$1:$I$88,3,0)*0.475*44/12</f>
        <v>0</v>
      </c>
      <c r="AB61" s="23">
        <f>EXP(-LN(2)/2)*AB60+(1-EXP(-LN(2)/2))/(LN(2)/2)*V61*Y61*VLOOKUP('Données projet'!$B$9,Paramètres!$A$1:$I$88,3,0)*0.475*44/12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67.571903720122322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198.79999999999995</v>
      </c>
      <c r="AJ61" s="14">
        <f>AI61*VLOOKUP('Données projet'!$B$10,Paramètres!$A$1:$I$88,3,0)*VLOOKUP('Données projet'!$B$10,Paramètres!$A$1:$I$88,5,0)</f>
        <v>179.87423999999993</v>
      </c>
      <c r="AK61" s="14">
        <f t="shared" si="35"/>
        <v>45.294205745553846</v>
      </c>
      <c r="AL61" s="22">
        <f t="shared" si="4"/>
        <v>392.16837634017276</v>
      </c>
      <c r="AM61" s="62">
        <f t="shared" si="5"/>
        <v>676.5986899806212</v>
      </c>
      <c r="AN61" s="62">
        <f ca="1">AVERAGE(OFFSET($AM$3,0,0,'Données projet'!$E$10+1,1))-AVERAGE(OFFSET($H$3,0,0,'Données projet'!$E$10+1,1))</f>
        <v>441.34749554136755</v>
      </c>
      <c r="AO61" s="62">
        <f t="shared" si="36"/>
        <v>236.49038586666222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0</v>
      </c>
      <c r="AV61" s="23">
        <f>EXP(-LN(2)/25)*AV60+(1-EXP(-LN(2)/25))/(LN(2)/25)*Calculateur!AQ61*Calculateur!AS61*VLOOKUP('Données projet'!$B$10,Paramètres!$A$1:$I$88,3,0)*0.475*44/12</f>
        <v>0</v>
      </c>
      <c r="AW61" s="23">
        <f>EXP(-LN(2)/2)*AW60+(1-EXP(-LN(2)/2))/(LN(2)/2)*AQ61*AT61*VLOOKUP('Données projet'!$B$10,Paramètres!$A$1:$I$88,3,0)*0.475*44/12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67.571903720122322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198.79999999999995</v>
      </c>
      <c r="BE61" s="14">
        <f>BD61*VLOOKUP('Données projet'!$B$11,Paramètres!$A$1:$I$88,3,0)*VLOOKUP('Données projet'!$B$11,Paramètres!$A$1:$I$88,5,0)</f>
        <v>213.98831999999996</v>
      </c>
      <c r="BF61" s="14">
        <f t="shared" si="37"/>
        <v>52.806177351620995</v>
      </c>
      <c r="BG61" s="22">
        <f t="shared" si="7"/>
        <v>464.66708288740648</v>
      </c>
      <c r="BH61" s="62">
        <f t="shared" si="8"/>
        <v>749.09739652785493</v>
      </c>
      <c r="BI61" s="62">
        <f ca="1">AVERAGE(OFFSET($BH$3,0,0,'Données projet'!$E$11+1,1))-AVERAGE(OFFSET($H$3,0,0,'Données projet'!$E$11+1,1))</f>
        <v>514.86487884889584</v>
      </c>
      <c r="BJ61" s="62">
        <f t="shared" si="38"/>
        <v>272.4206208356191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projet'!$B$11,Paramètres!$A$1:$I$88,3,0)*0.475*44/12</f>
        <v>0</v>
      </c>
      <c r="BQ61" s="23">
        <f>EXP(-LN(2)/25)*BQ60+(1-EXP(-LN(2)/25))/(LN(2)/25)*Calculateur!BL61*Calculateur!BN61*VLOOKUP('Données projet'!$B$11,Paramètres!$A$1:$I$88,3,0)*0.475*44/12</f>
        <v>0</v>
      </c>
      <c r="BR61" s="23">
        <f>EXP(-LN(2)/2)*BR60+(1-EXP(-LN(2)/2))/(LN(2)/2)*BL61*BO61*VLOOKUP('Données projet'!$B$11,Paramètres!$A$1:$I$88,3,0)*0.475*44/12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67.571903720122322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</v>
      </c>
      <c r="BY61" s="13">
        <f>IF('Données projet'!$A$114&gt;35,BY60+BX61-CG60,IF(A61&lt;'Données projet'!$A$114,$BV$205^A61,IF(A61='Données projet'!$A$114,'Données projet'!$B$114,BY60+BX61-CG60)))</f>
        <v>247.99999999999986</v>
      </c>
      <c r="BZ61" s="14">
        <f>BY61*VLOOKUP('Données projet'!$B$12,Paramètres!$A$1:$I$88,3,0)*VLOOKUP('Données projet'!$B$12,Paramètres!$A$1:$I$88,5,0)</f>
        <v>162.48959999999991</v>
      </c>
      <c r="CA61" s="14">
        <f t="shared" si="39"/>
        <v>41.40354603382066</v>
      </c>
      <c r="CB61" s="22">
        <f t="shared" si="10"/>
        <v>355.11389600890419</v>
      </c>
      <c r="CC61" s="62">
        <f t="shared" si="11"/>
        <v>639.54420964935275</v>
      </c>
      <c r="CD61" s="62">
        <f ca="1">AVERAGE(OFFSET($CC$3,0,0,'Données projet'!$E$12+1,1))-AVERAGE(OFFSET($H$3,0,0,'Données projet'!$E$12+1,1))</f>
        <v>270.10151451661864</v>
      </c>
      <c r="CE61" s="62">
        <f t="shared" si="40"/>
        <v>294.47934482366804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projet'!$B$12,Paramètres!$A$1:$I$88,3,0)*0.475*44/12</f>
        <v>0</v>
      </c>
      <c r="CL61" s="23">
        <f>EXP(-LN(2)/25)*CL60+(1-EXP(-LN(2)/25))/(LN(2)/25)*Calculateur!CG61*Calculateur!CI61*VLOOKUP('Données projet'!$B$12,Paramètres!$A$1:$I$88,3,0)*0.475*44/12</f>
        <v>0</v>
      </c>
      <c r="CM61" s="23">
        <f>EXP(-LN(2)/2)*CM60+(1-EXP(-LN(2)/2))/(LN(2)/2)*CG61*CJ61*VLOOKUP('Données projet'!$B$12,Paramètres!$A$1:$I$88,3,0)*0.475*44/12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67.571903720122322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</v>
      </c>
      <c r="CT61" s="13">
        <f>IF('Données projet'!$A$140&gt;35,CT60+CS61-DB60,IF(A61&lt;'Données projet'!$A$140,$CQ$205^A61,IF(A61='Données projet'!$A$140,'Données projet'!$B$140,CT60+CS61-DB60)))</f>
        <v>247.99999999999986</v>
      </c>
      <c r="CU61" s="18">
        <f>CT61*VLOOKUP('Données projet'!$B$13,Paramètres!$A$1:$I$88,3,0)*VLOOKUP('Données projet'!$B$13,Paramètres!$A$1:$I$88,5,0)</f>
        <v>162.48959999999991</v>
      </c>
      <c r="CV61" s="14">
        <f t="shared" si="41"/>
        <v>41.40354603382066</v>
      </c>
      <c r="CW61" s="22">
        <f t="shared" si="13"/>
        <v>355.11389600890419</v>
      </c>
      <c r="CX61" s="62">
        <f t="shared" si="14"/>
        <v>639.54420964935275</v>
      </c>
      <c r="CY61" s="62">
        <f ca="1">AVERAGE(OFFSET($CX$3,0,0,'Données projet'!$E$13+1,1))-AVERAGE(OFFSET($H$3,0,0,'Données projet'!$E$13+1,1))</f>
        <v>270.10151451661864</v>
      </c>
      <c r="CZ61" s="62">
        <f t="shared" si="42"/>
        <v>294.47934482366804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projet'!$B$13,Paramètres!$A$1:$I$88,3,0)*0.475*44/12</f>
        <v>0</v>
      </c>
      <c r="DG61" s="23">
        <f>EXP(-LN(2)/25)*DG60+(1-EXP(-LN(2)/25))/(LN(2)/25)*Calculateur!DB61*Calculateur!DD61*VLOOKUP('Données projet'!$B$13,Paramètres!$A$1:$I$88,3,0)*0.475*44/12</f>
        <v>0</v>
      </c>
      <c r="DH61" s="23">
        <f>EXP(-LN(2)/2)*DH60+(1-EXP(-LN(2)/2))/(LN(2)/2)*DB61*DE61*VLOOKUP('Données projet'!$B$13,Paramètres!$A$1:$I$88,3,0)*0.475*44/12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67.571903720122322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projet'!$B$14,Paramètres!$A$1:$I$88,3,0)*0.475*44/12</f>
        <v>#N/A</v>
      </c>
      <c r="EB61" s="23" t="e">
        <f>EXP(-LN(2)/25)*EB60+(1-EXP(-LN(2)/25))/(LN(2)/25)*Calculateur!DW61*Calculateur!DY61*VLOOKUP('Données projet'!$B$14,Paramètres!$A$1:$I$88,3,0)*0.475*44/12</f>
        <v>#N/A</v>
      </c>
      <c r="EC61" s="23" t="e">
        <f>EXP(-LN(2)/2)*EC60+(1-EXP(-LN(2)/2))/(LN(2)/2)*DW61*DZ61*VLOOKUP('Données projet'!$B$14,Paramètres!$A$1:$I$88,3,0)*0.475*44/12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67.571903720122322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67.571903720122322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67.571903720122322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67.571903720122322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1.34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4.9133333333333331</v>
      </c>
      <c r="H62" s="70">
        <f t="shared" si="1"/>
        <v>237.01333333333332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67.614025762168154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206.39999999999995</v>
      </c>
      <c r="O62" s="14">
        <f>N62*VLOOKUP('Données projet'!$B$9,Paramètres!$A$1:$I$88,3,0)*VLOOKUP('Données projet'!$B$9,Paramètres!$A$1:$I$88,5,0)</f>
        <v>209.28959999999995</v>
      </c>
      <c r="P62" s="14">
        <f t="shared" si="33"/>
        <v>51.780314822292169</v>
      </c>
      <c r="Q62" s="22">
        <f t="shared" si="53"/>
        <v>454.69676831549208</v>
      </c>
      <c r="R62" s="62">
        <f t="shared" si="0"/>
        <v>739.28152944344197</v>
      </c>
      <c r="S62" s="62">
        <f ca="1">AVERAGE(OFFSET($R$3,0,0,'Données projet'!$E$9+1,1))-AVERAGE(OFFSET($H$3,0,0,'Données projet'!$E$9+1,1))</f>
        <v>488.16146816015231</v>
      </c>
      <c r="T62" s="62">
        <f t="shared" si="34"/>
        <v>259.37115195552127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0</v>
      </c>
      <c r="AA62" s="23">
        <f>EXP(-LN(2)/25)*AA61+(1-EXP(-LN(2)/25))/(LN(2)/25)*Calculateur!V62*Calculateur!X62*VLOOKUP('Données projet'!$B$9,Paramètres!$A$1:$I$88,3,0)*0.475*44/12</f>
        <v>0</v>
      </c>
      <c r="AB62" s="23">
        <f>EXP(-LN(2)/2)*AB61+(1-EXP(-LN(2)/2))/(LN(2)/2)*V62*Y62*VLOOKUP('Données projet'!$B$9,Paramètres!$A$1:$I$88,3,0)*0.475*44/12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67.614025762168154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206.39999999999995</v>
      </c>
      <c r="AJ62" s="14">
        <f>AI62*VLOOKUP('Données projet'!$B$10,Paramètres!$A$1:$I$88,3,0)*VLOOKUP('Données projet'!$B$10,Paramètres!$A$1:$I$88,5,0)</f>
        <v>186.75071999999994</v>
      </c>
      <c r="AK62" s="14">
        <f t="shared" si="35"/>
        <v>46.820863587839391</v>
      </c>
      <c r="AL62" s="22">
        <f t="shared" si="4"/>
        <v>406.80384141548683</v>
      </c>
      <c r="AM62" s="62">
        <f t="shared" si="5"/>
        <v>691.38860254343672</v>
      </c>
      <c r="AN62" s="62">
        <f ca="1">AVERAGE(OFFSET($AM$3,0,0,'Données projet'!$E$10+1,1))-AVERAGE(OFFSET($H$3,0,0,'Données projet'!$E$10+1,1))</f>
        <v>441.34749554136755</v>
      </c>
      <c r="AO62" s="62">
        <f t="shared" si="36"/>
        <v>236.49038586666222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0</v>
      </c>
      <c r="AV62" s="23">
        <f>EXP(-LN(2)/25)*AV61+(1-EXP(-LN(2)/25))/(LN(2)/25)*Calculateur!AQ62*Calculateur!AS62*VLOOKUP('Données projet'!$B$10,Paramètres!$A$1:$I$88,3,0)*0.475*44/12</f>
        <v>0</v>
      </c>
      <c r="AW62" s="23">
        <f>EXP(-LN(2)/2)*AW61+(1-EXP(-LN(2)/2))/(LN(2)/2)*AQ62*AT62*VLOOKUP('Données projet'!$B$10,Paramètres!$A$1:$I$88,3,0)*0.475*44/12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67.614025762168154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206.39999999999995</v>
      </c>
      <c r="BE62" s="14">
        <f>BD62*VLOOKUP('Données projet'!$B$11,Paramètres!$A$1:$I$88,3,0)*VLOOKUP('Données projet'!$B$11,Paramètres!$A$1:$I$88,5,0)</f>
        <v>222.16895999999991</v>
      </c>
      <c r="BF62" s="14">
        <f t="shared" si="37"/>
        <v>54.586028956213639</v>
      </c>
      <c r="BG62" s="22">
        <f t="shared" si="7"/>
        <v>482.01493909873858</v>
      </c>
      <c r="BH62" s="62">
        <f t="shared" si="8"/>
        <v>766.59970022668847</v>
      </c>
      <c r="BI62" s="62">
        <f ca="1">AVERAGE(OFFSET($BH$3,0,0,'Données projet'!$E$11+1,1))-AVERAGE(OFFSET($H$3,0,0,'Données projet'!$E$11+1,1))</f>
        <v>514.86487884889584</v>
      </c>
      <c r="BJ62" s="62">
        <f t="shared" si="38"/>
        <v>272.4206208356191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projet'!$B$11,Paramètres!$A$1:$I$88,3,0)*0.475*44/12</f>
        <v>0</v>
      </c>
      <c r="BQ62" s="23">
        <f>EXP(-LN(2)/25)*BQ61+(1-EXP(-LN(2)/25))/(LN(2)/25)*Calculateur!BL62*Calculateur!BN62*VLOOKUP('Données projet'!$B$11,Paramètres!$A$1:$I$88,3,0)*0.475*44/12</f>
        <v>0</v>
      </c>
      <c r="BR62" s="23">
        <f>EXP(-LN(2)/2)*BR61+(1-EXP(-LN(2)/2))/(LN(2)/2)*BL62*BO62*VLOOKUP('Données projet'!$B$11,Paramètres!$A$1:$I$88,3,0)*0.475*44/12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67.614025762168154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</v>
      </c>
      <c r="BY62" s="13">
        <f>IF('Données projet'!$A$114&gt;35,BY61+BX62-CG61,IF(A62&lt;'Données projet'!$A$114,$BV$205^A62,IF(A62='Données projet'!$A$114,'Données projet'!$B$114,BY61+BX62-CG61)))</f>
        <v>252.99999999999986</v>
      </c>
      <c r="BZ62" s="14">
        <f>BY62*VLOOKUP('Données projet'!$B$12,Paramètres!$A$1:$I$88,3,0)*VLOOKUP('Données projet'!$B$12,Paramètres!$A$1:$I$88,5,0)</f>
        <v>165.76559999999989</v>
      </c>
      <c r="CA62" s="14">
        <f t="shared" si="39"/>
        <v>42.14027112568423</v>
      </c>
      <c r="CB62" s="22">
        <f t="shared" si="10"/>
        <v>362.10272554389985</v>
      </c>
      <c r="CC62" s="62">
        <f t="shared" si="11"/>
        <v>646.68748667184968</v>
      </c>
      <c r="CD62" s="62">
        <f ca="1">AVERAGE(OFFSET($CC$3,0,0,'Données projet'!$E$12+1,1))-AVERAGE(OFFSET($H$3,0,0,'Données projet'!$E$12+1,1))</f>
        <v>270.10151451661864</v>
      </c>
      <c r="CE62" s="62">
        <f t="shared" si="40"/>
        <v>294.47934482366804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projet'!$B$12,Paramètres!$A$1:$I$88,3,0)*0.475*44/12</f>
        <v>0</v>
      </c>
      <c r="CL62" s="23">
        <f>EXP(-LN(2)/25)*CL61+(1-EXP(-LN(2)/25))/(LN(2)/25)*Calculateur!CG62*Calculateur!CI62*VLOOKUP('Données projet'!$B$12,Paramètres!$A$1:$I$88,3,0)*0.475*44/12</f>
        <v>0</v>
      </c>
      <c r="CM62" s="23">
        <f>EXP(-LN(2)/2)*CM61+(1-EXP(-LN(2)/2))/(LN(2)/2)*CG62*CJ62*VLOOKUP('Données projet'!$B$12,Paramètres!$A$1:$I$88,3,0)*0.475*44/12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67.614025762168154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</v>
      </c>
      <c r="CT62" s="13">
        <f>IF('Données projet'!$A$140&gt;35,CT61+CS62-DB61,IF(A62&lt;'Données projet'!$A$140,$CQ$205^A62,IF(A62='Données projet'!$A$140,'Données projet'!$B$140,CT61+CS62-DB61)))</f>
        <v>252.99999999999986</v>
      </c>
      <c r="CU62" s="18">
        <f>CT62*VLOOKUP('Données projet'!$B$13,Paramètres!$A$1:$I$88,3,0)*VLOOKUP('Données projet'!$B$13,Paramètres!$A$1:$I$88,5,0)</f>
        <v>165.76559999999989</v>
      </c>
      <c r="CV62" s="14">
        <f t="shared" si="41"/>
        <v>42.14027112568423</v>
      </c>
      <c r="CW62" s="22">
        <f t="shared" si="13"/>
        <v>362.10272554389985</v>
      </c>
      <c r="CX62" s="62">
        <f t="shared" si="14"/>
        <v>646.68748667184968</v>
      </c>
      <c r="CY62" s="62">
        <f ca="1">AVERAGE(OFFSET($CX$3,0,0,'Données projet'!$E$13+1,1))-AVERAGE(OFFSET($H$3,0,0,'Données projet'!$E$13+1,1))</f>
        <v>270.10151451661864</v>
      </c>
      <c r="CZ62" s="62">
        <f t="shared" si="42"/>
        <v>294.47934482366804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projet'!$B$13,Paramètres!$A$1:$I$88,3,0)*0.475*44/12</f>
        <v>0</v>
      </c>
      <c r="DG62" s="23">
        <f>EXP(-LN(2)/25)*DG61+(1-EXP(-LN(2)/25))/(LN(2)/25)*Calculateur!DB62*Calculateur!DD62*VLOOKUP('Données projet'!$B$13,Paramètres!$A$1:$I$88,3,0)*0.475*44/12</f>
        <v>0</v>
      </c>
      <c r="DH62" s="23">
        <f>EXP(-LN(2)/2)*DH61+(1-EXP(-LN(2)/2))/(LN(2)/2)*DB62*DE62*VLOOKUP('Données projet'!$B$13,Paramètres!$A$1:$I$88,3,0)*0.475*44/12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67.614025762168154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projet'!$B$14,Paramètres!$A$1:$I$88,3,0)*0.475*44/12</f>
        <v>#N/A</v>
      </c>
      <c r="EB62" s="23" t="e">
        <f>EXP(-LN(2)/25)*EB61+(1-EXP(-LN(2)/25))/(LN(2)/25)*Calculateur!DW62*Calculateur!DY62*VLOOKUP('Données projet'!$B$14,Paramètres!$A$1:$I$88,3,0)*0.475*44/12</f>
        <v>#N/A</v>
      </c>
      <c r="EC62" s="23" t="e">
        <f>EXP(-LN(2)/2)*EC61+(1-EXP(-LN(2)/2))/(LN(2)/2)*DW62*DZ62*VLOOKUP('Données projet'!$B$14,Paramètres!$A$1:$I$88,3,0)*0.475*44/12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67.614025762168154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67.614025762168154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67.614025762168154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67.614025762168154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1.34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4.9133333333333331</v>
      </c>
      <c r="H63" s="70">
        <f t="shared" si="1"/>
        <v>237.01333333333332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67.65541708095526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213.99999999999994</v>
      </c>
      <c r="O63" s="14">
        <f>N63*VLOOKUP('Données projet'!$B$9,Paramètres!$A$1:$I$88,3,0)*VLOOKUP('Données projet'!$B$9,Paramètres!$A$1:$I$88,5,0)</f>
        <v>216.99599999999995</v>
      </c>
      <c r="P63" s="14">
        <f t="shared" si="33"/>
        <v>53.461459647386867</v>
      </c>
      <c r="Q63" s="22">
        <f t="shared" si="53"/>
        <v>471.04674221919873</v>
      </c>
      <c r="R63" s="62">
        <f t="shared" si="0"/>
        <v>755.78327151603469</v>
      </c>
      <c r="S63" s="62">
        <f ca="1">AVERAGE(OFFSET($R$3,0,0,'Données projet'!$E$9+1,1))-AVERAGE(OFFSET($H$3,0,0,'Données projet'!$E$9+1,1))</f>
        <v>488.16146816015231</v>
      </c>
      <c r="T63" s="62">
        <f t="shared" si="34"/>
        <v>259.37115195552127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0</v>
      </c>
      <c r="AA63" s="23">
        <f>EXP(-LN(2)/25)*AA62+(1-EXP(-LN(2)/25))/(LN(2)/25)*Calculateur!V63*Calculateur!X63*VLOOKUP('Données projet'!$B$9,Paramètres!$A$1:$I$88,3,0)*0.475*44/12</f>
        <v>0</v>
      </c>
      <c r="AB63" s="23">
        <f>EXP(-LN(2)/2)*AB62+(1-EXP(-LN(2)/2))/(LN(2)/2)*V63*Y63*VLOOKUP('Données projet'!$B$9,Paramètres!$A$1:$I$88,3,0)*0.475*44/12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67.65541708095526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213.99999999999994</v>
      </c>
      <c r="AJ63" s="14">
        <f>AI63*VLOOKUP('Données projet'!$B$10,Paramètres!$A$1:$I$88,3,0)*VLOOKUP('Données projet'!$B$10,Paramètres!$A$1:$I$88,5,0)</f>
        <v>193.62719999999996</v>
      </c>
      <c r="AK63" s="14">
        <f t="shared" si="35"/>
        <v>48.340990547231193</v>
      </c>
      <c r="AL63" s="22">
        <f t="shared" si="4"/>
        <v>421.42793186976087</v>
      </c>
      <c r="AM63" s="62">
        <f t="shared" si="5"/>
        <v>706.16446116659677</v>
      </c>
      <c r="AN63" s="62">
        <f ca="1">AVERAGE(OFFSET($AM$3,0,0,'Données projet'!$E$10+1,1))-AVERAGE(OFFSET($H$3,0,0,'Données projet'!$E$10+1,1))</f>
        <v>441.34749554136755</v>
      </c>
      <c r="AO63" s="62">
        <f t="shared" si="36"/>
        <v>236.49038586666222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projet'!$B$10,Paramètres!$A$1:$I$88,3,0)*0.475*44/12</f>
        <v>0</v>
      </c>
      <c r="AV63" s="23">
        <f>EXP(-LN(2)/25)*AV62+(1-EXP(-LN(2)/25))/(LN(2)/25)*Calculateur!AQ63*Calculateur!AS63*VLOOKUP('Données projet'!$B$10,Paramètres!$A$1:$I$88,3,0)*0.475*44/12</f>
        <v>0</v>
      </c>
      <c r="AW63" s="23">
        <f>EXP(-LN(2)/2)*AW62+(1-EXP(-LN(2)/2))/(LN(2)/2)*AQ63*AT63*VLOOKUP('Données projet'!$B$10,Paramètres!$A$1:$I$88,3,0)*0.475*44/12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67.65541708095526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214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213.99999999999994</v>
      </c>
      <c r="BE63" s="14">
        <f>BD63*VLOOKUP('Données projet'!$B$11,Paramètres!$A$1:$I$88,3,0)*VLOOKUP('Données projet'!$B$11,Paramètres!$A$1:$I$88,5,0)</f>
        <v>230.34959999999992</v>
      </c>
      <c r="BF63" s="14">
        <f t="shared" si="37"/>
        <v>56.35826654142631</v>
      </c>
      <c r="BG63" s="22">
        <f t="shared" si="7"/>
        <v>499.34953422631742</v>
      </c>
      <c r="BH63" s="62">
        <f t="shared" si="8"/>
        <v>784.08606352315337</v>
      </c>
      <c r="BI63" s="62">
        <f ca="1">AVERAGE(OFFSET($BH$3,0,0,'Données projet'!$E$11+1,1))-AVERAGE(OFFSET($H$3,0,0,'Données projet'!$E$11+1,1))</f>
        <v>514.86487884889584</v>
      </c>
      <c r="BJ63" s="62">
        <f t="shared" si="38"/>
        <v>272.4206208356191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projet'!$B$11,Paramètres!$A$1:$I$88,3,0)*0.475*44/12</f>
        <v>0</v>
      </c>
      <c r="BQ63" s="23">
        <f>EXP(-LN(2)/25)*BQ62+(1-EXP(-LN(2)/25))/(LN(2)/25)*Calculateur!BL63*Calculateur!BN63*VLOOKUP('Données projet'!$B$11,Paramètres!$A$1:$I$88,3,0)*0.475*44/12</f>
        <v>0</v>
      </c>
      <c r="BR63" s="23">
        <f>EXP(-LN(2)/2)*BR62+(1-EXP(-LN(2)/2))/(LN(2)/2)*BL63*BO63*VLOOKUP('Données projet'!$B$11,Paramètres!$A$1:$I$88,3,0)*0.475*44/12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67.65541708095526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258</v>
      </c>
      <c r="BW63" s="13">
        <f>VLOOKUP(A63,'Données projet'!$A$113:$I$133,9,0)</f>
        <v>5</v>
      </c>
      <c r="BX63" s="13">
        <f t="array" ref="BX63">INDEX(BW:BW,MIN(IF(ISNUMBER(BW63:BW259),ROW(BW63:BW259),"")))</f>
        <v>5</v>
      </c>
      <c r="BY63" s="13">
        <f>IF('Données projet'!$A$114&gt;35,BY62+BX63-CG62,IF(A63&lt;'Données projet'!$A$114,$BV$205^A63,IF(A63='Données projet'!$A$114,'Données projet'!$B$114,BY62+BX63-CG62)))</f>
        <v>257.99999999999989</v>
      </c>
      <c r="BZ63" s="14">
        <f>BY63*VLOOKUP('Données projet'!$B$12,Paramètres!$A$1:$I$88,3,0)*VLOOKUP('Données projet'!$B$12,Paramètres!$A$1:$I$88,5,0)</f>
        <v>169.0415999999999</v>
      </c>
      <c r="CA63" s="14">
        <f t="shared" si="39"/>
        <v>42.875303289962908</v>
      </c>
      <c r="CB63" s="22">
        <f t="shared" si="10"/>
        <v>369.0886065633519</v>
      </c>
      <c r="CC63" s="62">
        <f t="shared" si="11"/>
        <v>653.82513586018786</v>
      </c>
      <c r="CD63" s="62">
        <f ca="1">AVERAGE(OFFSET($CC$3,0,0,'Données projet'!$E$12+1,1))-AVERAGE(OFFSET($H$3,0,0,'Données projet'!$E$12+1,1))</f>
        <v>270.10151451661864</v>
      </c>
      <c r="CE63" s="62">
        <f t="shared" si="40"/>
        <v>294.47934482366804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25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projet'!$B$12,Paramètres!$A$1:$I$88,3,0)*0.475*44/12</f>
        <v>0</v>
      </c>
      <c r="CL63" s="23">
        <f>EXP(-LN(2)/25)*CL62+(1-EXP(-LN(2)/25))/(LN(2)/25)*Calculateur!CG63*Calculateur!CI63*VLOOKUP('Données projet'!$B$12,Paramètres!$A$1:$I$88,3,0)*0.475*44/12</f>
        <v>0</v>
      </c>
      <c r="CM63" s="23">
        <f>EXP(-LN(2)/2)*CM62+(1-EXP(-LN(2)/2))/(LN(2)/2)*CG63*CJ63*VLOOKUP('Données projet'!$B$12,Paramètres!$A$1:$I$88,3,0)*0.475*44/12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67.65541708095526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258</v>
      </c>
      <c r="CR63" s="13">
        <f>VLOOKUP(A63,'Données projet'!$A$139:$I$159,9,0)</f>
        <v>5</v>
      </c>
      <c r="CS63" s="13">
        <f t="array" ref="CS63">INDEX(CR:CR,MIN(IF(ISNUMBER(CR63:CR259),ROW(CR63:CR259),"")))</f>
        <v>5</v>
      </c>
      <c r="CT63" s="13">
        <f>IF('Données projet'!$A$140&gt;35,CT62+CS63-DB62,IF(A63&lt;'Données projet'!$A$140,$CQ$205^A63,IF(A63='Données projet'!$A$140,'Données projet'!$B$140,CT62+CS63-DB62)))</f>
        <v>257.99999999999989</v>
      </c>
      <c r="CU63" s="18">
        <f>CT63*VLOOKUP('Données projet'!$B$13,Paramètres!$A$1:$I$88,3,0)*VLOOKUP('Données projet'!$B$13,Paramètres!$A$1:$I$88,5,0)</f>
        <v>169.0415999999999</v>
      </c>
      <c r="CV63" s="14">
        <f t="shared" si="41"/>
        <v>42.875303289962908</v>
      </c>
      <c r="CW63" s="22">
        <f t="shared" si="13"/>
        <v>369.0886065633519</v>
      </c>
      <c r="CX63" s="62">
        <f t="shared" si="14"/>
        <v>653.82513586018786</v>
      </c>
      <c r="CY63" s="62">
        <f ca="1">AVERAGE(OFFSET($CX$3,0,0,'Données projet'!$E$13+1,1))-AVERAGE(OFFSET($H$3,0,0,'Données projet'!$E$13+1,1))</f>
        <v>270.10151451661864</v>
      </c>
      <c r="CZ63" s="62">
        <f t="shared" si="42"/>
        <v>294.47934482366804</v>
      </c>
      <c r="DA63" s="16">
        <f>IF(ISNA(VLOOKUP(A63,'Données projet'!$A$139:$I$159,3,0)),0,VLOOKUP(A63,'Données projet'!$A$139:$I$159,3,0))</f>
        <v>5</v>
      </c>
      <c r="DB63" s="16">
        <f>IF(ISNA(VLOOKUP(A63,'Données projet'!$A$139:$I$159,4,0)),0,VLOOKUP(A63,'Données projet'!$A$139:$I$159,4,0))</f>
        <v>25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projet'!$B$13,Paramètres!$A$1:$I$88,3,0)*0.475*44/12</f>
        <v>0</v>
      </c>
      <c r="DG63" s="23">
        <f>EXP(-LN(2)/25)*DG62+(1-EXP(-LN(2)/25))/(LN(2)/25)*Calculateur!DB63*Calculateur!DD63*VLOOKUP('Données projet'!$B$13,Paramètres!$A$1:$I$88,3,0)*0.475*44/12</f>
        <v>0</v>
      </c>
      <c r="DH63" s="23">
        <f>EXP(-LN(2)/2)*DH62+(1-EXP(-LN(2)/2))/(LN(2)/2)*DB63*DE63*VLOOKUP('Données projet'!$B$13,Paramètres!$A$1:$I$88,3,0)*0.475*44/12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67.65541708095526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projet'!$B$14,Paramètres!$A$1:$I$88,3,0)*0.475*44/12</f>
        <v>#N/A</v>
      </c>
      <c r="EB63" s="23" t="e">
        <f>EXP(-LN(2)/25)*EB62+(1-EXP(-LN(2)/25))/(LN(2)/25)*Calculateur!DW63*Calculateur!DY63*VLOOKUP('Données projet'!$B$14,Paramètres!$A$1:$I$88,3,0)*0.475*44/12</f>
        <v>#N/A</v>
      </c>
      <c r="EC63" s="23" t="e">
        <f>EXP(-LN(2)/2)*EC62+(1-EXP(-LN(2)/2))/(LN(2)/2)*DW63*DZ63*VLOOKUP('Données projet'!$B$14,Paramètres!$A$1:$I$88,3,0)*0.475*44/12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67.65541708095526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67.65541708095526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67.65541708095526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67.65541708095526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1.34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4.9133333333333331</v>
      </c>
      <c r="H64" s="70">
        <f t="shared" si="1"/>
        <v>237.01333333333332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67.696090352898551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221.19999999999993</v>
      </c>
      <c r="O64" s="14">
        <f>N64*VLOOKUP('Données projet'!$B$9,Paramètres!$A$1:$I$88,3,0)*VLOOKUP('Données projet'!$B$9,Paramètres!$A$1:$I$88,5,0)</f>
        <v>224.29679999999996</v>
      </c>
      <c r="P64" s="14">
        <f t="shared" si="33"/>
        <v>55.047720057866165</v>
      </c>
      <c r="Q64" s="22">
        <f t="shared" si="53"/>
        <v>486.52503910078349</v>
      </c>
      <c r="R64" s="62">
        <f t="shared" si="0"/>
        <v>771.41070372807826</v>
      </c>
      <c r="S64" s="62">
        <f ca="1">AVERAGE(OFFSET($R$3,0,0,'Données projet'!$E$9+1,1))-AVERAGE(OFFSET($H$3,0,0,'Données projet'!$E$9+1,1))</f>
        <v>488.16146816015231</v>
      </c>
      <c r="T64" s="62">
        <f t="shared" si="34"/>
        <v>259.37115195552127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0</v>
      </c>
      <c r="AA64" s="23">
        <f>EXP(-LN(2)/25)*AA63+(1-EXP(-LN(2)/25))/(LN(2)/25)*Calculateur!V64*Calculateur!X64*VLOOKUP('Données projet'!$B$9,Paramètres!$A$1:$I$88,3,0)*0.475*44/12</f>
        <v>0</v>
      </c>
      <c r="AB64" s="23">
        <f>EXP(-LN(2)/2)*AB63+(1-EXP(-LN(2)/2))/(LN(2)/2)*V64*Y64*VLOOKUP('Données projet'!$B$9,Paramètres!$A$1:$I$88,3,0)*0.475*44/12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67.696090352898551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221.19999999999993</v>
      </c>
      <c r="AJ64" s="14">
        <f>AI64*VLOOKUP('Données projet'!$B$10,Paramètres!$A$1:$I$88,3,0)*VLOOKUP('Données projet'!$B$10,Paramètres!$A$1:$I$88,5,0)</f>
        <v>200.14175999999995</v>
      </c>
      <c r="AK64" s="14">
        <f t="shared" si="35"/>
        <v>49.775320997880847</v>
      </c>
      <c r="AL64" s="22">
        <f t="shared" si="4"/>
        <v>435.27224940464231</v>
      </c>
      <c r="AM64" s="62">
        <f t="shared" si="5"/>
        <v>720.15791403193703</v>
      </c>
      <c r="AN64" s="62">
        <f ca="1">AVERAGE(OFFSET($AM$3,0,0,'Données projet'!$E$10+1,1))-AVERAGE(OFFSET($H$3,0,0,'Données projet'!$E$10+1,1))</f>
        <v>441.34749554136755</v>
      </c>
      <c r="AO64" s="62">
        <f t="shared" si="36"/>
        <v>236.49038586666222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0</v>
      </c>
      <c r="AV64" s="23">
        <f>EXP(-LN(2)/25)*AV63+(1-EXP(-LN(2)/25))/(LN(2)/25)*Calculateur!AQ64*Calculateur!AS64*VLOOKUP('Données projet'!$B$10,Paramètres!$A$1:$I$88,3,0)*0.475*44/12</f>
        <v>0</v>
      </c>
      <c r="AW64" s="23">
        <f>EXP(-LN(2)/2)*AW63+(1-EXP(-LN(2)/2))/(LN(2)/2)*AQ64*AT64*VLOOKUP('Données projet'!$B$10,Paramètres!$A$1:$I$88,3,0)*0.475*44/12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67.696090352898551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221.19999999999993</v>
      </c>
      <c r="BE64" s="14">
        <f>BD64*VLOOKUP('Données projet'!$B$11,Paramètres!$A$1:$I$88,3,0)*VLOOKUP('Données projet'!$B$11,Paramètres!$A$1:$I$88,5,0)</f>
        <v>238.09967999999989</v>
      </c>
      <c r="BF64" s="14">
        <f t="shared" si="37"/>
        <v>58.030478404094161</v>
      </c>
      <c r="BG64" s="22">
        <f t="shared" si="7"/>
        <v>515.7600258871305</v>
      </c>
      <c r="BH64" s="62">
        <f t="shared" si="8"/>
        <v>800.64569051442527</v>
      </c>
      <c r="BI64" s="62">
        <f ca="1">AVERAGE(OFFSET($BH$3,0,0,'Données projet'!$E$11+1,1))-AVERAGE(OFFSET($H$3,0,0,'Données projet'!$E$11+1,1))</f>
        <v>514.86487884889584</v>
      </c>
      <c r="BJ64" s="62">
        <f t="shared" si="38"/>
        <v>272.4206208356191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projet'!$B$11,Paramètres!$A$1:$I$88,3,0)*0.475*44/12</f>
        <v>0</v>
      </c>
      <c r="BQ64" s="23">
        <f>EXP(-LN(2)/25)*BQ63+(1-EXP(-LN(2)/25))/(LN(2)/25)*Calculateur!BL64*Calculateur!BN64*VLOOKUP('Données projet'!$B$11,Paramètres!$A$1:$I$88,3,0)*0.475*44/12</f>
        <v>0</v>
      </c>
      <c r="BR64" s="23">
        <f>EXP(-LN(2)/2)*BR63+(1-EXP(-LN(2)/2))/(LN(2)/2)*BL64*BO64*VLOOKUP('Données projet'!$B$11,Paramètres!$A$1:$I$88,3,0)*0.475*44/12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67.696090352898551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4.4000000000000004</v>
      </c>
      <c r="BY64" s="13">
        <f>IF('Données projet'!$A$114&gt;35,BY63+BX64-CG63,IF(A64&lt;'Données projet'!$A$114,$BV$205^A64,IF(A64='Données projet'!$A$114,'Données projet'!$B$114,BY63+BX64-CG63)))</f>
        <v>237.39999999999986</v>
      </c>
      <c r="BZ64" s="14">
        <f>BY64*VLOOKUP('Données projet'!$B$12,Paramètres!$A$1:$I$88,3,0)*VLOOKUP('Données projet'!$B$12,Paramètres!$A$1:$I$88,5,0)</f>
        <v>155.54447999999991</v>
      </c>
      <c r="CA64" s="14">
        <f t="shared" si="39"/>
        <v>39.835914576715666</v>
      </c>
      <c r="CB64" s="22">
        <f t="shared" si="10"/>
        <v>340.28752055444625</v>
      </c>
      <c r="CC64" s="62">
        <f t="shared" si="11"/>
        <v>625.17318518174102</v>
      </c>
      <c r="CD64" s="62">
        <f ca="1">AVERAGE(OFFSET($CC$3,0,0,'Données projet'!$E$12+1,1))-AVERAGE(OFFSET($H$3,0,0,'Données projet'!$E$12+1,1))</f>
        <v>270.10151451661864</v>
      </c>
      <c r="CE64" s="62">
        <f t="shared" si="40"/>
        <v>294.47934482366804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projet'!$B$12,Paramètres!$A$1:$I$88,3,0)*0.475*44/12</f>
        <v>0</v>
      </c>
      <c r="CL64" s="23">
        <f>EXP(-LN(2)/25)*CL63+(1-EXP(-LN(2)/25))/(LN(2)/25)*Calculateur!CG64*Calculateur!CI64*VLOOKUP('Données projet'!$B$12,Paramètres!$A$1:$I$88,3,0)*0.475*44/12</f>
        <v>0</v>
      </c>
      <c r="CM64" s="23">
        <f>EXP(-LN(2)/2)*CM63+(1-EXP(-LN(2)/2))/(LN(2)/2)*CG64*CJ64*VLOOKUP('Données projet'!$B$12,Paramètres!$A$1:$I$88,3,0)*0.475*44/12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67.696090352898551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4.4000000000000004</v>
      </c>
      <c r="CT64" s="13">
        <f>IF('Données projet'!$A$140&gt;35,CT63+CS64-DB63,IF(A64&lt;'Données projet'!$A$140,$CQ$205^A64,IF(A64='Données projet'!$A$140,'Données projet'!$B$140,CT63+CS64-DB63)))</f>
        <v>237.39999999999986</v>
      </c>
      <c r="CU64" s="18">
        <f>CT64*VLOOKUP('Données projet'!$B$13,Paramètres!$A$1:$I$88,3,0)*VLOOKUP('Données projet'!$B$13,Paramètres!$A$1:$I$88,5,0)</f>
        <v>155.54447999999991</v>
      </c>
      <c r="CV64" s="14">
        <f t="shared" si="41"/>
        <v>39.835914576715666</v>
      </c>
      <c r="CW64" s="22">
        <f t="shared" si="13"/>
        <v>340.28752055444625</v>
      </c>
      <c r="CX64" s="62">
        <f t="shared" si="14"/>
        <v>625.17318518174102</v>
      </c>
      <c r="CY64" s="62">
        <f ca="1">AVERAGE(OFFSET($CX$3,0,0,'Données projet'!$E$13+1,1))-AVERAGE(OFFSET($H$3,0,0,'Données projet'!$E$13+1,1))</f>
        <v>270.10151451661864</v>
      </c>
      <c r="CZ64" s="62">
        <f t="shared" si="42"/>
        <v>294.47934482366804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projet'!$B$13,Paramètres!$A$1:$I$88,3,0)*0.475*44/12</f>
        <v>0</v>
      </c>
      <c r="DG64" s="23">
        <f>EXP(-LN(2)/25)*DG63+(1-EXP(-LN(2)/25))/(LN(2)/25)*Calculateur!DB64*Calculateur!DD64*VLOOKUP('Données projet'!$B$13,Paramètres!$A$1:$I$88,3,0)*0.475*44/12</f>
        <v>0</v>
      </c>
      <c r="DH64" s="23">
        <f>EXP(-LN(2)/2)*DH63+(1-EXP(-LN(2)/2))/(LN(2)/2)*DB64*DE64*VLOOKUP('Données projet'!$B$13,Paramètres!$A$1:$I$88,3,0)*0.475*44/12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67.696090352898551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projet'!$B$14,Paramètres!$A$1:$I$88,3,0)*0.475*44/12</f>
        <v>#N/A</v>
      </c>
      <c r="EB64" s="23" t="e">
        <f>EXP(-LN(2)/25)*EB63+(1-EXP(-LN(2)/25))/(LN(2)/25)*Calculateur!DW64*Calculateur!DY64*VLOOKUP('Données projet'!$B$14,Paramètres!$A$1:$I$88,3,0)*0.475*44/12</f>
        <v>#N/A</v>
      </c>
      <c r="EC64" s="23" t="e">
        <f>EXP(-LN(2)/2)*EC63+(1-EXP(-LN(2)/2))/(LN(2)/2)*DW64*DZ64*VLOOKUP('Données projet'!$B$14,Paramètres!$A$1:$I$88,3,0)*0.475*44/12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67.696090352898551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67.696090352898551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67.696090352898551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67.696090352898551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1.34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4.9133333333333331</v>
      </c>
      <c r="H65" s="70">
        <f t="shared" si="1"/>
        <v>237.01333333333332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67.736058034505419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228.39999999999992</v>
      </c>
      <c r="O65" s="14">
        <f>N65*VLOOKUP('Données projet'!$B$9,Paramètres!$A$1:$I$88,3,0)*VLOOKUP('Données projet'!$B$9,Paramètres!$A$1:$I$88,5,0)</f>
        <v>231.59759999999994</v>
      </c>
      <c r="P65" s="14">
        <f t="shared" si="33"/>
        <v>56.627980714948151</v>
      </c>
      <c r="Q65" s="22">
        <f t="shared" si="53"/>
        <v>501.99288641186786</v>
      </c>
      <c r="R65" s="62">
        <f t="shared" si="0"/>
        <v>787.0250992050544</v>
      </c>
      <c r="S65" s="62">
        <f ca="1">AVERAGE(OFFSET($R$3,0,0,'Données projet'!$E$9+1,1))-AVERAGE(OFFSET($H$3,0,0,'Données projet'!$E$9+1,1))</f>
        <v>488.16146816015231</v>
      </c>
      <c r="T65" s="62">
        <f t="shared" si="34"/>
        <v>259.37115195552127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0</v>
      </c>
      <c r="AA65" s="23">
        <f>EXP(-LN(2)/25)*AA64+(1-EXP(-LN(2)/25))/(LN(2)/25)*Calculateur!V65*Calculateur!X65*VLOOKUP('Données projet'!$B$9,Paramètres!$A$1:$I$88,3,0)*0.475*44/12</f>
        <v>0</v>
      </c>
      <c r="AB65" s="23">
        <f>EXP(-LN(2)/2)*AB64+(1-EXP(-LN(2)/2))/(LN(2)/2)*V65*Y65*VLOOKUP('Données projet'!$B$9,Paramètres!$A$1:$I$88,3,0)*0.475*44/12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67.736058034505419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228.39999999999992</v>
      </c>
      <c r="AJ65" s="14">
        <f>AI65*VLOOKUP('Données projet'!$B$10,Paramètres!$A$1:$I$88,3,0)*VLOOKUP('Données projet'!$B$10,Paramètres!$A$1:$I$88,5,0)</f>
        <v>206.65631999999994</v>
      </c>
      <c r="AK65" s="14">
        <f t="shared" si="35"/>
        <v>51.20422634371338</v>
      </c>
      <c r="AL65" s="22">
        <f t="shared" si="4"/>
        <v>449.10711821530072</v>
      </c>
      <c r="AM65" s="62">
        <f t="shared" si="5"/>
        <v>734.13933100848726</v>
      </c>
      <c r="AN65" s="62">
        <f ca="1">AVERAGE(OFFSET($AM$3,0,0,'Données projet'!$E$10+1,1))-AVERAGE(OFFSET($H$3,0,0,'Données projet'!$E$10+1,1))</f>
        <v>441.34749554136755</v>
      </c>
      <c r="AO65" s="62">
        <f t="shared" si="36"/>
        <v>236.49038586666222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0</v>
      </c>
      <c r="AV65" s="23">
        <f>EXP(-LN(2)/25)*AV64+(1-EXP(-LN(2)/25))/(LN(2)/25)*Calculateur!AQ65*Calculateur!AS65*VLOOKUP('Données projet'!$B$10,Paramètres!$A$1:$I$88,3,0)*0.475*44/12</f>
        <v>0</v>
      </c>
      <c r="AW65" s="23">
        <f>EXP(-LN(2)/2)*AW64+(1-EXP(-LN(2)/2))/(LN(2)/2)*AQ65*AT65*VLOOKUP('Données projet'!$B$10,Paramètres!$A$1:$I$88,3,0)*0.475*44/12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67.736058034505419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228.39999999999992</v>
      </c>
      <c r="BE65" s="14">
        <f>BD65*VLOOKUP('Données projet'!$B$11,Paramètres!$A$1:$I$88,3,0)*VLOOKUP('Données projet'!$B$11,Paramètres!$A$1:$I$88,5,0)</f>
        <v>245.84975999999992</v>
      </c>
      <c r="BF65" s="14">
        <f t="shared" si="37"/>
        <v>59.696365416984804</v>
      </c>
      <c r="BG65" s="22">
        <f t="shared" si="7"/>
        <v>532.15950176791512</v>
      </c>
      <c r="BH65" s="62">
        <f t="shared" si="8"/>
        <v>817.19171456110166</v>
      </c>
      <c r="BI65" s="62">
        <f ca="1">AVERAGE(OFFSET($BH$3,0,0,'Données projet'!$E$11+1,1))-AVERAGE(OFFSET($H$3,0,0,'Données projet'!$E$11+1,1))</f>
        <v>514.86487884889584</v>
      </c>
      <c r="BJ65" s="62">
        <f t="shared" si="38"/>
        <v>272.4206208356191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projet'!$B$11,Paramètres!$A$1:$I$88,3,0)*0.475*44/12</f>
        <v>0</v>
      </c>
      <c r="BQ65" s="23">
        <f>EXP(-LN(2)/25)*BQ64+(1-EXP(-LN(2)/25))/(LN(2)/25)*Calculateur!BL65*Calculateur!BN65*VLOOKUP('Données projet'!$B$11,Paramètres!$A$1:$I$88,3,0)*0.475*44/12</f>
        <v>0</v>
      </c>
      <c r="BR65" s="23">
        <f>EXP(-LN(2)/2)*BR64+(1-EXP(-LN(2)/2))/(LN(2)/2)*BL65*BO65*VLOOKUP('Données projet'!$B$11,Paramètres!$A$1:$I$88,3,0)*0.475*44/12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67.736058034505419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4.4000000000000004</v>
      </c>
      <c r="BY65" s="13">
        <f>IF('Données projet'!$A$114&gt;35,BY64+BX65-CG64,IF(A65&lt;'Données projet'!$A$114,$BV$205^A65,IF(A65='Données projet'!$A$114,'Données projet'!$B$114,BY64+BX65-CG64)))</f>
        <v>241.79999999999987</v>
      </c>
      <c r="BZ65" s="14">
        <f>BY65*VLOOKUP('Données projet'!$B$12,Paramètres!$A$1:$I$88,3,0)*VLOOKUP('Données projet'!$B$12,Paramètres!$A$1:$I$88,5,0)</f>
        <v>158.42735999999991</v>
      </c>
      <c r="CA65" s="14">
        <f t="shared" si="39"/>
        <v>40.487598405868212</v>
      </c>
      <c r="CB65" s="22">
        <f t="shared" si="10"/>
        <v>346.44355255688691</v>
      </c>
      <c r="CC65" s="62">
        <f t="shared" si="11"/>
        <v>631.47576535007352</v>
      </c>
      <c r="CD65" s="62">
        <f ca="1">AVERAGE(OFFSET($CC$3,0,0,'Données projet'!$E$12+1,1))-AVERAGE(OFFSET($H$3,0,0,'Données projet'!$E$12+1,1))</f>
        <v>270.10151451661864</v>
      </c>
      <c r="CE65" s="62">
        <f t="shared" si="40"/>
        <v>294.47934482366804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projet'!$B$12,Paramètres!$A$1:$I$88,3,0)*0.475*44/12</f>
        <v>0</v>
      </c>
      <c r="CL65" s="23">
        <f>EXP(-LN(2)/25)*CL64+(1-EXP(-LN(2)/25))/(LN(2)/25)*Calculateur!CG65*Calculateur!CI65*VLOOKUP('Données projet'!$B$12,Paramètres!$A$1:$I$88,3,0)*0.475*44/12</f>
        <v>0</v>
      </c>
      <c r="CM65" s="23">
        <f>EXP(-LN(2)/2)*CM64+(1-EXP(-LN(2)/2))/(LN(2)/2)*CG65*CJ65*VLOOKUP('Données projet'!$B$12,Paramètres!$A$1:$I$88,3,0)*0.475*44/12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67.736058034505419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4.4000000000000004</v>
      </c>
      <c r="CT65" s="13">
        <f>IF('Données projet'!$A$140&gt;35,CT64+CS65-DB64,IF(A65&lt;'Données projet'!$A$140,$CQ$205^A65,IF(A65='Données projet'!$A$140,'Données projet'!$B$140,CT64+CS65-DB64)))</f>
        <v>241.79999999999987</v>
      </c>
      <c r="CU65" s="18">
        <f>CT65*VLOOKUP('Données projet'!$B$13,Paramètres!$A$1:$I$88,3,0)*VLOOKUP('Données projet'!$B$13,Paramètres!$A$1:$I$88,5,0)</f>
        <v>158.42735999999991</v>
      </c>
      <c r="CV65" s="14">
        <f t="shared" si="41"/>
        <v>40.487598405868212</v>
      </c>
      <c r="CW65" s="22">
        <f t="shared" si="13"/>
        <v>346.44355255688691</v>
      </c>
      <c r="CX65" s="62">
        <f t="shared" si="14"/>
        <v>631.47576535007352</v>
      </c>
      <c r="CY65" s="62">
        <f ca="1">AVERAGE(OFFSET($CX$3,0,0,'Données projet'!$E$13+1,1))-AVERAGE(OFFSET($H$3,0,0,'Données projet'!$E$13+1,1))</f>
        <v>270.10151451661864</v>
      </c>
      <c r="CZ65" s="62">
        <f t="shared" si="42"/>
        <v>294.47934482366804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projet'!$B$13,Paramètres!$A$1:$I$88,3,0)*0.475*44/12</f>
        <v>0</v>
      </c>
      <c r="DG65" s="23">
        <f>EXP(-LN(2)/25)*DG64+(1-EXP(-LN(2)/25))/(LN(2)/25)*Calculateur!DB65*Calculateur!DD65*VLOOKUP('Données projet'!$B$13,Paramètres!$A$1:$I$88,3,0)*0.475*44/12</f>
        <v>0</v>
      </c>
      <c r="DH65" s="23">
        <f>EXP(-LN(2)/2)*DH64+(1-EXP(-LN(2)/2))/(LN(2)/2)*DB65*DE65*VLOOKUP('Données projet'!$B$13,Paramètres!$A$1:$I$88,3,0)*0.475*44/12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67.736058034505419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projet'!$B$14,Paramètres!$A$1:$I$88,3,0)*0.475*44/12</f>
        <v>#N/A</v>
      </c>
      <c r="EB65" s="23" t="e">
        <f>EXP(-LN(2)/25)*EB64+(1-EXP(-LN(2)/25))/(LN(2)/25)*Calculateur!DW65*Calculateur!DY65*VLOOKUP('Données projet'!$B$14,Paramètres!$A$1:$I$88,3,0)*0.475*44/12</f>
        <v>#N/A</v>
      </c>
      <c r="EC65" s="23" t="e">
        <f>EXP(-LN(2)/2)*EC64+(1-EXP(-LN(2)/2))/(LN(2)/2)*DW65*DZ65*VLOOKUP('Données projet'!$B$14,Paramètres!$A$1:$I$88,3,0)*0.475*44/12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67.736058034505419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67.736058034505419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67.736058034505419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67.736058034505419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1.34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4.9133333333333331</v>
      </c>
      <c r="H66" s="70">
        <f t="shared" si="1"/>
        <v>237.01333333333332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67.775332366190781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235.59999999999991</v>
      </c>
      <c r="O66" s="14">
        <f>N66*VLOOKUP('Données projet'!$B$9,Paramètres!$A$1:$I$88,3,0)*VLOOKUP('Données projet'!$B$9,Paramètres!$A$1:$I$88,5,0)</f>
        <v>238.89839999999995</v>
      </c>
      <c r="P66" s="14">
        <f t="shared" si="33"/>
        <v>58.202452451868851</v>
      </c>
      <c r="Q66" s="22">
        <f t="shared" si="53"/>
        <v>517.45065135367156</v>
      </c>
      <c r="R66" s="62">
        <f t="shared" si="0"/>
        <v>802.62687002970438</v>
      </c>
      <c r="S66" s="62">
        <f ca="1">AVERAGE(OFFSET($R$3,0,0,'Données projet'!$E$9+1,1))-AVERAGE(OFFSET($H$3,0,0,'Données projet'!$E$9+1,1))</f>
        <v>488.16146816015231</v>
      </c>
      <c r="T66" s="62">
        <f t="shared" si="34"/>
        <v>259.37115195552127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0</v>
      </c>
      <c r="AA66" s="23">
        <f>EXP(-LN(2)/25)*AA65+(1-EXP(-LN(2)/25))/(LN(2)/25)*Calculateur!V66*Calculateur!X66*VLOOKUP('Données projet'!$B$9,Paramètres!$A$1:$I$88,3,0)*0.475*44/12</f>
        <v>0</v>
      </c>
      <c r="AB66" s="23">
        <f>EXP(-LN(2)/2)*AB65+(1-EXP(-LN(2)/2))/(LN(2)/2)*V66*Y66*VLOOKUP('Données projet'!$B$9,Paramètres!$A$1:$I$88,3,0)*0.475*44/12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67.775332366190781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235.59999999999991</v>
      </c>
      <c r="AJ66" s="14">
        <f>AI66*VLOOKUP('Données projet'!$B$10,Paramètres!$A$1:$I$88,3,0)*VLOOKUP('Données projet'!$B$10,Paramètres!$A$1:$I$88,5,0)</f>
        <v>213.17087999999993</v>
      </c>
      <c r="AK66" s="14">
        <f t="shared" si="35"/>
        <v>52.627897224631596</v>
      </c>
      <c r="AL66" s="22">
        <f t="shared" si="4"/>
        <v>462.93287033289988</v>
      </c>
      <c r="AM66" s="62">
        <f t="shared" si="5"/>
        <v>748.10908900893276</v>
      </c>
      <c r="AN66" s="62">
        <f ca="1">AVERAGE(OFFSET($AM$3,0,0,'Données projet'!$E$10+1,1))-AVERAGE(OFFSET($H$3,0,0,'Données projet'!$E$10+1,1))</f>
        <v>441.34749554136755</v>
      </c>
      <c r="AO66" s="62">
        <f t="shared" si="36"/>
        <v>236.49038586666222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0</v>
      </c>
      <c r="AV66" s="23">
        <f>EXP(-LN(2)/25)*AV65+(1-EXP(-LN(2)/25))/(LN(2)/25)*Calculateur!AQ66*Calculateur!AS66*VLOOKUP('Données projet'!$B$10,Paramètres!$A$1:$I$88,3,0)*0.475*44/12</f>
        <v>0</v>
      </c>
      <c r="AW66" s="23">
        <f>EXP(-LN(2)/2)*AW65+(1-EXP(-LN(2)/2))/(LN(2)/2)*AQ66*AT66*VLOOKUP('Données projet'!$B$10,Paramètres!$A$1:$I$88,3,0)*0.475*44/12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67.775332366190781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235.59999999999991</v>
      </c>
      <c r="BE66" s="14">
        <f>BD66*VLOOKUP('Données projet'!$B$11,Paramètres!$A$1:$I$88,3,0)*VLOOKUP('Données projet'!$B$11,Paramètres!$A$1:$I$88,5,0)</f>
        <v>253.59983999999992</v>
      </c>
      <c r="BF66" s="14">
        <f t="shared" si="37"/>
        <v>61.356149837323883</v>
      </c>
      <c r="BG66" s="22">
        <f t="shared" si="7"/>
        <v>548.54834896667228</v>
      </c>
      <c r="BH66" s="62">
        <f t="shared" si="8"/>
        <v>833.7245676427051</v>
      </c>
      <c r="BI66" s="62">
        <f ca="1">AVERAGE(OFFSET($BH$3,0,0,'Données projet'!$E$11+1,1))-AVERAGE(OFFSET($H$3,0,0,'Données projet'!$E$11+1,1))</f>
        <v>514.86487884889584</v>
      </c>
      <c r="BJ66" s="62">
        <f t="shared" si="38"/>
        <v>272.4206208356191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projet'!$B$11,Paramètres!$A$1:$I$88,3,0)*0.475*44/12</f>
        <v>0</v>
      </c>
      <c r="BQ66" s="23">
        <f>EXP(-LN(2)/25)*BQ65+(1-EXP(-LN(2)/25))/(LN(2)/25)*Calculateur!BL66*Calculateur!BN66*VLOOKUP('Données projet'!$B$11,Paramètres!$A$1:$I$88,3,0)*0.475*44/12</f>
        <v>0</v>
      </c>
      <c r="BR66" s="23">
        <f>EXP(-LN(2)/2)*BR65+(1-EXP(-LN(2)/2))/(LN(2)/2)*BL66*BO66*VLOOKUP('Données projet'!$B$11,Paramètres!$A$1:$I$88,3,0)*0.475*44/12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67.775332366190781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4.4000000000000004</v>
      </c>
      <c r="BY66" s="13">
        <f>IF('Données projet'!$A$114&gt;35,BY65+BX66-CG65,IF(A66&lt;'Données projet'!$A$114,$BV$205^A66,IF(A66='Données projet'!$A$114,'Données projet'!$B$114,BY65+BX66-CG65)))</f>
        <v>246.19999999999987</v>
      </c>
      <c r="BZ66" s="14">
        <f>BY66*VLOOKUP('Données projet'!$B$12,Paramètres!$A$1:$I$88,3,0)*VLOOKUP('Données projet'!$B$12,Paramètres!$A$1:$I$88,5,0)</f>
        <v>161.31023999999991</v>
      </c>
      <c r="CA66" s="14">
        <f t="shared" si="39"/>
        <v>41.137903274661063</v>
      </c>
      <c r="CB66" s="22">
        <f t="shared" si="10"/>
        <v>352.59718287003449</v>
      </c>
      <c r="CC66" s="62">
        <f t="shared" si="11"/>
        <v>637.77340154606736</v>
      </c>
      <c r="CD66" s="62">
        <f ca="1">AVERAGE(OFFSET($CC$3,0,0,'Données projet'!$E$12+1,1))-AVERAGE(OFFSET($H$3,0,0,'Données projet'!$E$12+1,1))</f>
        <v>270.10151451661864</v>
      </c>
      <c r="CE66" s="62">
        <f t="shared" si="40"/>
        <v>294.47934482366804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projet'!$B$12,Paramètres!$A$1:$I$88,3,0)*0.475*44/12</f>
        <v>0</v>
      </c>
      <c r="CL66" s="23">
        <f>EXP(-LN(2)/25)*CL65+(1-EXP(-LN(2)/25))/(LN(2)/25)*Calculateur!CG66*Calculateur!CI66*VLOOKUP('Données projet'!$B$12,Paramètres!$A$1:$I$88,3,0)*0.475*44/12</f>
        <v>0</v>
      </c>
      <c r="CM66" s="23">
        <f>EXP(-LN(2)/2)*CM65+(1-EXP(-LN(2)/2))/(LN(2)/2)*CG66*CJ66*VLOOKUP('Données projet'!$B$12,Paramètres!$A$1:$I$88,3,0)*0.475*44/12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67.775332366190781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4.4000000000000004</v>
      </c>
      <c r="CT66" s="13">
        <f>IF('Données projet'!$A$140&gt;35,CT65+CS66-DB65,IF(A66&lt;'Données projet'!$A$140,$CQ$205^A66,IF(A66='Données projet'!$A$140,'Données projet'!$B$140,CT65+CS66-DB65)))</f>
        <v>246.19999999999987</v>
      </c>
      <c r="CU66" s="18">
        <f>CT66*VLOOKUP('Données projet'!$B$13,Paramètres!$A$1:$I$88,3,0)*VLOOKUP('Données projet'!$B$13,Paramètres!$A$1:$I$88,5,0)</f>
        <v>161.31023999999991</v>
      </c>
      <c r="CV66" s="14">
        <f t="shared" si="41"/>
        <v>41.137903274661063</v>
      </c>
      <c r="CW66" s="22">
        <f t="shared" si="13"/>
        <v>352.59718287003449</v>
      </c>
      <c r="CX66" s="62">
        <f t="shared" si="14"/>
        <v>637.77340154606736</v>
      </c>
      <c r="CY66" s="62">
        <f ca="1">AVERAGE(OFFSET($CX$3,0,0,'Données projet'!$E$13+1,1))-AVERAGE(OFFSET($H$3,0,0,'Données projet'!$E$13+1,1))</f>
        <v>270.10151451661864</v>
      </c>
      <c r="CZ66" s="62">
        <f t="shared" si="42"/>
        <v>294.47934482366804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projet'!$B$13,Paramètres!$A$1:$I$88,3,0)*0.475*44/12</f>
        <v>0</v>
      </c>
      <c r="DG66" s="23">
        <f>EXP(-LN(2)/25)*DG65+(1-EXP(-LN(2)/25))/(LN(2)/25)*Calculateur!DB66*Calculateur!DD66*VLOOKUP('Données projet'!$B$13,Paramètres!$A$1:$I$88,3,0)*0.475*44/12</f>
        <v>0</v>
      </c>
      <c r="DH66" s="23">
        <f>EXP(-LN(2)/2)*DH65+(1-EXP(-LN(2)/2))/(LN(2)/2)*DB66*DE66*VLOOKUP('Données projet'!$B$13,Paramètres!$A$1:$I$88,3,0)*0.475*44/12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67.775332366190781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projet'!$B$14,Paramètres!$A$1:$I$88,3,0)*0.475*44/12</f>
        <v>#N/A</v>
      </c>
      <c r="EB66" s="23" t="e">
        <f>EXP(-LN(2)/25)*EB65+(1-EXP(-LN(2)/25))/(LN(2)/25)*Calculateur!DW66*Calculateur!DY66*VLOOKUP('Données projet'!$B$14,Paramètres!$A$1:$I$88,3,0)*0.475*44/12</f>
        <v>#N/A</v>
      </c>
      <c r="EC66" s="23" t="e">
        <f>EXP(-LN(2)/2)*EC65+(1-EXP(-LN(2)/2))/(LN(2)/2)*DW66*DZ66*VLOOKUP('Données projet'!$B$14,Paramètres!$A$1:$I$88,3,0)*0.475*44/12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67.775332366190781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67.775332366190781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67.775332366190781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67.775332366190781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1.34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4.9133333333333331</v>
      </c>
      <c r="H67" s="70">
        <f t="shared" si="1"/>
        <v>237.01333333333332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67.813925376025637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242.7999999999999</v>
      </c>
      <c r="O67" s="14">
        <f>N67*VLOOKUP('Données projet'!$B$9,Paramètres!$A$1:$I$88,3,0)*VLOOKUP('Données projet'!$B$9,Paramètres!$A$1:$I$88,5,0)</f>
        <v>246.19919999999991</v>
      </c>
      <c r="P67" s="14">
        <f t="shared" si="33"/>
        <v>59.77133248344078</v>
      </c>
      <c r="Q67" s="22">
        <f t="shared" ref="Q67:Q98" si="54">(O67+P67)*0.475*44/12</f>
        <v>532.89867740865918</v>
      </c>
      <c r="R67" s="62">
        <f t="shared" ref="R67:R130" si="55">Q67+(I67+J67)*44/12</f>
        <v>818.21640378741984</v>
      </c>
      <c r="S67" s="62">
        <f ca="1">AVERAGE(OFFSET($R$3,0,0,'Données projet'!$E$9+1,1))-AVERAGE(OFFSET($H$3,0,0,'Données projet'!$E$9+1,1))</f>
        <v>488.16146816015231</v>
      </c>
      <c r="T67" s="62">
        <f t="shared" si="34"/>
        <v>259.37115195552127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0</v>
      </c>
      <c r="AA67" s="23">
        <f>EXP(-LN(2)/25)*AA66+(1-EXP(-LN(2)/25))/(LN(2)/25)*Calculateur!V67*Calculateur!X67*VLOOKUP('Données projet'!$B$9,Paramètres!$A$1:$I$88,3,0)*0.475*44/12</f>
        <v>0</v>
      </c>
      <c r="AB67" s="23">
        <f>EXP(-LN(2)/2)*AB66+(1-EXP(-LN(2)/2))/(LN(2)/2)*V67*Y67*VLOOKUP('Données projet'!$B$9,Paramètres!$A$1:$I$88,3,0)*0.475*44/12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67.813925376025637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242.7999999999999</v>
      </c>
      <c r="AJ67" s="14">
        <f>AI67*VLOOKUP('Données projet'!$B$10,Paramètres!$A$1:$I$88,3,0)*VLOOKUP('Données projet'!$B$10,Paramètres!$A$1:$I$88,5,0)</f>
        <v>219.68543999999989</v>
      </c>
      <c r="AK67" s="14">
        <f t="shared" si="35"/>
        <v>54.046511966469559</v>
      </c>
      <c r="AL67" s="22">
        <f t="shared" si="4"/>
        <v>476.74981634160099</v>
      </c>
      <c r="AM67" s="62">
        <f t="shared" si="5"/>
        <v>762.06754272036164</v>
      </c>
      <c r="AN67" s="62">
        <f ca="1">AVERAGE(OFFSET($AM$3,0,0,'Données projet'!$E$10+1,1))-AVERAGE(OFFSET($H$3,0,0,'Données projet'!$E$10+1,1))</f>
        <v>441.34749554136755</v>
      </c>
      <c r="AO67" s="62">
        <f t="shared" si="36"/>
        <v>236.49038586666222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0</v>
      </c>
      <c r="AV67" s="23">
        <f>EXP(-LN(2)/25)*AV66+(1-EXP(-LN(2)/25))/(LN(2)/25)*Calculateur!AQ67*Calculateur!AS67*VLOOKUP('Données projet'!$B$10,Paramètres!$A$1:$I$88,3,0)*0.475*44/12</f>
        <v>0</v>
      </c>
      <c r="AW67" s="23">
        <f>EXP(-LN(2)/2)*AW66+(1-EXP(-LN(2)/2))/(LN(2)/2)*AQ67*AT67*VLOOKUP('Données projet'!$B$10,Paramètres!$A$1:$I$88,3,0)*0.475*44/12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67.813925376025637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242.7999999999999</v>
      </c>
      <c r="BE67" s="14">
        <f>BD67*VLOOKUP('Données projet'!$B$11,Paramètres!$A$1:$I$88,3,0)*VLOOKUP('Données projet'!$B$11,Paramètres!$A$1:$I$88,5,0)</f>
        <v>261.34991999999988</v>
      </c>
      <c r="BF67" s="14">
        <f t="shared" si="37"/>
        <v>63.010039566000117</v>
      </c>
      <c r="BG67" s="22">
        <f t="shared" si="7"/>
        <v>564.92692957744998</v>
      </c>
      <c r="BH67" s="62">
        <f t="shared" si="8"/>
        <v>850.24465595621064</v>
      </c>
      <c r="BI67" s="62">
        <f ca="1">AVERAGE(OFFSET($BH$3,0,0,'Données projet'!$E$11+1,1))-AVERAGE(OFFSET($H$3,0,0,'Données projet'!$E$11+1,1))</f>
        <v>514.86487884889584</v>
      </c>
      <c r="BJ67" s="62">
        <f t="shared" si="38"/>
        <v>272.4206208356191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projet'!$B$11,Paramètres!$A$1:$I$88,3,0)*0.475*44/12</f>
        <v>0</v>
      </c>
      <c r="BQ67" s="23">
        <f>EXP(-LN(2)/25)*BQ66+(1-EXP(-LN(2)/25))/(LN(2)/25)*Calculateur!BL67*Calculateur!BN67*VLOOKUP('Données projet'!$B$11,Paramètres!$A$1:$I$88,3,0)*0.475*44/12</f>
        <v>0</v>
      </c>
      <c r="BR67" s="23">
        <f>EXP(-LN(2)/2)*BR66+(1-EXP(-LN(2)/2))/(LN(2)/2)*BL67*BO67*VLOOKUP('Données projet'!$B$11,Paramètres!$A$1:$I$88,3,0)*0.475*44/12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67.813925376025637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4.4000000000000004</v>
      </c>
      <c r="BY67" s="13">
        <f>IF('Données projet'!$A$114&gt;35,BY66+BX67-CG66,IF(A67&lt;'Données projet'!$A$114,$BV$205^A67,IF(A67='Données projet'!$A$114,'Données projet'!$B$114,BY66+BX67-CG66)))</f>
        <v>250.59999999999988</v>
      </c>
      <c r="BZ67" s="14">
        <f>BY67*VLOOKUP('Données projet'!$B$12,Paramètres!$A$1:$I$88,3,0)*VLOOKUP('Données projet'!$B$12,Paramètres!$A$1:$I$88,5,0)</f>
        <v>164.19311999999994</v>
      </c>
      <c r="CA67" s="14">
        <f t="shared" si="39"/>
        <v>41.786856670339013</v>
      </c>
      <c r="CB67" s="22">
        <f t="shared" si="10"/>
        <v>358.748459367507</v>
      </c>
      <c r="CC67" s="62">
        <f t="shared" si="11"/>
        <v>644.06618574626759</v>
      </c>
      <c r="CD67" s="62">
        <f ca="1">AVERAGE(OFFSET($CC$3,0,0,'Données projet'!$E$12+1,1))-AVERAGE(OFFSET($H$3,0,0,'Données projet'!$E$12+1,1))</f>
        <v>270.10151451661864</v>
      </c>
      <c r="CE67" s="62">
        <f t="shared" si="40"/>
        <v>294.47934482366804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projet'!$B$12,Paramètres!$A$1:$I$88,3,0)*0.475*44/12</f>
        <v>0</v>
      </c>
      <c r="CL67" s="23">
        <f>EXP(-LN(2)/25)*CL66+(1-EXP(-LN(2)/25))/(LN(2)/25)*Calculateur!CG67*Calculateur!CI67*VLOOKUP('Données projet'!$B$12,Paramètres!$A$1:$I$88,3,0)*0.475*44/12</f>
        <v>0</v>
      </c>
      <c r="CM67" s="23">
        <f>EXP(-LN(2)/2)*CM66+(1-EXP(-LN(2)/2))/(LN(2)/2)*CG67*CJ67*VLOOKUP('Données projet'!$B$12,Paramètres!$A$1:$I$88,3,0)*0.475*44/12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67.813925376025637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4.4000000000000004</v>
      </c>
      <c r="CT67" s="13">
        <f>IF('Données projet'!$A$140&gt;35,CT66+CS67-DB66,IF(A67&lt;'Données projet'!$A$140,$CQ$205^A67,IF(A67='Données projet'!$A$140,'Données projet'!$B$140,CT66+CS67-DB66)))</f>
        <v>250.59999999999988</v>
      </c>
      <c r="CU67" s="18">
        <f>CT67*VLOOKUP('Données projet'!$B$13,Paramètres!$A$1:$I$88,3,0)*VLOOKUP('Données projet'!$B$13,Paramètres!$A$1:$I$88,5,0)</f>
        <v>164.19311999999994</v>
      </c>
      <c r="CV67" s="14">
        <f t="shared" si="41"/>
        <v>41.786856670339013</v>
      </c>
      <c r="CW67" s="22">
        <f t="shared" si="13"/>
        <v>358.748459367507</v>
      </c>
      <c r="CX67" s="62">
        <f t="shared" si="14"/>
        <v>644.06618574626759</v>
      </c>
      <c r="CY67" s="62">
        <f ca="1">AVERAGE(OFFSET($CX$3,0,0,'Données projet'!$E$13+1,1))-AVERAGE(OFFSET($H$3,0,0,'Données projet'!$E$13+1,1))</f>
        <v>270.10151451661864</v>
      </c>
      <c r="CZ67" s="62">
        <f t="shared" si="42"/>
        <v>294.47934482366804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projet'!$B$13,Paramètres!$A$1:$I$88,3,0)*0.475*44/12</f>
        <v>0</v>
      </c>
      <c r="DG67" s="23">
        <f>EXP(-LN(2)/25)*DG66+(1-EXP(-LN(2)/25))/(LN(2)/25)*Calculateur!DB67*Calculateur!DD67*VLOOKUP('Données projet'!$B$13,Paramètres!$A$1:$I$88,3,0)*0.475*44/12</f>
        <v>0</v>
      </c>
      <c r="DH67" s="23">
        <f>EXP(-LN(2)/2)*DH66+(1-EXP(-LN(2)/2))/(LN(2)/2)*DB67*DE67*VLOOKUP('Données projet'!$B$13,Paramètres!$A$1:$I$88,3,0)*0.475*44/12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67.813925376025637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projet'!$B$14,Paramètres!$A$1:$I$88,3,0)*0.475*44/12</f>
        <v>#N/A</v>
      </c>
      <c r="EB67" s="23" t="e">
        <f>EXP(-LN(2)/25)*EB66+(1-EXP(-LN(2)/25))/(LN(2)/25)*Calculateur!DW67*Calculateur!DY67*VLOOKUP('Données projet'!$B$14,Paramètres!$A$1:$I$88,3,0)*0.475*44/12</f>
        <v>#N/A</v>
      </c>
      <c r="EC67" s="23" t="e">
        <f>EXP(-LN(2)/2)*EC66+(1-EXP(-LN(2)/2))/(LN(2)/2)*DW67*DZ67*VLOOKUP('Données projet'!$B$14,Paramètres!$A$1:$I$88,3,0)*0.475*44/12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67.813925376025637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67.813925376025637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67.813925376025637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67.813925376025637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1.34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4.9133333333333331</v>
      </c>
      <c r="H68" s="70">
        <f t="shared" ref="H68:H131" si="56">(B68+E68+F68)*44/12+(C68+D68)*0.475*44/12</f>
        <v>237.01333333333332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67.851848883420914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250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249.99999999999989</v>
      </c>
      <c r="O68" s="14">
        <f>N68*VLOOKUP('Données projet'!$B$9,Paramètres!$A$1:$I$88,3,0)*VLOOKUP('Données projet'!$B$9,Paramètres!$A$1:$I$88,5,0)</f>
        <v>253.49999999999991</v>
      </c>
      <c r="P68" s="14">
        <f t="shared" si="33"/>
        <v>61.334805663162498</v>
      </c>
      <c r="Q68" s="22">
        <f t="shared" si="54"/>
        <v>548.33728653000776</v>
      </c>
      <c r="R68" s="62">
        <f t="shared" si="55"/>
        <v>833.7940657692177</v>
      </c>
      <c r="S68" s="62">
        <f ca="1">AVERAGE(OFFSET($R$3,0,0,'Données projet'!$E$9+1,1))-AVERAGE(OFFSET($H$3,0,0,'Données projet'!$E$9+1,1))</f>
        <v>488.16146816015231</v>
      </c>
      <c r="T68" s="62">
        <f t="shared" si="34"/>
        <v>259.37115195552127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42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0</v>
      </c>
      <c r="AA68" s="23">
        <f>EXP(-LN(2)/25)*AA67+(1-EXP(-LN(2)/25))/(LN(2)/25)*Calculateur!V68*Calculateur!X68*VLOOKUP('Données projet'!$B$9,Paramètres!$A$1:$I$88,3,0)*0.475*44/12</f>
        <v>0</v>
      </c>
      <c r="AB68" s="23">
        <f>EXP(-LN(2)/2)*AB67+(1-EXP(-LN(2)/2))/(LN(2)/2)*V68*Y68*VLOOKUP('Données projet'!$B$9,Paramètres!$A$1:$I$88,3,0)*0.475*44/12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67.851848883420914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250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249.99999999999989</v>
      </c>
      <c r="AJ68" s="14">
        <f>AI68*VLOOKUP('Données projet'!$B$10,Paramètres!$A$1:$I$88,3,0)*VLOOKUP('Données projet'!$B$10,Paramètres!$A$1:$I$88,5,0)</f>
        <v>226.19999999999987</v>
      </c>
      <c r="AK68" s="14">
        <f t="shared" si="35"/>
        <v>55.460237717698107</v>
      </c>
      <c r="AL68" s="22">
        <f t="shared" ref="AL68:AL131" si="58">(AJ68+AK68)*0.475*44/12</f>
        <v>490.55824735832402</v>
      </c>
      <c r="AM68" s="62">
        <f t="shared" ref="AM68:AM131" si="59">AL68+(AD68+AE68)*44/12</f>
        <v>776.01502659753396</v>
      </c>
      <c r="AN68" s="62">
        <f ca="1">AVERAGE(OFFSET($AM$3,0,0,'Données projet'!$E$10+1,1))-AVERAGE(OFFSET($H$3,0,0,'Données projet'!$E$10+1,1))</f>
        <v>441.34749554136755</v>
      </c>
      <c r="AO68" s="62">
        <f t="shared" si="36"/>
        <v>236.49038586666222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42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0</v>
      </c>
      <c r="AV68" s="23">
        <f>EXP(-LN(2)/25)*AV67+(1-EXP(-LN(2)/25))/(LN(2)/25)*Calculateur!AQ68*Calculateur!AS68*VLOOKUP('Données projet'!$B$10,Paramètres!$A$1:$I$88,3,0)*0.475*44/12</f>
        <v>0</v>
      </c>
      <c r="AW68" s="23">
        <f>EXP(-LN(2)/2)*AW67+(1-EXP(-LN(2)/2))/(LN(2)/2)*AQ68*AT68*VLOOKUP('Données projet'!$B$10,Paramètres!$A$1:$I$88,3,0)*0.475*44/12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67.851848883420914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250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249.99999999999989</v>
      </c>
      <c r="BE68" s="14">
        <f>BD68*VLOOKUP('Données projet'!$B$11,Paramètres!$A$1:$I$88,3,0)*VLOOKUP('Données projet'!$B$11,Paramètres!$A$1:$I$88,5,0)</f>
        <v>269.09999999999985</v>
      </c>
      <c r="BF68" s="14">
        <f t="shared" si="37"/>
        <v>64.658229472790936</v>
      </c>
      <c r="BG68" s="22">
        <f t="shared" ref="BG68:BG131" si="61">(BE68+BF68)*0.475*44/12</f>
        <v>581.29558299844393</v>
      </c>
      <c r="BH68" s="62">
        <f t="shared" ref="BH68:BH131" si="62">BG68+(AY68+AZ68)*44/12</f>
        <v>866.75236223765387</v>
      </c>
      <c r="BI68" s="62">
        <f ca="1">AVERAGE(OFFSET($BH$3,0,0,'Données projet'!$E$11+1,1))-AVERAGE(OFFSET($H$3,0,0,'Données projet'!$E$11+1,1))</f>
        <v>514.86487884889584</v>
      </c>
      <c r="BJ68" s="62">
        <f t="shared" si="38"/>
        <v>272.4206208356191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42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projet'!$B$11,Paramètres!$A$1:$I$88,3,0)*0.475*44/12</f>
        <v>0</v>
      </c>
      <c r="BQ68" s="23">
        <f>EXP(-LN(2)/25)*BQ67+(1-EXP(-LN(2)/25))/(LN(2)/25)*Calculateur!BL68*Calculateur!BN68*VLOOKUP('Données projet'!$B$11,Paramètres!$A$1:$I$88,3,0)*0.475*44/12</f>
        <v>0</v>
      </c>
      <c r="BR68" s="23">
        <f>EXP(-LN(2)/2)*BR67+(1-EXP(-LN(2)/2))/(LN(2)/2)*BL68*BO68*VLOOKUP('Données projet'!$B$11,Paramètres!$A$1:$I$88,3,0)*0.475*44/12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67.851848883420914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255</v>
      </c>
      <c r="BW68" s="13">
        <f>VLOOKUP(A68,'Données projet'!$A$113:$I$133,9,0)</f>
        <v>4.4000000000000004</v>
      </c>
      <c r="BX68" s="13">
        <f t="array" ref="BX68">INDEX(BW:BW,MIN(IF(ISNUMBER(BW68:BW264),ROW(BW68:BW264),"")))</f>
        <v>4.4000000000000004</v>
      </c>
      <c r="BY68" s="13">
        <f>IF('Données projet'!$A$114&gt;35,BY67+BX68-CG67,IF(A68&lt;'Données projet'!$A$114,$BV$205^A68,IF(A68='Données projet'!$A$114,'Données projet'!$B$114,BY67+BX68-CG67)))</f>
        <v>254.99999999999989</v>
      </c>
      <c r="BZ68" s="14">
        <f>BY68*VLOOKUP('Données projet'!$B$12,Paramètres!$A$1:$I$88,3,0)*VLOOKUP('Données projet'!$B$12,Paramètres!$A$1:$I$88,5,0)</f>
        <v>167.07599999999994</v>
      </c>
      <c r="CA68" s="14">
        <f t="shared" si="39"/>
        <v>42.434485059621636</v>
      </c>
      <c r="CB68" s="22">
        <f t="shared" ref="CB68:CB131" si="64">(BZ68+CA68)*0.475*44/12</f>
        <v>364.89742814550755</v>
      </c>
      <c r="CC68" s="62">
        <f t="shared" ref="CC68:CC131" si="65">CB68+(BT68+BU68)*44/12</f>
        <v>650.35420738471748</v>
      </c>
      <c r="CD68" s="62">
        <f ca="1">AVERAGE(OFFSET($CC$3,0,0,'Données projet'!$E$12+1,1))-AVERAGE(OFFSET($H$3,0,0,'Données projet'!$E$12+1,1))</f>
        <v>270.10151451661864</v>
      </c>
      <c r="CE68" s="62">
        <f t="shared" si="40"/>
        <v>294.47934482366804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projet'!$B$12,Paramètres!$A$1:$I$88,3,0)*0.475*44/12</f>
        <v>0</v>
      </c>
      <c r="CL68" s="23">
        <f>EXP(-LN(2)/25)*CL67+(1-EXP(-LN(2)/25))/(LN(2)/25)*Calculateur!CG68*Calculateur!CI68*VLOOKUP('Données projet'!$B$12,Paramètres!$A$1:$I$88,3,0)*0.475*44/12</f>
        <v>0</v>
      </c>
      <c r="CM68" s="23">
        <f>EXP(-LN(2)/2)*CM67+(1-EXP(-LN(2)/2))/(LN(2)/2)*CG68*CJ68*VLOOKUP('Données projet'!$B$12,Paramètres!$A$1:$I$88,3,0)*0.475*44/12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67.851848883420914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255</v>
      </c>
      <c r="CR68" s="13">
        <f>VLOOKUP(A68,'Données projet'!$A$139:$I$159,9,0)</f>
        <v>4.4000000000000004</v>
      </c>
      <c r="CS68" s="13">
        <f t="array" ref="CS68">INDEX(CR:CR,MIN(IF(ISNUMBER(CR68:CR264),ROW(CR68:CR264),"")))</f>
        <v>4.4000000000000004</v>
      </c>
      <c r="CT68" s="13">
        <f>IF('Données projet'!$A$140&gt;35,CT67+CS68-DB67,IF(A68&lt;'Données projet'!$A$140,$CQ$205^A68,IF(A68='Données projet'!$A$140,'Données projet'!$B$140,CT67+CS68-DB67)))</f>
        <v>254.99999999999989</v>
      </c>
      <c r="CU68" s="18">
        <f>CT68*VLOOKUP('Données projet'!$B$13,Paramètres!$A$1:$I$88,3,0)*VLOOKUP('Données projet'!$B$13,Paramètres!$A$1:$I$88,5,0)</f>
        <v>167.07599999999994</v>
      </c>
      <c r="CV68" s="14">
        <f t="shared" si="41"/>
        <v>42.434485059621636</v>
      </c>
      <c r="CW68" s="22">
        <f t="shared" ref="CW68:CW131" si="67">(CU68+CV68)*0.475*44/12</f>
        <v>364.89742814550755</v>
      </c>
      <c r="CX68" s="62">
        <f t="shared" ref="CX68:CX131" si="68">CW68+(CO68+CP68)*44/12</f>
        <v>650.35420738471748</v>
      </c>
      <c r="CY68" s="62">
        <f ca="1">AVERAGE(OFFSET($CX$3,0,0,'Données projet'!$E$13+1,1))-AVERAGE(OFFSET($H$3,0,0,'Données projet'!$E$13+1,1))</f>
        <v>270.10151451661864</v>
      </c>
      <c r="CZ68" s="62">
        <f t="shared" si="42"/>
        <v>294.47934482366804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projet'!$B$13,Paramètres!$A$1:$I$88,3,0)*0.475*44/12</f>
        <v>0</v>
      </c>
      <c r="DG68" s="23">
        <f>EXP(-LN(2)/25)*DG67+(1-EXP(-LN(2)/25))/(LN(2)/25)*Calculateur!DB68*Calculateur!DD68*VLOOKUP('Données projet'!$B$13,Paramètres!$A$1:$I$88,3,0)*0.475*44/12</f>
        <v>0</v>
      </c>
      <c r="DH68" s="23">
        <f>EXP(-LN(2)/2)*DH67+(1-EXP(-LN(2)/2))/(LN(2)/2)*DB68*DE68*VLOOKUP('Données projet'!$B$13,Paramètres!$A$1:$I$88,3,0)*0.475*44/12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67.851848883420914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projet'!$B$14,Paramètres!$A$1:$I$88,3,0)*0.475*44/12</f>
        <v>#N/A</v>
      </c>
      <c r="EB68" s="23" t="e">
        <f>EXP(-LN(2)/25)*EB67+(1-EXP(-LN(2)/25))/(LN(2)/25)*Calculateur!DW68*Calculateur!DY68*VLOOKUP('Données projet'!$B$14,Paramètres!$A$1:$I$88,3,0)*0.475*44/12</f>
        <v>#N/A</v>
      </c>
      <c r="EC68" s="23" t="e">
        <f>EXP(-LN(2)/2)*EC67+(1-EXP(-LN(2)/2))/(LN(2)/2)*DW68*DZ68*VLOOKUP('Données projet'!$B$14,Paramètres!$A$1:$I$88,3,0)*0.475*44/12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67.851848883420914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67.851848883420914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67.851848883420914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67.851848883420914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1.34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4.9133333333333331</v>
      </c>
      <c r="H69" s="70">
        <f t="shared" si="56"/>
        <v>237.01333333333332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67.889114502747134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</v>
      </c>
      <c r="O69" s="14">
        <f>N69*VLOOKUP('Données projet'!$B$9,Paramètres!$A$1:$I$88,3,0)*VLOOKUP('Données projet'!$B$9,Paramètres!$A$1:$I$88,5,0)</f>
        <v>217.80719999999994</v>
      </c>
      <c r="P69" s="14">
        <f t="shared" ref="P69:P132" si="87">EXP(-1.0587+0.8836*LN(O69)+0.284)</f>
        <v>53.638013973813976</v>
      </c>
      <c r="Q69" s="22">
        <f t="shared" si="54"/>
        <v>472.76708100439259</v>
      </c>
      <c r="R69" s="62">
        <f t="shared" si="55"/>
        <v>758.36050084779868</v>
      </c>
      <c r="S69" s="62">
        <f ca="1">AVERAGE(OFFSET($R$3,0,0,'Données projet'!$E$9+1,1))-AVERAGE(OFFSET($H$3,0,0,'Données projet'!$E$9+1,1))</f>
        <v>488.16146816015231</v>
      </c>
      <c r="T69" s="62">
        <f t="shared" ref="T69:T132" si="88">$T$3</f>
        <v>259.37115195552127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0</v>
      </c>
      <c r="AA69" s="23">
        <f>EXP(-LN(2)/25)*AA68+(1-EXP(-LN(2)/25))/(LN(2)/25)*Calculateur!V69*Calculateur!X69*VLOOKUP('Données projet'!$B$9,Paramètres!$A$1:$I$88,3,0)*0.475*44/12</f>
        <v>0</v>
      </c>
      <c r="AB69" s="23">
        <f>EXP(-LN(2)/2)*AB68+(1-EXP(-LN(2)/2))/(LN(2)/2)*V69*Y69*VLOOKUP('Données projet'!$B$9,Paramètres!$A$1:$I$88,3,0)*0.475*44/12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67.889114502747134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214.7999999999999</v>
      </c>
      <c r="AJ69" s="14">
        <f>AI69*VLOOKUP('Données projet'!$B$10,Paramètres!$A$1:$I$88,3,0)*VLOOKUP('Données projet'!$B$10,Paramètres!$A$1:$I$88,5,0)</f>
        <v>194.3510399999999</v>
      </c>
      <c r="AK69" s="14">
        <f t="shared" ref="AK69:AK132" si="89">EXP(-1.0587+0.8836*LN(AJ69)+0.284)</f>
        <v>48.500634729810116</v>
      </c>
      <c r="AL69" s="22">
        <f t="shared" si="58"/>
        <v>422.96666682108577</v>
      </c>
      <c r="AM69" s="62">
        <f t="shared" si="59"/>
        <v>708.56008666449191</v>
      </c>
      <c r="AN69" s="62">
        <f ca="1">AVERAGE(OFFSET($AM$3,0,0,'Données projet'!$E$10+1,1))-AVERAGE(OFFSET($H$3,0,0,'Données projet'!$E$10+1,1))</f>
        <v>441.34749554136755</v>
      </c>
      <c r="AO69" s="62">
        <f t="shared" ref="AO69:AO132" si="90">$AO$3</f>
        <v>236.49038586666222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0</v>
      </c>
      <c r="AV69" s="23">
        <f>EXP(-LN(2)/25)*AV68+(1-EXP(-LN(2)/25))/(LN(2)/25)*Calculateur!AQ69*Calculateur!AS69*VLOOKUP('Données projet'!$B$10,Paramètres!$A$1:$I$88,3,0)*0.475*44/12</f>
        <v>0</v>
      </c>
      <c r="AW69" s="23">
        <f>EXP(-LN(2)/2)*AW68+(1-EXP(-LN(2)/2))/(LN(2)/2)*AQ69*AT69*VLOOKUP('Données projet'!$B$10,Paramètres!$A$1:$I$88,3,0)*0.475*44/12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67.889114502747134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214.7999999999999</v>
      </c>
      <c r="BE69" s="14">
        <f>BD69*VLOOKUP('Données projet'!$B$11,Paramètres!$A$1:$I$88,3,0)*VLOOKUP('Données projet'!$B$11,Paramètres!$A$1:$I$88,5,0)</f>
        <v>231.21071999999987</v>
      </c>
      <c r="BF69" s="14">
        <f t="shared" ref="BF69:BF132" si="91">EXP(-1.0587+0.8836*LN(BE69)+0.284)</f>
        <v>56.544387456445222</v>
      </c>
      <c r="BG69" s="22">
        <f t="shared" si="61"/>
        <v>501.17347881997517</v>
      </c>
      <c r="BH69" s="62">
        <f t="shared" si="62"/>
        <v>786.76689866338131</v>
      </c>
      <c r="BI69" s="62">
        <f ca="1">AVERAGE(OFFSET($BH$3,0,0,'Données projet'!$E$11+1,1))-AVERAGE(OFFSET($H$3,0,0,'Données projet'!$E$11+1,1))</f>
        <v>514.86487884889584</v>
      </c>
      <c r="BJ69" s="62">
        <f t="shared" ref="BJ69:BJ132" si="92">$BJ$3</f>
        <v>272.4206208356191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projet'!$B$11,Paramètres!$A$1:$I$88,3,0)*0.475*44/12</f>
        <v>0</v>
      </c>
      <c r="BQ69" s="23">
        <f>EXP(-LN(2)/25)*BQ68+(1-EXP(-LN(2)/25))/(LN(2)/25)*Calculateur!BL69*Calculateur!BN69*VLOOKUP('Données projet'!$B$11,Paramètres!$A$1:$I$88,3,0)*0.475*44/12</f>
        <v>0</v>
      </c>
      <c r="BR69" s="23">
        <f>EXP(-LN(2)/2)*BR68+(1-EXP(-LN(2)/2))/(LN(2)/2)*BL69*BO69*VLOOKUP('Données projet'!$B$11,Paramètres!$A$1:$I$88,3,0)*0.475*44/12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67.889114502747134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3.8</v>
      </c>
      <c r="BY69" s="13">
        <f>IF('Données projet'!$A$114&gt;35,BY68+BX69-CG68,IF(A69&lt;'Données projet'!$A$114,$BV$205^A69,IF(A69='Données projet'!$A$114,'Données projet'!$B$114,BY68+BX69-CG68)))</f>
        <v>258.7999999999999</v>
      </c>
      <c r="BZ69" s="14">
        <f>BY69*VLOOKUP('Données projet'!$B$12,Paramètres!$A$1:$I$88,3,0)*VLOOKUP('Données projet'!$B$12,Paramètres!$A$1:$I$88,5,0)</f>
        <v>169.56575999999993</v>
      </c>
      <c r="CA69" s="14">
        <f t="shared" ref="CA69:CA132" si="93">EXP(-1.0587+0.8836*LN(BZ69)+0.284)</f>
        <v>42.992753798524603</v>
      </c>
      <c r="CB69" s="22">
        <f t="shared" si="64"/>
        <v>370.20607819909691</v>
      </c>
      <c r="CC69" s="62">
        <f t="shared" si="65"/>
        <v>655.79949804250305</v>
      </c>
      <c r="CD69" s="62">
        <f ca="1">AVERAGE(OFFSET($CC$3,0,0,'Données projet'!$E$12+1,1))-AVERAGE(OFFSET($H$3,0,0,'Données projet'!$E$12+1,1))</f>
        <v>270.10151451661864</v>
      </c>
      <c r="CE69" s="62">
        <f t="shared" ref="CE69:CE132" si="94">$CE$3</f>
        <v>294.47934482366804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projet'!$B$12,Paramètres!$A$1:$I$88,3,0)*0.475*44/12</f>
        <v>0</v>
      </c>
      <c r="CL69" s="23">
        <f>EXP(-LN(2)/25)*CL68+(1-EXP(-LN(2)/25))/(LN(2)/25)*Calculateur!CG69*Calculateur!CI69*VLOOKUP('Données projet'!$B$12,Paramètres!$A$1:$I$88,3,0)*0.475*44/12</f>
        <v>0</v>
      </c>
      <c r="CM69" s="23">
        <f>EXP(-LN(2)/2)*CM68+(1-EXP(-LN(2)/2))/(LN(2)/2)*CG69*CJ69*VLOOKUP('Données projet'!$B$12,Paramètres!$A$1:$I$88,3,0)*0.475*44/12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67.889114502747134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3.8</v>
      </c>
      <c r="CT69" s="13">
        <f>IF('Données projet'!$A$140&gt;35,CT68+CS69-DB68,IF(A69&lt;'Données projet'!$A$140,$CQ$205^A69,IF(A69='Données projet'!$A$140,'Données projet'!$B$140,CT68+CS69-DB68)))</f>
        <v>258.7999999999999</v>
      </c>
      <c r="CU69" s="18">
        <f>CT69*VLOOKUP('Données projet'!$B$13,Paramètres!$A$1:$I$88,3,0)*VLOOKUP('Données projet'!$B$13,Paramètres!$A$1:$I$88,5,0)</f>
        <v>169.56575999999993</v>
      </c>
      <c r="CV69" s="14">
        <f t="shared" ref="CV69:CV132" si="95">EXP(-1.0587+0.8836*LN(CU69)+0.284)</f>
        <v>42.992753798524603</v>
      </c>
      <c r="CW69" s="22">
        <f t="shared" si="67"/>
        <v>370.20607819909691</v>
      </c>
      <c r="CX69" s="62">
        <f t="shared" si="68"/>
        <v>655.79949804250305</v>
      </c>
      <c r="CY69" s="62">
        <f ca="1">AVERAGE(OFFSET($CX$3,0,0,'Données projet'!$E$13+1,1))-AVERAGE(OFFSET($H$3,0,0,'Données projet'!$E$13+1,1))</f>
        <v>270.10151451661864</v>
      </c>
      <c r="CZ69" s="62">
        <f t="shared" ref="CZ69:CZ132" si="96">$CZ$3</f>
        <v>294.47934482366804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projet'!$B$13,Paramètres!$A$1:$I$88,3,0)*0.475*44/12</f>
        <v>0</v>
      </c>
      <c r="DG69" s="23">
        <f>EXP(-LN(2)/25)*DG68+(1-EXP(-LN(2)/25))/(LN(2)/25)*Calculateur!DB69*Calculateur!DD69*VLOOKUP('Données projet'!$B$13,Paramètres!$A$1:$I$88,3,0)*0.475*44/12</f>
        <v>0</v>
      </c>
      <c r="DH69" s="23">
        <f>EXP(-LN(2)/2)*DH68+(1-EXP(-LN(2)/2))/(LN(2)/2)*DB69*DE69*VLOOKUP('Données projet'!$B$13,Paramètres!$A$1:$I$88,3,0)*0.475*44/12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67.889114502747134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projet'!$B$14,Paramètres!$A$1:$I$88,3,0)*0.475*44/12</f>
        <v>#N/A</v>
      </c>
      <c r="EB69" s="23" t="e">
        <f>EXP(-LN(2)/25)*EB68+(1-EXP(-LN(2)/25))/(LN(2)/25)*Calculateur!DW69*Calculateur!DY69*VLOOKUP('Données projet'!$B$14,Paramètres!$A$1:$I$88,3,0)*0.475*44/12</f>
        <v>#N/A</v>
      </c>
      <c r="EC69" s="23" t="e">
        <f>EXP(-LN(2)/2)*EC68+(1-EXP(-LN(2)/2))/(LN(2)/2)*DW69*DZ69*VLOOKUP('Données projet'!$B$14,Paramètres!$A$1:$I$88,3,0)*0.475*44/12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67.889114502747134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67.889114502747134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67.889114502747134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67.889114502747134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1.34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4.9133333333333331</v>
      </c>
      <c r="H70" s="70">
        <f t="shared" si="56"/>
        <v>237.01333333333332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67.925733646891487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221.59999999999991</v>
      </c>
      <c r="O70" s="14">
        <f>N70*VLOOKUP('Données projet'!$B$9,Paramètres!$A$1:$I$88,3,0)*VLOOKUP('Données projet'!$B$9,Paramètres!$A$1:$I$88,5,0)</f>
        <v>224.7023999999999</v>
      </c>
      <c r="P70" s="14">
        <f t="shared" si="87"/>
        <v>55.135667706678262</v>
      </c>
      <c r="Q70" s="22">
        <f t="shared" si="54"/>
        <v>487.38463458913111</v>
      </c>
      <c r="R70" s="62">
        <f t="shared" si="55"/>
        <v>773.11232462773319</v>
      </c>
      <c r="S70" s="62">
        <f ca="1">AVERAGE(OFFSET($R$3,0,0,'Données projet'!$E$9+1,1))-AVERAGE(OFFSET($H$3,0,0,'Données projet'!$E$9+1,1))</f>
        <v>488.16146816015231</v>
      </c>
      <c r="T70" s="62">
        <f t="shared" si="88"/>
        <v>259.37115195552127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0</v>
      </c>
      <c r="AA70" s="23">
        <f>EXP(-LN(2)/25)*AA69+(1-EXP(-LN(2)/25))/(LN(2)/25)*Calculateur!V70*Calculateur!X70*VLOOKUP('Données projet'!$B$9,Paramètres!$A$1:$I$88,3,0)*0.475*44/12</f>
        <v>0</v>
      </c>
      <c r="AB70" s="23">
        <f>EXP(-LN(2)/2)*AB69+(1-EXP(-LN(2)/2))/(LN(2)/2)*V70*Y70*VLOOKUP('Données projet'!$B$9,Paramètres!$A$1:$I$88,3,0)*0.475*44/12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67.925733646891487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221.59999999999991</v>
      </c>
      <c r="AJ70" s="14">
        <f>AI70*VLOOKUP('Données projet'!$B$10,Paramètres!$A$1:$I$88,3,0)*VLOOKUP('Données projet'!$B$10,Paramètres!$A$1:$I$88,5,0)</f>
        <v>200.50367999999992</v>
      </c>
      <c r="AK70" s="14">
        <f t="shared" si="89"/>
        <v>49.854845135229887</v>
      </c>
      <c r="AL70" s="22">
        <f t="shared" si="58"/>
        <v>436.04109794385857</v>
      </c>
      <c r="AM70" s="62">
        <f t="shared" si="59"/>
        <v>721.76878798246071</v>
      </c>
      <c r="AN70" s="62">
        <f ca="1">AVERAGE(OFFSET($AM$3,0,0,'Données projet'!$E$10+1,1))-AVERAGE(OFFSET($H$3,0,0,'Données projet'!$E$10+1,1))</f>
        <v>441.34749554136755</v>
      </c>
      <c r="AO70" s="62">
        <f t="shared" si="90"/>
        <v>236.49038586666222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0</v>
      </c>
      <c r="AV70" s="23">
        <f>EXP(-LN(2)/25)*AV69+(1-EXP(-LN(2)/25))/(LN(2)/25)*Calculateur!AQ70*Calculateur!AS70*VLOOKUP('Données projet'!$B$10,Paramètres!$A$1:$I$88,3,0)*0.475*44/12</f>
        <v>0</v>
      </c>
      <c r="AW70" s="23">
        <f>EXP(-LN(2)/2)*AW69+(1-EXP(-LN(2)/2))/(LN(2)/2)*AQ70*AT70*VLOOKUP('Données projet'!$B$10,Paramètres!$A$1:$I$88,3,0)*0.475*44/12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67.925733646891487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221.59999999999991</v>
      </c>
      <c r="BE70" s="14">
        <f>BD70*VLOOKUP('Données projet'!$B$11,Paramètres!$A$1:$I$88,3,0)*VLOOKUP('Données projet'!$B$11,Paramètres!$A$1:$I$88,5,0)</f>
        <v>238.53023999999991</v>
      </c>
      <c r="BF70" s="14">
        <f t="shared" si="91"/>
        <v>58.123191492478547</v>
      </c>
      <c r="BG70" s="22">
        <f t="shared" si="61"/>
        <v>516.67139318273325</v>
      </c>
      <c r="BH70" s="62">
        <f t="shared" si="62"/>
        <v>802.39908322133533</v>
      </c>
      <c r="BI70" s="62">
        <f ca="1">AVERAGE(OFFSET($BH$3,0,0,'Données projet'!$E$11+1,1))-AVERAGE(OFFSET($H$3,0,0,'Données projet'!$E$11+1,1))</f>
        <v>514.86487884889584</v>
      </c>
      <c r="BJ70" s="62">
        <f t="shared" si="92"/>
        <v>272.4206208356191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projet'!$B$11,Paramètres!$A$1:$I$88,3,0)*0.475*44/12</f>
        <v>0</v>
      </c>
      <c r="BQ70" s="23">
        <f>EXP(-LN(2)/25)*BQ69+(1-EXP(-LN(2)/25))/(LN(2)/25)*Calculateur!BL70*Calculateur!BN70*VLOOKUP('Données projet'!$B$11,Paramètres!$A$1:$I$88,3,0)*0.475*44/12</f>
        <v>0</v>
      </c>
      <c r="BR70" s="23">
        <f>EXP(-LN(2)/2)*BR69+(1-EXP(-LN(2)/2))/(LN(2)/2)*BL70*BO70*VLOOKUP('Données projet'!$B$11,Paramètres!$A$1:$I$88,3,0)*0.475*44/12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67.925733646891487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3.8</v>
      </c>
      <c r="BY70" s="13">
        <f>IF('Données projet'!$A$114&gt;35,BY69+BX70-CG69,IF(A70&lt;'Données projet'!$A$114,$BV$205^A70,IF(A70='Données projet'!$A$114,'Données projet'!$B$114,BY69+BX70-CG69)))</f>
        <v>262.59999999999991</v>
      </c>
      <c r="BZ70" s="14">
        <f>BY70*VLOOKUP('Données projet'!$B$12,Paramètres!$A$1:$I$88,3,0)*VLOOKUP('Données projet'!$B$12,Paramètres!$A$1:$I$88,5,0)</f>
        <v>172.05551999999994</v>
      </c>
      <c r="CA70" s="14">
        <f t="shared" si="93"/>
        <v>43.550069168402835</v>
      </c>
      <c r="CB70" s="22">
        <f t="shared" si="64"/>
        <v>375.51306780163486</v>
      </c>
      <c r="CC70" s="62">
        <f t="shared" si="65"/>
        <v>661.24075784023694</v>
      </c>
      <c r="CD70" s="62">
        <f ca="1">AVERAGE(OFFSET($CC$3,0,0,'Données projet'!$E$12+1,1))-AVERAGE(OFFSET($H$3,0,0,'Données projet'!$E$12+1,1))</f>
        <v>270.10151451661864</v>
      </c>
      <c r="CE70" s="62">
        <f t="shared" si="94"/>
        <v>294.47934482366804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projet'!$B$12,Paramètres!$A$1:$I$88,3,0)*0.475*44/12</f>
        <v>0</v>
      </c>
      <c r="CL70" s="23">
        <f>EXP(-LN(2)/25)*CL69+(1-EXP(-LN(2)/25))/(LN(2)/25)*Calculateur!CG70*Calculateur!CI70*VLOOKUP('Données projet'!$B$12,Paramètres!$A$1:$I$88,3,0)*0.475*44/12</f>
        <v>0</v>
      </c>
      <c r="CM70" s="23">
        <f>EXP(-LN(2)/2)*CM69+(1-EXP(-LN(2)/2))/(LN(2)/2)*CG70*CJ70*VLOOKUP('Données projet'!$B$12,Paramètres!$A$1:$I$88,3,0)*0.475*44/12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67.925733646891487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3.8</v>
      </c>
      <c r="CT70" s="13">
        <f>IF('Données projet'!$A$140&gt;35,CT69+CS70-DB69,IF(A70&lt;'Données projet'!$A$140,$CQ$205^A70,IF(A70='Données projet'!$A$140,'Données projet'!$B$140,CT69+CS70-DB69)))</f>
        <v>262.59999999999991</v>
      </c>
      <c r="CU70" s="18">
        <f>CT70*VLOOKUP('Données projet'!$B$13,Paramètres!$A$1:$I$88,3,0)*VLOOKUP('Données projet'!$B$13,Paramètres!$A$1:$I$88,5,0)</f>
        <v>172.05551999999994</v>
      </c>
      <c r="CV70" s="14">
        <f t="shared" si="95"/>
        <v>43.550069168402835</v>
      </c>
      <c r="CW70" s="22">
        <f t="shared" si="67"/>
        <v>375.51306780163486</v>
      </c>
      <c r="CX70" s="62">
        <f t="shared" si="68"/>
        <v>661.24075784023694</v>
      </c>
      <c r="CY70" s="62">
        <f ca="1">AVERAGE(OFFSET($CX$3,0,0,'Données projet'!$E$13+1,1))-AVERAGE(OFFSET($H$3,0,0,'Données projet'!$E$13+1,1))</f>
        <v>270.10151451661864</v>
      </c>
      <c r="CZ70" s="62">
        <f t="shared" si="96"/>
        <v>294.47934482366804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projet'!$B$13,Paramètres!$A$1:$I$88,3,0)*0.475*44/12</f>
        <v>0</v>
      </c>
      <c r="DG70" s="23">
        <f>EXP(-LN(2)/25)*DG69+(1-EXP(-LN(2)/25))/(LN(2)/25)*Calculateur!DB70*Calculateur!DD70*VLOOKUP('Données projet'!$B$13,Paramètres!$A$1:$I$88,3,0)*0.475*44/12</f>
        <v>0</v>
      </c>
      <c r="DH70" s="23">
        <f>EXP(-LN(2)/2)*DH69+(1-EXP(-LN(2)/2))/(LN(2)/2)*DB70*DE70*VLOOKUP('Données projet'!$B$13,Paramètres!$A$1:$I$88,3,0)*0.475*44/12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67.925733646891487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projet'!$B$14,Paramètres!$A$1:$I$88,3,0)*0.475*44/12</f>
        <v>#N/A</v>
      </c>
      <c r="EB70" s="23" t="e">
        <f>EXP(-LN(2)/25)*EB69+(1-EXP(-LN(2)/25))/(LN(2)/25)*Calculateur!DW70*Calculateur!DY70*VLOOKUP('Données projet'!$B$14,Paramètres!$A$1:$I$88,3,0)*0.475*44/12</f>
        <v>#N/A</v>
      </c>
      <c r="EC70" s="23" t="e">
        <f>EXP(-LN(2)/2)*EC69+(1-EXP(-LN(2)/2))/(LN(2)/2)*DW70*DZ70*VLOOKUP('Données projet'!$B$14,Paramètres!$A$1:$I$88,3,0)*0.475*44/12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67.925733646891487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67.925733646891487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67.925733646891487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67.925733646891487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1.34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4.9133333333333331</v>
      </c>
      <c r="H71" s="70">
        <f t="shared" si="56"/>
        <v>237.01333333333332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67.961717530753091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228.39999999999992</v>
      </c>
      <c r="O71" s="14">
        <f>N71*VLOOKUP('Données projet'!$B$9,Paramètres!$A$1:$I$88,3,0)*VLOOKUP('Données projet'!$B$9,Paramètres!$A$1:$I$88,5,0)</f>
        <v>231.59759999999994</v>
      </c>
      <c r="P71" s="14">
        <f t="shared" si="87"/>
        <v>56.627980714948151</v>
      </c>
      <c r="Q71" s="22">
        <f t="shared" si="54"/>
        <v>501.99288641186786</v>
      </c>
      <c r="R71" s="62">
        <f t="shared" si="55"/>
        <v>787.8525173579626</v>
      </c>
      <c r="S71" s="62">
        <f ca="1">AVERAGE(OFFSET($R$3,0,0,'Données projet'!$E$9+1,1))-AVERAGE(OFFSET($H$3,0,0,'Données projet'!$E$9+1,1))</f>
        <v>488.16146816015231</v>
      </c>
      <c r="T71" s="62">
        <f t="shared" si="88"/>
        <v>259.37115195552127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0</v>
      </c>
      <c r="AA71" s="23">
        <f>EXP(-LN(2)/25)*AA70+(1-EXP(-LN(2)/25))/(LN(2)/25)*Calculateur!V71*Calculateur!X71*VLOOKUP('Données projet'!$B$9,Paramètres!$A$1:$I$88,3,0)*0.475*44/12</f>
        <v>0</v>
      </c>
      <c r="AB71" s="23">
        <f>EXP(-LN(2)/2)*AB70+(1-EXP(-LN(2)/2))/(LN(2)/2)*V71*Y71*VLOOKUP('Données projet'!$B$9,Paramètres!$A$1:$I$88,3,0)*0.475*44/12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67.961717530753091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228.39999999999992</v>
      </c>
      <c r="AJ71" s="14">
        <f>AI71*VLOOKUP('Données projet'!$B$10,Paramètres!$A$1:$I$88,3,0)*VLOOKUP('Données projet'!$B$10,Paramètres!$A$1:$I$88,5,0)</f>
        <v>206.65631999999994</v>
      </c>
      <c r="AK71" s="14">
        <f t="shared" si="89"/>
        <v>51.20422634371338</v>
      </c>
      <c r="AL71" s="22">
        <f t="shared" si="58"/>
        <v>449.10711821530072</v>
      </c>
      <c r="AM71" s="62">
        <f t="shared" si="59"/>
        <v>734.96674916139546</v>
      </c>
      <c r="AN71" s="62">
        <f ca="1">AVERAGE(OFFSET($AM$3,0,0,'Données projet'!$E$10+1,1))-AVERAGE(OFFSET($H$3,0,0,'Données projet'!$E$10+1,1))</f>
        <v>441.34749554136755</v>
      </c>
      <c r="AO71" s="62">
        <f t="shared" si="90"/>
        <v>236.49038586666222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0</v>
      </c>
      <c r="AV71" s="23">
        <f>EXP(-LN(2)/25)*AV70+(1-EXP(-LN(2)/25))/(LN(2)/25)*Calculateur!AQ71*Calculateur!AS71*VLOOKUP('Données projet'!$B$10,Paramètres!$A$1:$I$88,3,0)*0.475*44/12</f>
        <v>0</v>
      </c>
      <c r="AW71" s="23">
        <f>EXP(-LN(2)/2)*AW70+(1-EXP(-LN(2)/2))/(LN(2)/2)*AQ71*AT71*VLOOKUP('Données projet'!$B$10,Paramètres!$A$1:$I$88,3,0)*0.475*44/12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67.961717530753091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228.39999999999992</v>
      </c>
      <c r="BE71" s="14">
        <f>BD71*VLOOKUP('Données projet'!$B$11,Paramètres!$A$1:$I$88,3,0)*VLOOKUP('Données projet'!$B$11,Paramètres!$A$1:$I$88,5,0)</f>
        <v>245.84975999999992</v>
      </c>
      <c r="BF71" s="14">
        <f t="shared" si="91"/>
        <v>59.696365416984804</v>
      </c>
      <c r="BG71" s="22">
        <f t="shared" si="61"/>
        <v>532.15950176791512</v>
      </c>
      <c r="BH71" s="62">
        <f t="shared" si="62"/>
        <v>818.01913271400986</v>
      </c>
      <c r="BI71" s="62">
        <f ca="1">AVERAGE(OFFSET($BH$3,0,0,'Données projet'!$E$11+1,1))-AVERAGE(OFFSET($H$3,0,0,'Données projet'!$E$11+1,1))</f>
        <v>514.86487884889584</v>
      </c>
      <c r="BJ71" s="62">
        <f t="shared" si="92"/>
        <v>272.4206208356191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projet'!$B$11,Paramètres!$A$1:$I$88,3,0)*0.475*44/12</f>
        <v>0</v>
      </c>
      <c r="BQ71" s="23">
        <f>EXP(-LN(2)/25)*BQ70+(1-EXP(-LN(2)/25))/(LN(2)/25)*Calculateur!BL71*Calculateur!BN71*VLOOKUP('Données projet'!$B$11,Paramètres!$A$1:$I$88,3,0)*0.475*44/12</f>
        <v>0</v>
      </c>
      <c r="BR71" s="23">
        <f>EXP(-LN(2)/2)*BR70+(1-EXP(-LN(2)/2))/(LN(2)/2)*BL71*BO71*VLOOKUP('Données projet'!$B$11,Paramètres!$A$1:$I$88,3,0)*0.475*44/12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67.961717530753091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3.8</v>
      </c>
      <c r="BY71" s="13">
        <f>IF('Données projet'!$A$114&gt;35,BY70+BX71-CG70,IF(A71&lt;'Données projet'!$A$114,$BV$205^A71,IF(A71='Données projet'!$A$114,'Données projet'!$B$114,BY70+BX71-CG70)))</f>
        <v>266.39999999999992</v>
      </c>
      <c r="BZ71" s="14">
        <f>BY71*VLOOKUP('Données projet'!$B$12,Paramètres!$A$1:$I$88,3,0)*VLOOKUP('Données projet'!$B$12,Paramètres!$A$1:$I$88,5,0)</f>
        <v>174.54527999999993</v>
      </c>
      <c r="CA71" s="14">
        <f t="shared" si="93"/>
        <v>44.106446559111959</v>
      </c>
      <c r="CB71" s="22">
        <f t="shared" si="64"/>
        <v>380.81842375711989</v>
      </c>
      <c r="CC71" s="62">
        <f t="shared" si="65"/>
        <v>666.67805470321457</v>
      </c>
      <c r="CD71" s="62">
        <f ca="1">AVERAGE(OFFSET($CC$3,0,0,'Données projet'!$E$12+1,1))-AVERAGE(OFFSET($H$3,0,0,'Données projet'!$E$12+1,1))</f>
        <v>270.10151451661864</v>
      </c>
      <c r="CE71" s="62">
        <f t="shared" si="94"/>
        <v>294.47934482366804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projet'!$B$12,Paramètres!$A$1:$I$88,3,0)*0.475*44/12</f>
        <v>0</v>
      </c>
      <c r="CL71" s="23">
        <f>EXP(-LN(2)/25)*CL70+(1-EXP(-LN(2)/25))/(LN(2)/25)*Calculateur!CG71*Calculateur!CI71*VLOOKUP('Données projet'!$B$12,Paramètres!$A$1:$I$88,3,0)*0.475*44/12</f>
        <v>0</v>
      </c>
      <c r="CM71" s="23">
        <f>EXP(-LN(2)/2)*CM70+(1-EXP(-LN(2)/2))/(LN(2)/2)*CG71*CJ71*VLOOKUP('Données projet'!$B$12,Paramètres!$A$1:$I$88,3,0)*0.475*44/12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67.961717530753091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3.8</v>
      </c>
      <c r="CT71" s="13">
        <f>IF('Données projet'!$A$140&gt;35,CT70+CS71-DB70,IF(A71&lt;'Données projet'!$A$140,$CQ$205^A71,IF(A71='Données projet'!$A$140,'Données projet'!$B$140,CT70+CS71-DB70)))</f>
        <v>266.39999999999992</v>
      </c>
      <c r="CU71" s="18">
        <f>CT71*VLOOKUP('Données projet'!$B$13,Paramètres!$A$1:$I$88,3,0)*VLOOKUP('Données projet'!$B$13,Paramètres!$A$1:$I$88,5,0)</f>
        <v>174.54527999999993</v>
      </c>
      <c r="CV71" s="14">
        <f t="shared" si="95"/>
        <v>44.106446559111959</v>
      </c>
      <c r="CW71" s="22">
        <f t="shared" si="67"/>
        <v>380.81842375711989</v>
      </c>
      <c r="CX71" s="62">
        <f t="shared" si="68"/>
        <v>666.67805470321457</v>
      </c>
      <c r="CY71" s="62">
        <f ca="1">AVERAGE(OFFSET($CX$3,0,0,'Données projet'!$E$13+1,1))-AVERAGE(OFFSET($H$3,0,0,'Données projet'!$E$13+1,1))</f>
        <v>270.10151451661864</v>
      </c>
      <c r="CZ71" s="62">
        <f t="shared" si="96"/>
        <v>294.47934482366804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projet'!$B$13,Paramètres!$A$1:$I$88,3,0)*0.475*44/12</f>
        <v>0</v>
      </c>
      <c r="DG71" s="23">
        <f>EXP(-LN(2)/25)*DG70+(1-EXP(-LN(2)/25))/(LN(2)/25)*Calculateur!DB71*Calculateur!DD71*VLOOKUP('Données projet'!$B$13,Paramètres!$A$1:$I$88,3,0)*0.475*44/12</f>
        <v>0</v>
      </c>
      <c r="DH71" s="23">
        <f>EXP(-LN(2)/2)*DH70+(1-EXP(-LN(2)/2))/(LN(2)/2)*DB71*DE71*VLOOKUP('Données projet'!$B$13,Paramètres!$A$1:$I$88,3,0)*0.475*44/12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67.961717530753091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projet'!$B$14,Paramètres!$A$1:$I$88,3,0)*0.475*44/12</f>
        <v>#N/A</v>
      </c>
      <c r="EB71" s="23" t="e">
        <f>EXP(-LN(2)/25)*EB70+(1-EXP(-LN(2)/25))/(LN(2)/25)*Calculateur!DW71*Calculateur!DY71*VLOOKUP('Données projet'!$B$14,Paramètres!$A$1:$I$88,3,0)*0.475*44/12</f>
        <v>#N/A</v>
      </c>
      <c r="EC71" s="23" t="e">
        <f>EXP(-LN(2)/2)*EC70+(1-EXP(-LN(2)/2))/(LN(2)/2)*DW71*DZ71*VLOOKUP('Données projet'!$B$14,Paramètres!$A$1:$I$88,3,0)*0.475*44/12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67.961717530753091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67.961717530753091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67.961717530753091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67.961717530753091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1.34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4.9133333333333331</v>
      </c>
      <c r="H72" s="70">
        <f t="shared" si="56"/>
        <v>237.01333333333332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67.997077174677599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235.19999999999993</v>
      </c>
      <c r="O72" s="14">
        <f>N72*VLOOKUP('Données projet'!$B$9,Paramètres!$A$1:$I$88,3,0)*VLOOKUP('Données projet'!$B$9,Paramètres!$A$1:$I$88,5,0)</f>
        <v>238.49279999999996</v>
      </c>
      <c r="P72" s="14">
        <f t="shared" si="87"/>
        <v>58.115130258576542</v>
      </c>
      <c r="Q72" s="22">
        <f t="shared" si="54"/>
        <v>516.59214520035414</v>
      </c>
      <c r="R72" s="62">
        <f t="shared" si="55"/>
        <v>802.58142817417206</v>
      </c>
      <c r="S72" s="62">
        <f ca="1">AVERAGE(OFFSET($R$3,0,0,'Données projet'!$E$9+1,1))-AVERAGE(OFFSET($H$3,0,0,'Données projet'!$E$9+1,1))</f>
        <v>488.16146816015231</v>
      </c>
      <c r="T72" s="62">
        <f t="shared" si="88"/>
        <v>259.37115195552127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0</v>
      </c>
      <c r="AA72" s="23">
        <f>EXP(-LN(2)/25)*AA71+(1-EXP(-LN(2)/25))/(LN(2)/25)*Calculateur!V72*Calculateur!X72*VLOOKUP('Données projet'!$B$9,Paramètres!$A$1:$I$88,3,0)*0.475*44/12</f>
        <v>0</v>
      </c>
      <c r="AB72" s="23">
        <f>EXP(-LN(2)/2)*AB71+(1-EXP(-LN(2)/2))/(LN(2)/2)*V72*Y72*VLOOKUP('Données projet'!$B$9,Paramètres!$A$1:$I$88,3,0)*0.475*44/12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67.997077174677599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235.19999999999993</v>
      </c>
      <c r="AJ72" s="14">
        <f>AI72*VLOOKUP('Données projet'!$B$10,Paramètres!$A$1:$I$88,3,0)*VLOOKUP('Données projet'!$B$10,Paramètres!$A$1:$I$88,5,0)</f>
        <v>212.8089599999999</v>
      </c>
      <c r="AK72" s="14">
        <f t="shared" si="89"/>
        <v>52.548938637485847</v>
      </c>
      <c r="AL72" s="22">
        <f t="shared" si="58"/>
        <v>462.16500679362093</v>
      </c>
      <c r="AM72" s="62">
        <f t="shared" si="59"/>
        <v>748.15428976743874</v>
      </c>
      <c r="AN72" s="62">
        <f ca="1">AVERAGE(OFFSET($AM$3,0,0,'Données projet'!$E$10+1,1))-AVERAGE(OFFSET($H$3,0,0,'Données projet'!$E$10+1,1))</f>
        <v>441.34749554136755</v>
      </c>
      <c r="AO72" s="62">
        <f t="shared" si="90"/>
        <v>236.49038586666222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0</v>
      </c>
      <c r="AV72" s="23">
        <f>EXP(-LN(2)/25)*AV71+(1-EXP(-LN(2)/25))/(LN(2)/25)*Calculateur!AQ72*Calculateur!AS72*VLOOKUP('Données projet'!$B$10,Paramètres!$A$1:$I$88,3,0)*0.475*44/12</f>
        <v>0</v>
      </c>
      <c r="AW72" s="23">
        <f>EXP(-LN(2)/2)*AW71+(1-EXP(-LN(2)/2))/(LN(2)/2)*AQ72*AT72*VLOOKUP('Données projet'!$B$10,Paramètres!$A$1:$I$88,3,0)*0.475*44/12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67.997077174677599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235.19999999999993</v>
      </c>
      <c r="BE72" s="14">
        <f>BD72*VLOOKUP('Données projet'!$B$11,Paramètres!$A$1:$I$88,3,0)*VLOOKUP('Données projet'!$B$11,Paramètres!$A$1:$I$88,5,0)</f>
        <v>253.16927999999993</v>
      </c>
      <c r="BF72" s="14">
        <f t="shared" si="91"/>
        <v>61.264096094739799</v>
      </c>
      <c r="BG72" s="22">
        <f t="shared" si="61"/>
        <v>547.63813003167172</v>
      </c>
      <c r="BH72" s="62">
        <f t="shared" si="62"/>
        <v>833.62741300548964</v>
      </c>
      <c r="BI72" s="62">
        <f ca="1">AVERAGE(OFFSET($BH$3,0,0,'Données projet'!$E$11+1,1))-AVERAGE(OFFSET($H$3,0,0,'Données projet'!$E$11+1,1))</f>
        <v>514.86487884889584</v>
      </c>
      <c r="BJ72" s="62">
        <f t="shared" si="92"/>
        <v>272.4206208356191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projet'!$B$11,Paramètres!$A$1:$I$88,3,0)*0.475*44/12</f>
        <v>0</v>
      </c>
      <c r="BQ72" s="23">
        <f>EXP(-LN(2)/25)*BQ71+(1-EXP(-LN(2)/25))/(LN(2)/25)*Calculateur!BL72*Calculateur!BN72*VLOOKUP('Données projet'!$B$11,Paramètres!$A$1:$I$88,3,0)*0.475*44/12</f>
        <v>0</v>
      </c>
      <c r="BR72" s="23">
        <f>EXP(-LN(2)/2)*BR71+(1-EXP(-LN(2)/2))/(LN(2)/2)*BL72*BO72*VLOOKUP('Données projet'!$B$11,Paramètres!$A$1:$I$88,3,0)*0.475*44/12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67.997077174677599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3.8</v>
      </c>
      <c r="BY72" s="13">
        <f>IF('Données projet'!$A$114&gt;35,BY71+BX72-CG71,IF(A72&lt;'Données projet'!$A$114,$BV$205^A72,IF(A72='Données projet'!$A$114,'Données projet'!$B$114,BY71+BX72-CG71)))</f>
        <v>270.19999999999993</v>
      </c>
      <c r="BZ72" s="14">
        <f>BY72*VLOOKUP('Données projet'!$B$12,Paramètres!$A$1:$I$88,3,0)*VLOOKUP('Données projet'!$B$12,Paramètres!$A$1:$I$88,5,0)</f>
        <v>177.03503999999995</v>
      </c>
      <c r="CA72" s="14">
        <f t="shared" si="93"/>
        <v>44.66190089624336</v>
      </c>
      <c r="CB72" s="22">
        <f t="shared" si="64"/>
        <v>386.1221720609571</v>
      </c>
      <c r="CC72" s="62">
        <f t="shared" si="65"/>
        <v>672.11145503477496</v>
      </c>
      <c r="CD72" s="62">
        <f ca="1">AVERAGE(OFFSET($CC$3,0,0,'Données projet'!$E$12+1,1))-AVERAGE(OFFSET($H$3,0,0,'Données projet'!$E$12+1,1))</f>
        <v>270.10151451661864</v>
      </c>
      <c r="CE72" s="62">
        <f t="shared" si="94"/>
        <v>294.47934482366804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projet'!$B$12,Paramètres!$A$1:$I$88,3,0)*0.475*44/12</f>
        <v>0</v>
      </c>
      <c r="CL72" s="23">
        <f>EXP(-LN(2)/25)*CL71+(1-EXP(-LN(2)/25))/(LN(2)/25)*Calculateur!CG72*Calculateur!CI72*VLOOKUP('Données projet'!$B$12,Paramètres!$A$1:$I$88,3,0)*0.475*44/12</f>
        <v>0</v>
      </c>
      <c r="CM72" s="23">
        <f>EXP(-LN(2)/2)*CM71+(1-EXP(-LN(2)/2))/(LN(2)/2)*CG72*CJ72*VLOOKUP('Données projet'!$B$12,Paramètres!$A$1:$I$88,3,0)*0.475*44/12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67.997077174677599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3.8</v>
      </c>
      <c r="CT72" s="13">
        <f>IF('Données projet'!$A$140&gt;35,CT71+CS72-DB71,IF(A72&lt;'Données projet'!$A$140,$CQ$205^A72,IF(A72='Données projet'!$A$140,'Données projet'!$B$140,CT71+CS72-DB71)))</f>
        <v>270.19999999999993</v>
      </c>
      <c r="CU72" s="18">
        <f>CT72*VLOOKUP('Données projet'!$B$13,Paramètres!$A$1:$I$88,3,0)*VLOOKUP('Données projet'!$B$13,Paramètres!$A$1:$I$88,5,0)</f>
        <v>177.03503999999995</v>
      </c>
      <c r="CV72" s="14">
        <f t="shared" si="95"/>
        <v>44.66190089624336</v>
      </c>
      <c r="CW72" s="22">
        <f t="shared" si="67"/>
        <v>386.1221720609571</v>
      </c>
      <c r="CX72" s="62">
        <f t="shared" si="68"/>
        <v>672.11145503477496</v>
      </c>
      <c r="CY72" s="62">
        <f ca="1">AVERAGE(OFFSET($CX$3,0,0,'Données projet'!$E$13+1,1))-AVERAGE(OFFSET($H$3,0,0,'Données projet'!$E$13+1,1))</f>
        <v>270.10151451661864</v>
      </c>
      <c r="CZ72" s="62">
        <f t="shared" si="96"/>
        <v>294.47934482366804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projet'!$B$13,Paramètres!$A$1:$I$88,3,0)*0.475*44/12</f>
        <v>0</v>
      </c>
      <c r="DG72" s="23">
        <f>EXP(-LN(2)/25)*DG71+(1-EXP(-LN(2)/25))/(LN(2)/25)*Calculateur!DB72*Calculateur!DD72*VLOOKUP('Données projet'!$B$13,Paramètres!$A$1:$I$88,3,0)*0.475*44/12</f>
        <v>0</v>
      </c>
      <c r="DH72" s="23">
        <f>EXP(-LN(2)/2)*DH71+(1-EXP(-LN(2)/2))/(LN(2)/2)*DB72*DE72*VLOOKUP('Données projet'!$B$13,Paramètres!$A$1:$I$88,3,0)*0.475*44/12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67.997077174677599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projet'!$B$14,Paramètres!$A$1:$I$88,3,0)*0.475*44/12</f>
        <v>#N/A</v>
      </c>
      <c r="EB72" s="23" t="e">
        <f>EXP(-LN(2)/25)*EB71+(1-EXP(-LN(2)/25))/(LN(2)/25)*Calculateur!DW72*Calculateur!DY72*VLOOKUP('Données projet'!$B$14,Paramètres!$A$1:$I$88,3,0)*0.475*44/12</f>
        <v>#N/A</v>
      </c>
      <c r="EC72" s="23" t="e">
        <f>EXP(-LN(2)/2)*EC71+(1-EXP(-LN(2)/2))/(LN(2)/2)*DW72*DZ72*VLOOKUP('Données projet'!$B$14,Paramètres!$A$1:$I$88,3,0)*0.475*44/12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67.997077174677599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67.997077174677599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67.997077174677599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67.997077174677599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1.34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4.9133333333333331</v>
      </c>
      <c r="H73" s="70">
        <f t="shared" si="56"/>
        <v>237.01333333333332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68.031823407832334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241.99999999999994</v>
      </c>
      <c r="O73" s="14">
        <f>N73*VLOOKUP('Données projet'!$B$9,Paramètres!$A$1:$I$88,3,0)*VLOOKUP('Données projet'!$B$9,Paramètres!$A$1:$I$88,5,0)</f>
        <v>245.38799999999995</v>
      </c>
      <c r="P73" s="14">
        <f t="shared" si="87"/>
        <v>59.597282764919569</v>
      </c>
      <c r="Q73" s="22">
        <f t="shared" si="54"/>
        <v>531.18270081556818</v>
      </c>
      <c r="R73" s="62">
        <f t="shared" si="55"/>
        <v>817.29938664428676</v>
      </c>
      <c r="S73" s="62">
        <f ca="1">AVERAGE(OFFSET($R$3,0,0,'Données projet'!$E$9+1,1))-AVERAGE(OFFSET($H$3,0,0,'Données projet'!$E$9+1,1))</f>
        <v>488.16146816015231</v>
      </c>
      <c r="T73" s="62">
        <f t="shared" si="88"/>
        <v>259.37115195552127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0</v>
      </c>
      <c r="AA73" s="23">
        <f>EXP(-LN(2)/25)*AA72+(1-EXP(-LN(2)/25))/(LN(2)/25)*Calculateur!V73*Calculateur!X73*VLOOKUP('Données projet'!$B$9,Paramètres!$A$1:$I$88,3,0)*0.475*44/12</f>
        <v>0</v>
      </c>
      <c r="AB73" s="23">
        <f>EXP(-LN(2)/2)*AB72+(1-EXP(-LN(2)/2))/(LN(2)/2)*V73*Y73*VLOOKUP('Données projet'!$B$9,Paramètres!$A$1:$I$88,3,0)*0.475*44/12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68.031823407832334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241.99999999999994</v>
      </c>
      <c r="AJ73" s="14">
        <f>AI73*VLOOKUP('Données projet'!$B$10,Paramètres!$A$1:$I$88,3,0)*VLOOKUP('Données projet'!$B$10,Paramètres!$A$1:$I$88,5,0)</f>
        <v>218.96159999999995</v>
      </c>
      <c r="AK73" s="14">
        <f t="shared" si="89"/>
        <v>53.88913250370743</v>
      </c>
      <c r="AL73" s="22">
        <f t="shared" si="58"/>
        <v>475.21502577729035</v>
      </c>
      <c r="AM73" s="62">
        <f t="shared" si="59"/>
        <v>761.33171160600887</v>
      </c>
      <c r="AN73" s="62">
        <f ca="1">AVERAGE(OFFSET($AM$3,0,0,'Données projet'!$E$10+1,1))-AVERAGE(OFFSET($H$3,0,0,'Données projet'!$E$10+1,1))</f>
        <v>441.34749554136755</v>
      </c>
      <c r="AO73" s="62">
        <f t="shared" si="90"/>
        <v>236.49038586666222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0</v>
      </c>
      <c r="AV73" s="23">
        <f>EXP(-LN(2)/25)*AV72+(1-EXP(-LN(2)/25))/(LN(2)/25)*Calculateur!AQ73*Calculateur!AS73*VLOOKUP('Données projet'!$B$10,Paramètres!$A$1:$I$88,3,0)*0.475*44/12</f>
        <v>0</v>
      </c>
      <c r="AW73" s="23">
        <f>EXP(-LN(2)/2)*AW72+(1-EXP(-LN(2)/2))/(LN(2)/2)*AQ73*AT73*VLOOKUP('Données projet'!$B$10,Paramètres!$A$1:$I$88,3,0)*0.475*44/12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68.031823407832334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241.99999999999994</v>
      </c>
      <c r="BE73" s="14">
        <f>BD73*VLOOKUP('Données projet'!$B$11,Paramètres!$A$1:$I$88,3,0)*VLOOKUP('Données projet'!$B$11,Paramètres!$A$1:$I$88,5,0)</f>
        <v>260.48879999999997</v>
      </c>
      <c r="BF73" s="14">
        <f t="shared" si="91"/>
        <v>62.826558970958821</v>
      </c>
      <c r="BG73" s="22">
        <f t="shared" si="61"/>
        <v>563.10758354108657</v>
      </c>
      <c r="BH73" s="62">
        <f t="shared" si="62"/>
        <v>849.22426936980514</v>
      </c>
      <c r="BI73" s="62">
        <f ca="1">AVERAGE(OFFSET($BH$3,0,0,'Données projet'!$E$11+1,1))-AVERAGE(OFFSET($H$3,0,0,'Données projet'!$E$11+1,1))</f>
        <v>514.86487884889584</v>
      </c>
      <c r="BJ73" s="62">
        <f t="shared" si="92"/>
        <v>272.4206208356191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projet'!$B$11,Paramètres!$A$1:$I$88,3,0)*0.475*44/12</f>
        <v>0</v>
      </c>
      <c r="BQ73" s="23">
        <f>EXP(-LN(2)/25)*BQ72+(1-EXP(-LN(2)/25))/(LN(2)/25)*Calculateur!BL73*Calculateur!BN73*VLOOKUP('Données projet'!$B$11,Paramètres!$A$1:$I$88,3,0)*0.475*44/12</f>
        <v>0</v>
      </c>
      <c r="BR73" s="23">
        <f>EXP(-LN(2)/2)*BR72+(1-EXP(-LN(2)/2))/(LN(2)/2)*BL73*BO73*VLOOKUP('Données projet'!$B$11,Paramètres!$A$1:$I$88,3,0)*0.475*44/12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68.031823407832334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274</v>
      </c>
      <c r="BW73" s="13">
        <f>VLOOKUP(A73,'Données projet'!$A$113:$I$133,9,0)</f>
        <v>3.8</v>
      </c>
      <c r="BX73" s="13">
        <f t="array" ref="BX73">INDEX(BW:BW,MIN(IF(ISNUMBER(BW73:BW269),ROW(BW73:BW269),"")))</f>
        <v>3.8</v>
      </c>
      <c r="BY73" s="13">
        <f>IF('Données projet'!$A$114&gt;35,BY72+BX73-CG72,IF(A73&lt;'Données projet'!$A$114,$BV$205^A73,IF(A73='Données projet'!$A$114,'Données projet'!$B$114,BY72+BX73-CG72)))</f>
        <v>273.99999999999994</v>
      </c>
      <c r="BZ73" s="14">
        <f>BY73*VLOOKUP('Données projet'!$B$12,Paramètres!$A$1:$I$88,3,0)*VLOOKUP('Données projet'!$B$12,Paramètres!$A$1:$I$88,5,0)</f>
        <v>179.52479999999997</v>
      </c>
      <c r="CA73" s="14">
        <f t="shared" si="93"/>
        <v>45.216446661458264</v>
      </c>
      <c r="CB73" s="22">
        <f t="shared" si="64"/>
        <v>391.4243379353731</v>
      </c>
      <c r="CC73" s="62">
        <f t="shared" si="65"/>
        <v>677.54102376409173</v>
      </c>
      <c r="CD73" s="62">
        <f ca="1">AVERAGE(OFFSET($CC$3,0,0,'Données projet'!$E$12+1,1))-AVERAGE(OFFSET($H$3,0,0,'Données projet'!$E$12+1,1))</f>
        <v>270.10151451661864</v>
      </c>
      <c r="CE73" s="62">
        <f t="shared" si="94"/>
        <v>294.47934482366804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21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projet'!$B$12,Paramètres!$A$1:$I$88,3,0)*0.475*44/12</f>
        <v>0</v>
      </c>
      <c r="CL73" s="23">
        <f>EXP(-LN(2)/25)*CL72+(1-EXP(-LN(2)/25))/(LN(2)/25)*Calculateur!CG73*Calculateur!CI73*VLOOKUP('Données projet'!$B$12,Paramètres!$A$1:$I$88,3,0)*0.475*44/12</f>
        <v>0</v>
      </c>
      <c r="CM73" s="23">
        <f>EXP(-LN(2)/2)*CM72+(1-EXP(-LN(2)/2))/(LN(2)/2)*CG73*CJ73*VLOOKUP('Données projet'!$B$12,Paramètres!$A$1:$I$88,3,0)*0.475*44/12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68.031823407832334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274</v>
      </c>
      <c r="CR73" s="13">
        <f>VLOOKUP(A73,'Données projet'!$A$139:$I$159,9,0)</f>
        <v>3.8</v>
      </c>
      <c r="CS73" s="13">
        <f t="array" ref="CS73">INDEX(CR:CR,MIN(IF(ISNUMBER(CR73:CR269),ROW(CR73:CR269),"")))</f>
        <v>3.8</v>
      </c>
      <c r="CT73" s="13">
        <f>IF('Données projet'!$A$140&gt;35,CT72+CS73-DB72,IF(A73&lt;'Données projet'!$A$140,$CQ$205^A73,IF(A73='Données projet'!$A$140,'Données projet'!$B$140,CT72+CS73-DB72)))</f>
        <v>273.99999999999994</v>
      </c>
      <c r="CU73" s="18">
        <f>CT73*VLOOKUP('Données projet'!$B$13,Paramètres!$A$1:$I$88,3,0)*VLOOKUP('Données projet'!$B$13,Paramètres!$A$1:$I$88,5,0)</f>
        <v>179.52479999999997</v>
      </c>
      <c r="CV73" s="14">
        <f t="shared" si="95"/>
        <v>45.216446661458264</v>
      </c>
      <c r="CW73" s="22">
        <f t="shared" si="67"/>
        <v>391.4243379353731</v>
      </c>
      <c r="CX73" s="62">
        <f t="shared" si="68"/>
        <v>677.54102376409173</v>
      </c>
      <c r="CY73" s="62">
        <f ca="1">AVERAGE(OFFSET($CX$3,0,0,'Données projet'!$E$13+1,1))-AVERAGE(OFFSET($H$3,0,0,'Données projet'!$E$13+1,1))</f>
        <v>270.10151451661864</v>
      </c>
      <c r="CZ73" s="62">
        <f t="shared" si="96"/>
        <v>294.47934482366804</v>
      </c>
      <c r="DA73" s="16">
        <f>IF(ISNA(VLOOKUP(A73,'Données projet'!$A$139:$I$159,3,0)),0,VLOOKUP(A73,'Données projet'!$A$139:$I$159,3,0))</f>
        <v>6</v>
      </c>
      <c r="DB73" s="16">
        <f>IF(ISNA(VLOOKUP(A73,'Données projet'!$A$139:$I$159,4,0)),0,VLOOKUP(A73,'Données projet'!$A$139:$I$159,4,0))</f>
        <v>21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projet'!$B$13,Paramètres!$A$1:$I$88,3,0)*0.475*44/12</f>
        <v>0</v>
      </c>
      <c r="DG73" s="23">
        <f>EXP(-LN(2)/25)*DG72+(1-EXP(-LN(2)/25))/(LN(2)/25)*Calculateur!DB73*Calculateur!DD73*VLOOKUP('Données projet'!$B$13,Paramètres!$A$1:$I$88,3,0)*0.475*44/12</f>
        <v>0</v>
      </c>
      <c r="DH73" s="23">
        <f>EXP(-LN(2)/2)*DH72+(1-EXP(-LN(2)/2))/(LN(2)/2)*DB73*DE73*VLOOKUP('Données projet'!$B$13,Paramètres!$A$1:$I$88,3,0)*0.475*44/12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68.031823407832334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projet'!$B$14,Paramètres!$A$1:$I$88,3,0)*0.475*44/12</f>
        <v>#N/A</v>
      </c>
      <c r="EB73" s="23" t="e">
        <f>EXP(-LN(2)/25)*EB72+(1-EXP(-LN(2)/25))/(LN(2)/25)*Calculateur!DW73*Calculateur!DY73*VLOOKUP('Données projet'!$B$14,Paramètres!$A$1:$I$88,3,0)*0.475*44/12</f>
        <v>#N/A</v>
      </c>
      <c r="EC73" s="23" t="e">
        <f>EXP(-LN(2)/2)*EC72+(1-EXP(-LN(2)/2))/(LN(2)/2)*DW73*DZ73*VLOOKUP('Données projet'!$B$14,Paramètres!$A$1:$I$88,3,0)*0.475*44/12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68.031823407832334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68.031823407832334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68.031823407832334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68.031823407832334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1.34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4.9133333333333331</v>
      </c>
      <c r="H74" s="70">
        <f t="shared" si="56"/>
        <v>237.01333333333332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68.065966871522775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248.19999999999993</v>
      </c>
      <c r="O74" s="14">
        <f>N74*VLOOKUP('Données projet'!$B$9,Paramètres!$A$1:$I$88,3,0)*VLOOKUP('Données projet'!$B$9,Paramètres!$A$1:$I$88,5,0)</f>
        <v>251.67479999999995</v>
      </c>
      <c r="P74" s="14">
        <f t="shared" si="87"/>
        <v>60.944434584138449</v>
      </c>
      <c r="Q74" s="22">
        <f t="shared" si="54"/>
        <v>544.47850023404101</v>
      </c>
      <c r="R74" s="62">
        <f t="shared" si="55"/>
        <v>830.72037876295781</v>
      </c>
      <c r="S74" s="62">
        <f ca="1">AVERAGE(OFFSET($R$3,0,0,'Données projet'!$E$9+1,1))-AVERAGE(OFFSET($H$3,0,0,'Données projet'!$E$9+1,1))</f>
        <v>488.16146816015231</v>
      </c>
      <c r="T74" s="62">
        <f t="shared" si="88"/>
        <v>259.37115195552127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0</v>
      </c>
      <c r="AA74" s="23">
        <f>EXP(-LN(2)/25)*AA73+(1-EXP(-LN(2)/25))/(LN(2)/25)*Calculateur!V74*Calculateur!X74*VLOOKUP('Données projet'!$B$9,Paramètres!$A$1:$I$88,3,0)*0.475*44/12</f>
        <v>0</v>
      </c>
      <c r="AB74" s="23">
        <f>EXP(-LN(2)/2)*AB73+(1-EXP(-LN(2)/2))/(LN(2)/2)*V74*Y74*VLOOKUP('Données projet'!$B$9,Paramètres!$A$1:$I$88,3,0)*0.475*44/12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68.065966871522775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248.19999999999993</v>
      </c>
      <c r="AJ74" s="14">
        <f>AI74*VLOOKUP('Données projet'!$B$10,Paramètres!$A$1:$I$88,3,0)*VLOOKUP('Données projet'!$B$10,Paramètres!$A$1:$I$88,5,0)</f>
        <v>224.57135999999994</v>
      </c>
      <c r="AK74" s="14">
        <f t="shared" si="89"/>
        <v>55.107255873104265</v>
      </c>
      <c r="AL74" s="22">
        <f t="shared" si="58"/>
        <v>487.10692264565643</v>
      </c>
      <c r="AM74" s="62">
        <f t="shared" si="59"/>
        <v>773.34880117457328</v>
      </c>
      <c r="AN74" s="62">
        <f ca="1">AVERAGE(OFFSET($AM$3,0,0,'Données projet'!$E$10+1,1))-AVERAGE(OFFSET($H$3,0,0,'Données projet'!$E$10+1,1))</f>
        <v>441.34749554136755</v>
      </c>
      <c r="AO74" s="62">
        <f t="shared" si="90"/>
        <v>236.49038586666222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0</v>
      </c>
      <c r="AV74" s="23">
        <f>EXP(-LN(2)/25)*AV73+(1-EXP(-LN(2)/25))/(LN(2)/25)*Calculateur!AQ74*Calculateur!AS74*VLOOKUP('Données projet'!$B$10,Paramètres!$A$1:$I$88,3,0)*0.475*44/12</f>
        <v>0</v>
      </c>
      <c r="AW74" s="23">
        <f>EXP(-LN(2)/2)*AW73+(1-EXP(-LN(2)/2))/(LN(2)/2)*AQ74*AT74*VLOOKUP('Données projet'!$B$10,Paramètres!$A$1:$I$88,3,0)*0.475*44/12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68.065966871522775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248.19999999999993</v>
      </c>
      <c r="BE74" s="14">
        <f>BD74*VLOOKUP('Données projet'!$B$11,Paramètres!$A$1:$I$88,3,0)*VLOOKUP('Données projet'!$B$11,Paramètres!$A$1:$I$88,5,0)</f>
        <v>267.16247999999996</v>
      </c>
      <c r="BF74" s="14">
        <f t="shared" si="91"/>
        <v>64.246706153622185</v>
      </c>
      <c r="BG74" s="22">
        <f t="shared" si="61"/>
        <v>577.20433255089188</v>
      </c>
      <c r="BH74" s="62">
        <f t="shared" si="62"/>
        <v>863.44621107980879</v>
      </c>
      <c r="BI74" s="62">
        <f ca="1">AVERAGE(OFFSET($BH$3,0,0,'Données projet'!$E$11+1,1))-AVERAGE(OFFSET($H$3,0,0,'Données projet'!$E$11+1,1))</f>
        <v>514.86487884889584</v>
      </c>
      <c r="BJ74" s="62">
        <f t="shared" si="92"/>
        <v>272.4206208356191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projet'!$B$11,Paramètres!$A$1:$I$88,3,0)*0.475*44/12</f>
        <v>0</v>
      </c>
      <c r="BQ74" s="23">
        <f>EXP(-LN(2)/25)*BQ73+(1-EXP(-LN(2)/25))/(LN(2)/25)*Calculateur!BL74*Calculateur!BN74*VLOOKUP('Données projet'!$B$11,Paramètres!$A$1:$I$88,3,0)*0.475*44/12</f>
        <v>0</v>
      </c>
      <c r="BR74" s="23">
        <f>EXP(-LN(2)/2)*BR73+(1-EXP(-LN(2)/2))/(LN(2)/2)*BL74*BO74*VLOOKUP('Données projet'!$B$11,Paramètres!$A$1:$I$88,3,0)*0.475*44/12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68.065966871522775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3.4</v>
      </c>
      <c r="BY74" s="13">
        <f>IF('Données projet'!$A$114&gt;35,BY73+BX74-CG73,IF(A74&lt;'Données projet'!$A$114,$BV$205^A74,IF(A74='Données projet'!$A$114,'Données projet'!$B$114,BY73+BX74-CG73)))</f>
        <v>256.39999999999992</v>
      </c>
      <c r="BZ74" s="14">
        <f>BY74*VLOOKUP('Données projet'!$B$12,Paramètres!$A$1:$I$88,3,0)*VLOOKUP('Données projet'!$B$12,Paramètres!$A$1:$I$88,5,0)</f>
        <v>167.99327999999994</v>
      </c>
      <c r="CA74" s="14">
        <f t="shared" si="93"/>
        <v>42.640274928095231</v>
      </c>
      <c r="CB74" s="22">
        <f t="shared" si="64"/>
        <v>366.85344149976572</v>
      </c>
      <c r="CC74" s="62">
        <f t="shared" si="65"/>
        <v>653.09532002868264</v>
      </c>
      <c r="CD74" s="62">
        <f ca="1">AVERAGE(OFFSET($CC$3,0,0,'Données projet'!$E$12+1,1))-AVERAGE(OFFSET($H$3,0,0,'Données projet'!$E$12+1,1))</f>
        <v>270.10151451661864</v>
      </c>
      <c r="CE74" s="62">
        <f t="shared" si="94"/>
        <v>294.47934482366804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projet'!$B$12,Paramètres!$A$1:$I$88,3,0)*0.475*44/12</f>
        <v>0</v>
      </c>
      <c r="CL74" s="23">
        <f>EXP(-LN(2)/25)*CL73+(1-EXP(-LN(2)/25))/(LN(2)/25)*Calculateur!CG74*Calculateur!CI74*VLOOKUP('Données projet'!$B$12,Paramètres!$A$1:$I$88,3,0)*0.475*44/12</f>
        <v>0</v>
      </c>
      <c r="CM74" s="23">
        <f>EXP(-LN(2)/2)*CM73+(1-EXP(-LN(2)/2))/(LN(2)/2)*CG74*CJ74*VLOOKUP('Données projet'!$B$12,Paramètres!$A$1:$I$88,3,0)*0.475*44/12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68.065966871522775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3.4</v>
      </c>
      <c r="CT74" s="13">
        <f>IF('Données projet'!$A$140&gt;35,CT73+CS74-DB73,IF(A74&lt;'Données projet'!$A$140,$CQ$205^A74,IF(A74='Données projet'!$A$140,'Données projet'!$B$140,CT73+CS74-DB73)))</f>
        <v>256.39999999999992</v>
      </c>
      <c r="CU74" s="18">
        <f>CT74*VLOOKUP('Données projet'!$B$13,Paramètres!$A$1:$I$88,3,0)*VLOOKUP('Données projet'!$B$13,Paramètres!$A$1:$I$88,5,0)</f>
        <v>167.99327999999994</v>
      </c>
      <c r="CV74" s="14">
        <f t="shared" si="95"/>
        <v>42.640274928095231</v>
      </c>
      <c r="CW74" s="22">
        <f t="shared" si="67"/>
        <v>366.85344149976572</v>
      </c>
      <c r="CX74" s="62">
        <f t="shared" si="68"/>
        <v>653.09532002868264</v>
      </c>
      <c r="CY74" s="62">
        <f ca="1">AVERAGE(OFFSET($CX$3,0,0,'Données projet'!$E$13+1,1))-AVERAGE(OFFSET($H$3,0,0,'Données projet'!$E$13+1,1))</f>
        <v>270.10151451661864</v>
      </c>
      <c r="CZ74" s="62">
        <f t="shared" si="96"/>
        <v>294.47934482366804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projet'!$B$13,Paramètres!$A$1:$I$88,3,0)*0.475*44/12</f>
        <v>0</v>
      </c>
      <c r="DG74" s="23">
        <f>EXP(-LN(2)/25)*DG73+(1-EXP(-LN(2)/25))/(LN(2)/25)*Calculateur!DB74*Calculateur!DD74*VLOOKUP('Données projet'!$B$13,Paramètres!$A$1:$I$88,3,0)*0.475*44/12</f>
        <v>0</v>
      </c>
      <c r="DH74" s="23">
        <f>EXP(-LN(2)/2)*DH73+(1-EXP(-LN(2)/2))/(LN(2)/2)*DB74*DE74*VLOOKUP('Données projet'!$B$13,Paramètres!$A$1:$I$88,3,0)*0.475*44/12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68.065966871522775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projet'!$B$14,Paramètres!$A$1:$I$88,3,0)*0.475*44/12</f>
        <v>#N/A</v>
      </c>
      <c r="EB74" s="23" t="e">
        <f>EXP(-LN(2)/25)*EB73+(1-EXP(-LN(2)/25))/(LN(2)/25)*Calculateur!DW74*Calculateur!DY74*VLOOKUP('Données projet'!$B$14,Paramètres!$A$1:$I$88,3,0)*0.475*44/12</f>
        <v>#N/A</v>
      </c>
      <c r="EC74" s="23" t="e">
        <f>EXP(-LN(2)/2)*EC73+(1-EXP(-LN(2)/2))/(LN(2)/2)*DW74*DZ74*VLOOKUP('Données projet'!$B$14,Paramètres!$A$1:$I$88,3,0)*0.475*44/12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68.065966871522775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68.065966871522775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68.065966871522775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68.065966871522775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1.34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4.9133333333333331</v>
      </c>
      <c r="H75" s="70">
        <f t="shared" si="56"/>
        <v>237.01333333333332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68.099518022451548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254.39999999999992</v>
      </c>
      <c r="O75" s="14">
        <f>N75*VLOOKUP('Données projet'!$B$9,Paramètres!$A$1:$I$88,3,0)*VLOOKUP('Données projet'!$B$9,Paramètres!$A$1:$I$88,5,0)</f>
        <v>257.96159999999992</v>
      </c>
      <c r="P75" s="14">
        <f t="shared" si="87"/>
        <v>62.287674609742481</v>
      </c>
      <c r="Q75" s="22">
        <f t="shared" si="54"/>
        <v>557.76748661196802</v>
      </c>
      <c r="R75" s="62">
        <f t="shared" si="55"/>
        <v>844.13238602762362</v>
      </c>
      <c r="S75" s="62">
        <f ca="1">AVERAGE(OFFSET($R$3,0,0,'Données projet'!$E$9+1,1))-AVERAGE(OFFSET($H$3,0,0,'Données projet'!$E$9+1,1))</f>
        <v>488.16146816015231</v>
      </c>
      <c r="T75" s="62">
        <f t="shared" si="88"/>
        <v>259.37115195552127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0</v>
      </c>
      <c r="AA75" s="23">
        <f>EXP(-LN(2)/25)*AA74+(1-EXP(-LN(2)/25))/(LN(2)/25)*Calculateur!V75*Calculateur!X75*VLOOKUP('Données projet'!$B$9,Paramètres!$A$1:$I$88,3,0)*0.475*44/12</f>
        <v>0</v>
      </c>
      <c r="AB75" s="23">
        <f>EXP(-LN(2)/2)*AB74+(1-EXP(-LN(2)/2))/(LN(2)/2)*V75*Y75*VLOOKUP('Données projet'!$B$9,Paramètres!$A$1:$I$88,3,0)*0.475*44/12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68.099518022451548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254.39999999999992</v>
      </c>
      <c r="AJ75" s="14">
        <f>AI75*VLOOKUP('Données projet'!$B$10,Paramètres!$A$1:$I$88,3,0)*VLOOKUP('Données projet'!$B$10,Paramètres!$A$1:$I$88,5,0)</f>
        <v>230.18111999999991</v>
      </c>
      <c r="AK75" s="14">
        <f t="shared" si="89"/>
        <v>56.321842115392933</v>
      </c>
      <c r="AL75" s="22">
        <f t="shared" si="58"/>
        <v>498.99265901764255</v>
      </c>
      <c r="AM75" s="62">
        <f t="shared" si="59"/>
        <v>785.35755843329821</v>
      </c>
      <c r="AN75" s="62">
        <f ca="1">AVERAGE(OFFSET($AM$3,0,0,'Données projet'!$E$10+1,1))-AVERAGE(OFFSET($H$3,0,0,'Données projet'!$E$10+1,1))</f>
        <v>441.34749554136755</v>
      </c>
      <c r="AO75" s="62">
        <f t="shared" si="90"/>
        <v>236.49038586666222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0</v>
      </c>
      <c r="AV75" s="23">
        <f>EXP(-LN(2)/25)*AV74+(1-EXP(-LN(2)/25))/(LN(2)/25)*Calculateur!AQ75*Calculateur!AS75*VLOOKUP('Données projet'!$B$10,Paramètres!$A$1:$I$88,3,0)*0.475*44/12</f>
        <v>0</v>
      </c>
      <c r="AW75" s="23">
        <f>EXP(-LN(2)/2)*AW74+(1-EXP(-LN(2)/2))/(LN(2)/2)*AQ75*AT75*VLOOKUP('Données projet'!$B$10,Paramètres!$A$1:$I$88,3,0)*0.475*44/12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68.099518022451548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254.39999999999992</v>
      </c>
      <c r="BE75" s="14">
        <f>BD75*VLOOKUP('Données projet'!$B$11,Paramètres!$A$1:$I$88,3,0)*VLOOKUP('Données projet'!$B$11,Paramètres!$A$1:$I$88,5,0)</f>
        <v>273.83615999999995</v>
      </c>
      <c r="BF75" s="14">
        <f t="shared" si="91"/>
        <v>65.662729582301651</v>
      </c>
      <c r="BG75" s="22">
        <f t="shared" si="61"/>
        <v>591.29389935584197</v>
      </c>
      <c r="BH75" s="62">
        <f t="shared" si="62"/>
        <v>877.65879877149769</v>
      </c>
      <c r="BI75" s="62">
        <f ca="1">AVERAGE(OFFSET($BH$3,0,0,'Données projet'!$E$11+1,1))-AVERAGE(OFFSET($H$3,0,0,'Données projet'!$E$11+1,1))</f>
        <v>514.86487884889584</v>
      </c>
      <c r="BJ75" s="62">
        <f t="shared" si="92"/>
        <v>272.4206208356191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projet'!$B$11,Paramètres!$A$1:$I$88,3,0)*0.475*44/12</f>
        <v>0</v>
      </c>
      <c r="BQ75" s="23">
        <f>EXP(-LN(2)/25)*BQ74+(1-EXP(-LN(2)/25))/(LN(2)/25)*Calculateur!BL75*Calculateur!BN75*VLOOKUP('Données projet'!$B$11,Paramètres!$A$1:$I$88,3,0)*0.475*44/12</f>
        <v>0</v>
      </c>
      <c r="BR75" s="23">
        <f>EXP(-LN(2)/2)*BR74+(1-EXP(-LN(2)/2))/(LN(2)/2)*BL75*BO75*VLOOKUP('Données projet'!$B$11,Paramètres!$A$1:$I$88,3,0)*0.475*44/12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68.099518022451548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3.4</v>
      </c>
      <c r="BY75" s="13">
        <f>IF('Données projet'!$A$114&gt;35,BY74+BX75-CG74,IF(A75&lt;'Données projet'!$A$114,$BV$205^A75,IF(A75='Données projet'!$A$114,'Données projet'!$B$114,BY74+BX75-CG74)))</f>
        <v>259.7999999999999</v>
      </c>
      <c r="BZ75" s="14">
        <f>BY75*VLOOKUP('Données projet'!$B$12,Paramètres!$A$1:$I$88,3,0)*VLOOKUP('Données projet'!$B$12,Paramètres!$A$1:$I$88,5,0)</f>
        <v>170.22095999999993</v>
      </c>
      <c r="CA75" s="14">
        <f t="shared" si="93"/>
        <v>43.13950753318327</v>
      </c>
      <c r="CB75" s="22">
        <f t="shared" si="64"/>
        <v>371.60281428696072</v>
      </c>
      <c r="CC75" s="62">
        <f t="shared" si="65"/>
        <v>657.96771370261638</v>
      </c>
      <c r="CD75" s="62">
        <f ca="1">AVERAGE(OFFSET($CC$3,0,0,'Données projet'!$E$12+1,1))-AVERAGE(OFFSET($H$3,0,0,'Données projet'!$E$12+1,1))</f>
        <v>270.10151451661864</v>
      </c>
      <c r="CE75" s="62">
        <f t="shared" si="94"/>
        <v>294.47934482366804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projet'!$B$12,Paramètres!$A$1:$I$88,3,0)*0.475*44/12</f>
        <v>0</v>
      </c>
      <c r="CL75" s="23">
        <f>EXP(-LN(2)/25)*CL74+(1-EXP(-LN(2)/25))/(LN(2)/25)*Calculateur!CG75*Calculateur!CI75*VLOOKUP('Données projet'!$B$12,Paramètres!$A$1:$I$88,3,0)*0.475*44/12</f>
        <v>0</v>
      </c>
      <c r="CM75" s="23">
        <f>EXP(-LN(2)/2)*CM74+(1-EXP(-LN(2)/2))/(LN(2)/2)*CG75*CJ75*VLOOKUP('Données projet'!$B$12,Paramètres!$A$1:$I$88,3,0)*0.475*44/12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68.099518022451548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3.4</v>
      </c>
      <c r="CT75" s="13">
        <f>IF('Données projet'!$A$140&gt;35,CT74+CS75-DB74,IF(A75&lt;'Données projet'!$A$140,$CQ$205^A75,IF(A75='Données projet'!$A$140,'Données projet'!$B$140,CT74+CS75-DB74)))</f>
        <v>259.7999999999999</v>
      </c>
      <c r="CU75" s="18">
        <f>CT75*VLOOKUP('Données projet'!$B$13,Paramètres!$A$1:$I$88,3,0)*VLOOKUP('Données projet'!$B$13,Paramètres!$A$1:$I$88,5,0)</f>
        <v>170.22095999999993</v>
      </c>
      <c r="CV75" s="14">
        <f t="shared" si="95"/>
        <v>43.13950753318327</v>
      </c>
      <c r="CW75" s="22">
        <f t="shared" si="67"/>
        <v>371.60281428696072</v>
      </c>
      <c r="CX75" s="62">
        <f t="shared" si="68"/>
        <v>657.96771370261638</v>
      </c>
      <c r="CY75" s="62">
        <f ca="1">AVERAGE(OFFSET($CX$3,0,0,'Données projet'!$E$13+1,1))-AVERAGE(OFFSET($H$3,0,0,'Données projet'!$E$13+1,1))</f>
        <v>270.10151451661864</v>
      </c>
      <c r="CZ75" s="62">
        <f t="shared" si="96"/>
        <v>294.47934482366804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projet'!$B$13,Paramètres!$A$1:$I$88,3,0)*0.475*44/12</f>
        <v>0</v>
      </c>
      <c r="DG75" s="23">
        <f>EXP(-LN(2)/25)*DG74+(1-EXP(-LN(2)/25))/(LN(2)/25)*Calculateur!DB75*Calculateur!DD75*VLOOKUP('Données projet'!$B$13,Paramètres!$A$1:$I$88,3,0)*0.475*44/12</f>
        <v>0</v>
      </c>
      <c r="DH75" s="23">
        <f>EXP(-LN(2)/2)*DH74+(1-EXP(-LN(2)/2))/(LN(2)/2)*DB75*DE75*VLOOKUP('Données projet'!$B$13,Paramètres!$A$1:$I$88,3,0)*0.475*44/12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68.099518022451548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projet'!$B$14,Paramètres!$A$1:$I$88,3,0)*0.475*44/12</f>
        <v>#N/A</v>
      </c>
      <c r="EB75" s="23" t="e">
        <f>EXP(-LN(2)/25)*EB74+(1-EXP(-LN(2)/25))/(LN(2)/25)*Calculateur!DW75*Calculateur!DY75*VLOOKUP('Données projet'!$B$14,Paramètres!$A$1:$I$88,3,0)*0.475*44/12</f>
        <v>#N/A</v>
      </c>
      <c r="EC75" s="23" t="e">
        <f>EXP(-LN(2)/2)*EC74+(1-EXP(-LN(2)/2))/(LN(2)/2)*DW75*DZ75*VLOOKUP('Données projet'!$B$14,Paramètres!$A$1:$I$88,3,0)*0.475*44/12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68.099518022451548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68.099518022451548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68.099518022451548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68.099518022451548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1.34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4.9133333333333331</v>
      </c>
      <c r="H76" s="70">
        <f t="shared" si="56"/>
        <v>237.01333333333332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68.132487135920826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260.59999999999991</v>
      </c>
      <c r="O76" s="14">
        <f>N76*VLOOKUP('Données projet'!$B$9,Paramètres!$A$1:$I$88,3,0)*VLOOKUP('Données projet'!$B$9,Paramètres!$A$1:$I$88,5,0)</f>
        <v>264.24839999999995</v>
      </c>
      <c r="P76" s="14">
        <f t="shared" si="87"/>
        <v>63.627109143733414</v>
      </c>
      <c r="Q76" s="22">
        <f t="shared" si="54"/>
        <v>571.04984509200233</v>
      </c>
      <c r="R76" s="62">
        <f t="shared" si="55"/>
        <v>857.53563125704534</v>
      </c>
      <c r="S76" s="62">
        <f ca="1">AVERAGE(OFFSET($R$3,0,0,'Données projet'!$E$9+1,1))-AVERAGE(OFFSET($H$3,0,0,'Données projet'!$E$9+1,1))</f>
        <v>488.16146816015231</v>
      </c>
      <c r="T76" s="62">
        <f t="shared" si="88"/>
        <v>259.37115195552127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0</v>
      </c>
      <c r="AA76" s="23">
        <f>EXP(-LN(2)/25)*AA75+(1-EXP(-LN(2)/25))/(LN(2)/25)*Calculateur!V76*Calculateur!X76*VLOOKUP('Données projet'!$B$9,Paramètres!$A$1:$I$88,3,0)*0.475*44/12</f>
        <v>0</v>
      </c>
      <c r="AB76" s="23">
        <f>EXP(-LN(2)/2)*AB75+(1-EXP(-LN(2)/2))/(LN(2)/2)*V76*Y76*VLOOKUP('Données projet'!$B$9,Paramètres!$A$1:$I$88,3,0)*0.475*44/12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68.132487135920826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260.59999999999991</v>
      </c>
      <c r="AJ76" s="14">
        <f>AI76*VLOOKUP('Données projet'!$B$10,Paramètres!$A$1:$I$88,3,0)*VLOOKUP('Données projet'!$B$10,Paramètres!$A$1:$I$88,5,0)</f>
        <v>235.7908799999999</v>
      </c>
      <c r="AK76" s="14">
        <f t="shared" si="89"/>
        <v>57.532987351107714</v>
      </c>
      <c r="AL76" s="22">
        <f t="shared" si="58"/>
        <v>510.87240230317911</v>
      </c>
      <c r="AM76" s="62">
        <f t="shared" si="59"/>
        <v>797.35818846822212</v>
      </c>
      <c r="AN76" s="62">
        <f ca="1">AVERAGE(OFFSET($AM$3,0,0,'Données projet'!$E$10+1,1))-AVERAGE(OFFSET($H$3,0,0,'Données projet'!$E$10+1,1))</f>
        <v>441.34749554136755</v>
      </c>
      <c r="AO76" s="62">
        <f t="shared" si="90"/>
        <v>236.49038586666222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0</v>
      </c>
      <c r="AV76" s="23">
        <f>EXP(-LN(2)/25)*AV75+(1-EXP(-LN(2)/25))/(LN(2)/25)*Calculateur!AQ76*Calculateur!AS76*VLOOKUP('Données projet'!$B$10,Paramètres!$A$1:$I$88,3,0)*0.475*44/12</f>
        <v>0</v>
      </c>
      <c r="AW76" s="23">
        <f>EXP(-LN(2)/2)*AW75+(1-EXP(-LN(2)/2))/(LN(2)/2)*AQ76*AT76*VLOOKUP('Données projet'!$B$10,Paramètres!$A$1:$I$88,3,0)*0.475*44/12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68.132487135920826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260.59999999999991</v>
      </c>
      <c r="BE76" s="14">
        <f>BD76*VLOOKUP('Données projet'!$B$11,Paramètres!$A$1:$I$88,3,0)*VLOOKUP('Données projet'!$B$11,Paramètres!$A$1:$I$88,5,0)</f>
        <v>280.50983999999988</v>
      </c>
      <c r="BF76" s="14">
        <f t="shared" si="91"/>
        <v>67.074741318968506</v>
      </c>
      <c r="BG76" s="22">
        <f t="shared" si="61"/>
        <v>605.37647913053661</v>
      </c>
      <c r="BH76" s="62">
        <f t="shared" si="62"/>
        <v>891.86226529557962</v>
      </c>
      <c r="BI76" s="62">
        <f ca="1">AVERAGE(OFFSET($BH$3,0,0,'Données projet'!$E$11+1,1))-AVERAGE(OFFSET($H$3,0,0,'Données projet'!$E$11+1,1))</f>
        <v>514.86487884889584</v>
      </c>
      <c r="BJ76" s="62">
        <f t="shared" si="92"/>
        <v>272.4206208356191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projet'!$B$11,Paramètres!$A$1:$I$88,3,0)*0.475*44/12</f>
        <v>0</v>
      </c>
      <c r="BQ76" s="23">
        <f>EXP(-LN(2)/25)*BQ75+(1-EXP(-LN(2)/25))/(LN(2)/25)*Calculateur!BL76*Calculateur!BN76*VLOOKUP('Données projet'!$B$11,Paramètres!$A$1:$I$88,3,0)*0.475*44/12</f>
        <v>0</v>
      </c>
      <c r="BR76" s="23">
        <f>EXP(-LN(2)/2)*BR75+(1-EXP(-LN(2)/2))/(LN(2)/2)*BL76*BO76*VLOOKUP('Données projet'!$B$11,Paramètres!$A$1:$I$88,3,0)*0.475*44/12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68.132487135920826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3.4</v>
      </c>
      <c r="BY76" s="13">
        <f>IF('Données projet'!$A$114&gt;35,BY75+BX76-CG75,IF(A76&lt;'Données projet'!$A$114,$BV$205^A76,IF(A76='Données projet'!$A$114,'Données projet'!$B$114,BY75+BX76-CG75)))</f>
        <v>263.19999999999987</v>
      </c>
      <c r="BZ76" s="14">
        <f>BY76*VLOOKUP('Données projet'!$B$12,Paramètres!$A$1:$I$88,3,0)*VLOOKUP('Données projet'!$B$12,Paramètres!$A$1:$I$88,5,0)</f>
        <v>172.44863999999993</v>
      </c>
      <c r="CA76" s="14">
        <f t="shared" si="93"/>
        <v>43.637980200453676</v>
      </c>
      <c r="CB76" s="22">
        <f t="shared" si="64"/>
        <v>376.35086351579002</v>
      </c>
      <c r="CC76" s="62">
        <f t="shared" si="65"/>
        <v>662.83664968083303</v>
      </c>
      <c r="CD76" s="62">
        <f ca="1">AVERAGE(OFFSET($CC$3,0,0,'Données projet'!$E$12+1,1))-AVERAGE(OFFSET($H$3,0,0,'Données projet'!$E$12+1,1))</f>
        <v>270.10151451661864</v>
      </c>
      <c r="CE76" s="62">
        <f t="shared" si="94"/>
        <v>294.47934482366804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projet'!$B$12,Paramètres!$A$1:$I$88,3,0)*0.475*44/12</f>
        <v>0</v>
      </c>
      <c r="CL76" s="23">
        <f>EXP(-LN(2)/25)*CL75+(1-EXP(-LN(2)/25))/(LN(2)/25)*Calculateur!CG76*Calculateur!CI76*VLOOKUP('Données projet'!$B$12,Paramètres!$A$1:$I$88,3,0)*0.475*44/12</f>
        <v>0</v>
      </c>
      <c r="CM76" s="23">
        <f>EXP(-LN(2)/2)*CM75+(1-EXP(-LN(2)/2))/(LN(2)/2)*CG76*CJ76*VLOOKUP('Données projet'!$B$12,Paramètres!$A$1:$I$88,3,0)*0.475*44/12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68.132487135920826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3.4</v>
      </c>
      <c r="CT76" s="13">
        <f>IF('Données projet'!$A$140&gt;35,CT75+CS76-DB75,IF(A76&lt;'Données projet'!$A$140,$CQ$205^A76,IF(A76='Données projet'!$A$140,'Données projet'!$B$140,CT75+CS76-DB75)))</f>
        <v>263.19999999999987</v>
      </c>
      <c r="CU76" s="18">
        <f>CT76*VLOOKUP('Données projet'!$B$13,Paramètres!$A$1:$I$88,3,0)*VLOOKUP('Données projet'!$B$13,Paramètres!$A$1:$I$88,5,0)</f>
        <v>172.44863999999993</v>
      </c>
      <c r="CV76" s="14">
        <f t="shared" si="95"/>
        <v>43.637980200453676</v>
      </c>
      <c r="CW76" s="22">
        <f t="shared" si="67"/>
        <v>376.35086351579002</v>
      </c>
      <c r="CX76" s="62">
        <f t="shared" si="68"/>
        <v>662.83664968083303</v>
      </c>
      <c r="CY76" s="62">
        <f ca="1">AVERAGE(OFFSET($CX$3,0,0,'Données projet'!$E$13+1,1))-AVERAGE(OFFSET($H$3,0,0,'Données projet'!$E$13+1,1))</f>
        <v>270.10151451661864</v>
      </c>
      <c r="CZ76" s="62">
        <f t="shared" si="96"/>
        <v>294.47934482366804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projet'!$B$13,Paramètres!$A$1:$I$88,3,0)*0.475*44/12</f>
        <v>0</v>
      </c>
      <c r="DG76" s="23">
        <f>EXP(-LN(2)/25)*DG75+(1-EXP(-LN(2)/25))/(LN(2)/25)*Calculateur!DB76*Calculateur!DD76*VLOOKUP('Données projet'!$B$13,Paramètres!$A$1:$I$88,3,0)*0.475*44/12</f>
        <v>0</v>
      </c>
      <c r="DH76" s="23">
        <f>EXP(-LN(2)/2)*DH75+(1-EXP(-LN(2)/2))/(LN(2)/2)*DB76*DE76*VLOOKUP('Données projet'!$B$13,Paramètres!$A$1:$I$88,3,0)*0.475*44/12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68.132487135920826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projet'!$B$14,Paramètres!$A$1:$I$88,3,0)*0.475*44/12</f>
        <v>#N/A</v>
      </c>
      <c r="EB76" s="23" t="e">
        <f>EXP(-LN(2)/25)*EB75+(1-EXP(-LN(2)/25))/(LN(2)/25)*Calculateur!DW76*Calculateur!DY76*VLOOKUP('Données projet'!$B$14,Paramètres!$A$1:$I$88,3,0)*0.475*44/12</f>
        <v>#N/A</v>
      </c>
      <c r="EC76" s="23" t="e">
        <f>EXP(-LN(2)/2)*EC75+(1-EXP(-LN(2)/2))/(LN(2)/2)*DW76*DZ76*VLOOKUP('Données projet'!$B$14,Paramètres!$A$1:$I$88,3,0)*0.475*44/12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68.132487135920826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68.132487135920826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68.132487135920826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68.132487135920826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1.34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4.9133333333333331</v>
      </c>
      <c r="H77" s="70">
        <f t="shared" si="56"/>
        <v>237.01333333333332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68.16488430897931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266.7999999999999</v>
      </c>
      <c r="O77" s="14">
        <f>N77*VLOOKUP('Données projet'!$B$9,Paramètres!$A$1:$I$88,3,0)*VLOOKUP('Données projet'!$B$9,Paramètres!$A$1:$I$88,5,0)</f>
        <v>270.53519999999992</v>
      </c>
      <c r="P77" s="14">
        <f t="shared" si="87"/>
        <v>64.962839141501405</v>
      </c>
      <c r="Q77" s="22">
        <f t="shared" si="54"/>
        <v>584.32575150478135</v>
      </c>
      <c r="R77" s="62">
        <f t="shared" si="55"/>
        <v>870.93032730437221</v>
      </c>
      <c r="S77" s="62">
        <f ca="1">AVERAGE(OFFSET($R$3,0,0,'Données projet'!$E$9+1,1))-AVERAGE(OFFSET($H$3,0,0,'Données projet'!$E$9+1,1))</f>
        <v>488.16146816015231</v>
      </c>
      <c r="T77" s="62">
        <f t="shared" si="88"/>
        <v>259.37115195552127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0</v>
      </c>
      <c r="AA77" s="23">
        <f>EXP(-LN(2)/25)*AA76+(1-EXP(-LN(2)/25))/(LN(2)/25)*Calculateur!V77*Calculateur!X77*VLOOKUP('Données projet'!$B$9,Paramètres!$A$1:$I$88,3,0)*0.475*44/12</f>
        <v>0</v>
      </c>
      <c r="AB77" s="23">
        <f>EXP(-LN(2)/2)*AB76+(1-EXP(-LN(2)/2))/(LN(2)/2)*V77*Y77*VLOOKUP('Données projet'!$B$9,Paramètres!$A$1:$I$88,3,0)*0.475*44/12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68.16488430897931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266.7999999999999</v>
      </c>
      <c r="AJ77" s="14">
        <f>AI77*VLOOKUP('Données projet'!$B$10,Paramètres!$A$1:$I$88,3,0)*VLOOKUP('Données projet'!$B$10,Paramètres!$A$1:$I$88,5,0)</f>
        <v>241.40063999999992</v>
      </c>
      <c r="AK77" s="14">
        <f t="shared" si="89"/>
        <v>58.740782866262698</v>
      </c>
      <c r="AL77" s="22">
        <f t="shared" si="58"/>
        <v>522.74631149207403</v>
      </c>
      <c r="AM77" s="62">
        <f t="shared" si="59"/>
        <v>809.35088729166478</v>
      </c>
      <c r="AN77" s="62">
        <f ca="1">AVERAGE(OFFSET($AM$3,0,0,'Données projet'!$E$10+1,1))-AVERAGE(OFFSET($H$3,0,0,'Données projet'!$E$10+1,1))</f>
        <v>441.34749554136755</v>
      </c>
      <c r="AO77" s="62">
        <f t="shared" si="90"/>
        <v>236.49038586666222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0</v>
      </c>
      <c r="AV77" s="23">
        <f>EXP(-LN(2)/25)*AV76+(1-EXP(-LN(2)/25))/(LN(2)/25)*Calculateur!AQ77*Calculateur!AS77*VLOOKUP('Données projet'!$B$10,Paramètres!$A$1:$I$88,3,0)*0.475*44/12</f>
        <v>0</v>
      </c>
      <c r="AW77" s="23">
        <f>EXP(-LN(2)/2)*AW76+(1-EXP(-LN(2)/2))/(LN(2)/2)*AQ77*AT77*VLOOKUP('Données projet'!$B$10,Paramètres!$A$1:$I$88,3,0)*0.475*44/12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68.16488430897931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266.7999999999999</v>
      </c>
      <c r="BE77" s="14">
        <f>BD77*VLOOKUP('Données projet'!$B$11,Paramètres!$A$1:$I$88,3,0)*VLOOKUP('Données projet'!$B$11,Paramètres!$A$1:$I$88,5,0)</f>
        <v>287.18351999999987</v>
      </c>
      <c r="BF77" s="14">
        <f t="shared" si="91"/>
        <v>68.482847789276349</v>
      </c>
      <c r="BG77" s="22">
        <f t="shared" si="61"/>
        <v>619.45225723298938</v>
      </c>
      <c r="BH77" s="62">
        <f t="shared" si="62"/>
        <v>906.05683303258024</v>
      </c>
      <c r="BI77" s="62">
        <f ca="1">AVERAGE(OFFSET($BH$3,0,0,'Données projet'!$E$11+1,1))-AVERAGE(OFFSET($H$3,0,0,'Données projet'!$E$11+1,1))</f>
        <v>514.86487884889584</v>
      </c>
      <c r="BJ77" s="62">
        <f t="shared" si="92"/>
        <v>272.4206208356191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projet'!$B$11,Paramètres!$A$1:$I$88,3,0)*0.475*44/12</f>
        <v>0</v>
      </c>
      <c r="BQ77" s="23">
        <f>EXP(-LN(2)/25)*BQ76+(1-EXP(-LN(2)/25))/(LN(2)/25)*Calculateur!BL77*Calculateur!BN77*VLOOKUP('Données projet'!$B$11,Paramètres!$A$1:$I$88,3,0)*0.475*44/12</f>
        <v>0</v>
      </c>
      <c r="BR77" s="23">
        <f>EXP(-LN(2)/2)*BR76+(1-EXP(-LN(2)/2))/(LN(2)/2)*BL77*BO77*VLOOKUP('Données projet'!$B$11,Paramètres!$A$1:$I$88,3,0)*0.475*44/12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68.16488430897931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3.4</v>
      </c>
      <c r="BY77" s="13">
        <f>IF('Données projet'!$A$114&gt;35,BY76+BX77-CG76,IF(A77&lt;'Données projet'!$A$114,$BV$205^A77,IF(A77='Données projet'!$A$114,'Données projet'!$B$114,BY76+BX77-CG76)))</f>
        <v>266.59999999999985</v>
      </c>
      <c r="BZ77" s="14">
        <f>BY77*VLOOKUP('Données projet'!$B$12,Paramètres!$A$1:$I$88,3,0)*VLOOKUP('Données projet'!$B$12,Paramètres!$A$1:$I$88,5,0)</f>
        <v>174.67631999999992</v>
      </c>
      <c r="CA77" s="14">
        <f t="shared" si="93"/>
        <v>44.135703881788075</v>
      </c>
      <c r="CB77" s="22">
        <f t="shared" si="64"/>
        <v>381.09760826078076</v>
      </c>
      <c r="CC77" s="62">
        <f t="shared" si="65"/>
        <v>667.70218406037156</v>
      </c>
      <c r="CD77" s="62">
        <f ca="1">AVERAGE(OFFSET($CC$3,0,0,'Données projet'!$E$12+1,1))-AVERAGE(OFFSET($H$3,0,0,'Données projet'!$E$12+1,1))</f>
        <v>270.10151451661864</v>
      </c>
      <c r="CE77" s="62">
        <f t="shared" si="94"/>
        <v>294.47934482366804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projet'!$B$12,Paramètres!$A$1:$I$88,3,0)*0.475*44/12</f>
        <v>0</v>
      </c>
      <c r="CL77" s="23">
        <f>EXP(-LN(2)/25)*CL76+(1-EXP(-LN(2)/25))/(LN(2)/25)*Calculateur!CG77*Calculateur!CI77*VLOOKUP('Données projet'!$B$12,Paramètres!$A$1:$I$88,3,0)*0.475*44/12</f>
        <v>0</v>
      </c>
      <c r="CM77" s="23">
        <f>EXP(-LN(2)/2)*CM76+(1-EXP(-LN(2)/2))/(LN(2)/2)*CG77*CJ77*VLOOKUP('Données projet'!$B$12,Paramètres!$A$1:$I$88,3,0)*0.475*44/12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68.16488430897931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3.4</v>
      </c>
      <c r="CT77" s="13">
        <f>IF('Données projet'!$A$140&gt;35,CT76+CS77-DB76,IF(A77&lt;'Données projet'!$A$140,$CQ$205^A77,IF(A77='Données projet'!$A$140,'Données projet'!$B$140,CT76+CS77-DB76)))</f>
        <v>266.59999999999985</v>
      </c>
      <c r="CU77" s="18">
        <f>CT77*VLOOKUP('Données projet'!$B$13,Paramètres!$A$1:$I$88,3,0)*VLOOKUP('Données projet'!$B$13,Paramètres!$A$1:$I$88,5,0)</f>
        <v>174.67631999999992</v>
      </c>
      <c r="CV77" s="14">
        <f t="shared" si="95"/>
        <v>44.135703881788075</v>
      </c>
      <c r="CW77" s="22">
        <f t="shared" si="67"/>
        <v>381.09760826078076</v>
      </c>
      <c r="CX77" s="62">
        <f t="shared" si="68"/>
        <v>667.70218406037156</v>
      </c>
      <c r="CY77" s="62">
        <f ca="1">AVERAGE(OFFSET($CX$3,0,0,'Données projet'!$E$13+1,1))-AVERAGE(OFFSET($H$3,0,0,'Données projet'!$E$13+1,1))</f>
        <v>270.10151451661864</v>
      </c>
      <c r="CZ77" s="62">
        <f t="shared" si="96"/>
        <v>294.47934482366804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projet'!$B$13,Paramètres!$A$1:$I$88,3,0)*0.475*44/12</f>
        <v>0</v>
      </c>
      <c r="DG77" s="23">
        <f>EXP(-LN(2)/25)*DG76+(1-EXP(-LN(2)/25))/(LN(2)/25)*Calculateur!DB77*Calculateur!DD77*VLOOKUP('Données projet'!$B$13,Paramètres!$A$1:$I$88,3,0)*0.475*44/12</f>
        <v>0</v>
      </c>
      <c r="DH77" s="23">
        <f>EXP(-LN(2)/2)*DH76+(1-EXP(-LN(2)/2))/(LN(2)/2)*DB77*DE77*VLOOKUP('Données projet'!$B$13,Paramètres!$A$1:$I$88,3,0)*0.475*44/12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68.16488430897931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projet'!$B$14,Paramètres!$A$1:$I$88,3,0)*0.475*44/12</f>
        <v>#N/A</v>
      </c>
      <c r="EB77" s="23" t="e">
        <f>EXP(-LN(2)/25)*EB76+(1-EXP(-LN(2)/25))/(LN(2)/25)*Calculateur!DW77*Calculateur!DY77*VLOOKUP('Données projet'!$B$14,Paramètres!$A$1:$I$88,3,0)*0.475*44/12</f>
        <v>#N/A</v>
      </c>
      <c r="EC77" s="23" t="e">
        <f>EXP(-LN(2)/2)*EC76+(1-EXP(-LN(2)/2))/(LN(2)/2)*DW77*DZ77*VLOOKUP('Données projet'!$B$14,Paramètres!$A$1:$I$88,3,0)*0.475*44/12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68.16488430897931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68.16488430897931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68.16488430897931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68.16488430897931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1.34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4.9133333333333331</v>
      </c>
      <c r="H78" s="70">
        <f t="shared" si="56"/>
        <v>237.01333333333332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68.196719463514469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273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272.99999999999989</v>
      </c>
      <c r="O78" s="14">
        <f>N78*VLOOKUP('Données projet'!$B$9,Paramètres!$A$1:$I$88,3,0)*VLOOKUP('Données projet'!$B$9,Paramètres!$A$1:$I$88,5,0)</f>
        <v>276.82199999999989</v>
      </c>
      <c r="P78" s="14">
        <f t="shared" si="87"/>
        <v>66.29496059864374</v>
      </c>
      <c r="Q78" s="22">
        <f t="shared" si="54"/>
        <v>597.59537304263756</v>
      </c>
      <c r="R78" s="62">
        <f t="shared" si="55"/>
        <v>884.31667774219068</v>
      </c>
      <c r="S78" s="62">
        <f ca="1">AVERAGE(OFFSET($R$3,0,0,'Données projet'!$E$9+1,1))-AVERAGE(OFFSET($H$3,0,0,'Données projet'!$E$9+1,1))</f>
        <v>488.16146816015231</v>
      </c>
      <c r="T78" s="62">
        <f t="shared" si="88"/>
        <v>259.37115195552127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42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0</v>
      </c>
      <c r="AA78" s="23">
        <f>EXP(-LN(2)/25)*AA77+(1-EXP(-LN(2)/25))/(LN(2)/25)*Calculateur!V78*Calculateur!X78*VLOOKUP('Données projet'!$B$9,Paramètres!$A$1:$I$88,3,0)*0.475*44/12</f>
        <v>0</v>
      </c>
      <c r="AB78" s="23">
        <f>EXP(-LN(2)/2)*AB77+(1-EXP(-LN(2)/2))/(LN(2)/2)*V78*Y78*VLOOKUP('Données projet'!$B$9,Paramètres!$A$1:$I$88,3,0)*0.475*44/12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68.196719463514469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273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272.99999999999989</v>
      </c>
      <c r="AJ78" s="14">
        <f>AI78*VLOOKUP('Données projet'!$B$10,Paramètres!$A$1:$I$88,3,0)*VLOOKUP('Données projet'!$B$10,Paramètres!$A$1:$I$88,5,0)</f>
        <v>247.01039999999989</v>
      </c>
      <c r="AK78" s="14">
        <f t="shared" si="89"/>
        <v>59.945315462121812</v>
      </c>
      <c r="AL78" s="22">
        <f t="shared" si="58"/>
        <v>534.61453776319524</v>
      </c>
      <c r="AM78" s="62">
        <f t="shared" si="59"/>
        <v>821.33584246274836</v>
      </c>
      <c r="AN78" s="62">
        <f ca="1">AVERAGE(OFFSET($AM$3,0,0,'Données projet'!$E$10+1,1))-AVERAGE(OFFSET($H$3,0,0,'Données projet'!$E$10+1,1))</f>
        <v>441.34749554136755</v>
      </c>
      <c r="AO78" s="62">
        <f t="shared" si="90"/>
        <v>236.49038586666222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42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0</v>
      </c>
      <c r="AV78" s="23">
        <f>EXP(-LN(2)/25)*AV77+(1-EXP(-LN(2)/25))/(LN(2)/25)*Calculateur!AQ78*Calculateur!AS78*VLOOKUP('Données projet'!$B$10,Paramètres!$A$1:$I$88,3,0)*0.475*44/12</f>
        <v>0</v>
      </c>
      <c r="AW78" s="23">
        <f>EXP(-LN(2)/2)*AW77+(1-EXP(-LN(2)/2))/(LN(2)/2)*AQ78*AT78*VLOOKUP('Données projet'!$B$10,Paramètres!$A$1:$I$88,3,0)*0.475*44/12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68.196719463514469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273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272.99999999999989</v>
      </c>
      <c r="BE78" s="14">
        <f>BD78*VLOOKUP('Données projet'!$B$11,Paramètres!$A$1:$I$88,3,0)*VLOOKUP('Données projet'!$B$11,Paramètres!$A$1:$I$88,5,0)</f>
        <v>293.85719999999986</v>
      </c>
      <c r="BF78" s="14">
        <f t="shared" si="91"/>
        <v>69.887150190339781</v>
      </c>
      <c r="BG78" s="22">
        <f t="shared" si="61"/>
        <v>633.52140991484157</v>
      </c>
      <c r="BH78" s="62">
        <f t="shared" si="62"/>
        <v>920.24271461439457</v>
      </c>
      <c r="BI78" s="62">
        <f ca="1">AVERAGE(OFFSET($BH$3,0,0,'Données projet'!$E$11+1,1))-AVERAGE(OFFSET($H$3,0,0,'Données projet'!$E$11+1,1))</f>
        <v>514.86487884889584</v>
      </c>
      <c r="BJ78" s="62">
        <f t="shared" si="92"/>
        <v>272.4206208356191</v>
      </c>
      <c r="BK78" s="16">
        <f>IF(ISNA(VLOOKUP(A78,'Données projet'!$A$87:$I$107,3,0)),0,VLOOKUP(A78,'Données projet'!$A$87:$I$107,3,0))</f>
        <v>6</v>
      </c>
      <c r="BL78" s="16">
        <f>IF(ISNA(VLOOKUP(A78,'Données projet'!$A$87:$I$107,4,0)),0,VLOOKUP(A78,'Données projet'!$A$87:$I$107,4,0))</f>
        <v>42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projet'!$B$11,Paramètres!$A$1:$I$88,3,0)*0.475*44/12</f>
        <v>0</v>
      </c>
      <c r="BQ78" s="23">
        <f>EXP(-LN(2)/25)*BQ77+(1-EXP(-LN(2)/25))/(LN(2)/25)*Calculateur!BL78*Calculateur!BN78*VLOOKUP('Données projet'!$B$11,Paramètres!$A$1:$I$88,3,0)*0.475*44/12</f>
        <v>0</v>
      </c>
      <c r="BR78" s="23">
        <f>EXP(-LN(2)/2)*BR77+(1-EXP(-LN(2)/2))/(LN(2)/2)*BL78*BO78*VLOOKUP('Données projet'!$B$11,Paramètres!$A$1:$I$88,3,0)*0.475*44/12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68.196719463514469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270</v>
      </c>
      <c r="BW78" s="13">
        <f>VLOOKUP(A78,'Données projet'!$A$113:$I$133,9,0)</f>
        <v>3.4</v>
      </c>
      <c r="BX78" s="13">
        <f t="array" ref="BX78">INDEX(BW:BW,MIN(IF(ISNUMBER(BW78:BW274),ROW(BW78:BW274),"")))</f>
        <v>3.4</v>
      </c>
      <c r="BY78" s="13">
        <f>IF('Données projet'!$A$114&gt;35,BY77+BX78-CG77,IF(A78&lt;'Données projet'!$A$114,$BV$205^A78,IF(A78='Données projet'!$A$114,'Données projet'!$B$114,BY77+BX78-CG77)))</f>
        <v>269.99999999999983</v>
      </c>
      <c r="BZ78" s="14">
        <f>BY78*VLOOKUP('Données projet'!$B$12,Paramètres!$A$1:$I$88,3,0)*VLOOKUP('Données projet'!$B$12,Paramètres!$A$1:$I$88,5,0)</f>
        <v>176.90399999999988</v>
      </c>
      <c r="CA78" s="14">
        <f t="shared" si="93"/>
        <v>44.632689233663115</v>
      </c>
      <c r="CB78" s="22">
        <f t="shared" si="64"/>
        <v>385.84306708196306</v>
      </c>
      <c r="CC78" s="62">
        <f t="shared" si="65"/>
        <v>672.56437178151612</v>
      </c>
      <c r="CD78" s="62">
        <f ca="1">AVERAGE(OFFSET($CC$3,0,0,'Données projet'!$E$12+1,1))-AVERAGE(OFFSET($H$3,0,0,'Données projet'!$E$12+1,1))</f>
        <v>270.10151451661864</v>
      </c>
      <c r="CE78" s="62">
        <f t="shared" si="94"/>
        <v>294.47934482366804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projet'!$B$12,Paramètres!$A$1:$I$88,3,0)*0.475*44/12</f>
        <v>0</v>
      </c>
      <c r="CL78" s="23">
        <f>EXP(-LN(2)/25)*CL77+(1-EXP(-LN(2)/25))/(LN(2)/25)*Calculateur!CG78*Calculateur!CI78*VLOOKUP('Données projet'!$B$12,Paramètres!$A$1:$I$88,3,0)*0.475*44/12</f>
        <v>0</v>
      </c>
      <c r="CM78" s="23">
        <f>EXP(-LN(2)/2)*CM77+(1-EXP(-LN(2)/2))/(LN(2)/2)*CG78*CJ78*VLOOKUP('Données projet'!$B$12,Paramètres!$A$1:$I$88,3,0)*0.475*44/12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68.196719463514469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270</v>
      </c>
      <c r="CR78" s="13">
        <f>VLOOKUP(A78,'Données projet'!$A$139:$I$159,9,0)</f>
        <v>3.4</v>
      </c>
      <c r="CS78" s="13">
        <f t="array" ref="CS78">INDEX(CR:CR,MIN(IF(ISNUMBER(CR78:CR274),ROW(CR78:CR274),"")))</f>
        <v>3.4</v>
      </c>
      <c r="CT78" s="13">
        <f>IF('Données projet'!$A$140&gt;35,CT77+CS78-DB77,IF(A78&lt;'Données projet'!$A$140,$CQ$205^A78,IF(A78='Données projet'!$A$140,'Données projet'!$B$140,CT77+CS78-DB77)))</f>
        <v>269.99999999999983</v>
      </c>
      <c r="CU78" s="18">
        <f>CT78*VLOOKUP('Données projet'!$B$13,Paramètres!$A$1:$I$88,3,0)*VLOOKUP('Données projet'!$B$13,Paramètres!$A$1:$I$88,5,0)</f>
        <v>176.90399999999988</v>
      </c>
      <c r="CV78" s="14">
        <f t="shared" si="95"/>
        <v>44.632689233663115</v>
      </c>
      <c r="CW78" s="22">
        <f t="shared" si="67"/>
        <v>385.84306708196306</v>
      </c>
      <c r="CX78" s="62">
        <f t="shared" si="68"/>
        <v>672.56437178151612</v>
      </c>
      <c r="CY78" s="62">
        <f ca="1">AVERAGE(OFFSET($CX$3,0,0,'Données projet'!$E$13+1,1))-AVERAGE(OFFSET($H$3,0,0,'Données projet'!$E$13+1,1))</f>
        <v>270.10151451661864</v>
      </c>
      <c r="CZ78" s="62">
        <f t="shared" si="96"/>
        <v>294.47934482366804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projet'!$B$13,Paramètres!$A$1:$I$88,3,0)*0.475*44/12</f>
        <v>0</v>
      </c>
      <c r="DG78" s="23">
        <f>EXP(-LN(2)/25)*DG77+(1-EXP(-LN(2)/25))/(LN(2)/25)*Calculateur!DB78*Calculateur!DD78*VLOOKUP('Données projet'!$B$13,Paramètres!$A$1:$I$88,3,0)*0.475*44/12</f>
        <v>0</v>
      </c>
      <c r="DH78" s="23">
        <f>EXP(-LN(2)/2)*DH77+(1-EXP(-LN(2)/2))/(LN(2)/2)*DB78*DE78*VLOOKUP('Données projet'!$B$13,Paramètres!$A$1:$I$88,3,0)*0.475*44/12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68.196719463514469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projet'!$B$14,Paramètres!$A$1:$I$88,3,0)*0.475*44/12</f>
        <v>#N/A</v>
      </c>
      <c r="EB78" s="23" t="e">
        <f>EXP(-LN(2)/25)*EB77+(1-EXP(-LN(2)/25))/(LN(2)/25)*Calculateur!DW78*Calculateur!DY78*VLOOKUP('Données projet'!$B$14,Paramètres!$A$1:$I$88,3,0)*0.475*44/12</f>
        <v>#N/A</v>
      </c>
      <c r="EC78" s="23" t="e">
        <f>EXP(-LN(2)/2)*EC77+(1-EXP(-LN(2)/2))/(LN(2)/2)*DW78*DZ78*VLOOKUP('Données projet'!$B$14,Paramètres!$A$1:$I$88,3,0)*0.475*44/12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68.196719463514469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68.196719463514469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68.196719463514469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68.196719463514469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1.34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4.9133333333333331</v>
      </c>
      <c r="H79" s="70">
        <f t="shared" si="56"/>
        <v>237.01333333333332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68.228002349291188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5.9</v>
      </c>
      <c r="N79" s="14">
        <f>IF('Données projet'!$A$36&gt;35,N78+M79-V78,IF(A79&lt;'Données projet'!$A$36,$K$205^A79,IF(A79='Données projet'!$A$36,'Données projet'!$B$36,N78+M79-V78)))</f>
        <v>236.89999999999986</v>
      </c>
      <c r="O79" s="14">
        <f>N79*VLOOKUP('Données projet'!$B$9,Paramètres!$A$1:$I$88,3,0)*VLOOKUP('Données projet'!$B$9,Paramètres!$A$1:$I$88,5,0)</f>
        <v>240.21659999999989</v>
      </c>
      <c r="P79" s="14">
        <f t="shared" si="87"/>
        <v>58.486130580357745</v>
      </c>
      <c r="Q79" s="22">
        <f t="shared" si="54"/>
        <v>520.24058909412281</v>
      </c>
      <c r="R79" s="62">
        <f t="shared" si="55"/>
        <v>807.07659770819055</v>
      </c>
      <c r="S79" s="62">
        <f ca="1">AVERAGE(OFFSET($R$3,0,0,'Données projet'!$E$9+1,1))-AVERAGE(OFFSET($H$3,0,0,'Données projet'!$E$9+1,1))</f>
        <v>488.16146816015231</v>
      </c>
      <c r="T79" s="62">
        <f t="shared" si="88"/>
        <v>259.37115195552127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0</v>
      </c>
      <c r="AA79" s="23">
        <f>EXP(-LN(2)/25)*AA78+(1-EXP(-LN(2)/25))/(LN(2)/25)*Calculateur!V79*Calculateur!X79*VLOOKUP('Données projet'!$B$9,Paramètres!$A$1:$I$88,3,0)*0.475*44/12</f>
        <v>0</v>
      </c>
      <c r="AB79" s="23">
        <f>EXP(-LN(2)/2)*AB78+(1-EXP(-LN(2)/2))/(LN(2)/2)*V79*Y79*VLOOKUP('Données projet'!$B$9,Paramètres!$A$1:$I$88,3,0)*0.475*44/12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68.228002349291188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5.9</v>
      </c>
      <c r="AI79" s="14">
        <f>IF('Données projet'!$A$62&gt;35,AI78+AH79-AQ78,IF(A79&lt;'Données projet'!$A$62,$AF$205^A79,IF(A79='Données projet'!$A$62,'Données projet'!$B$62,AI78+AH79-AQ78)))</f>
        <v>236.89999999999986</v>
      </c>
      <c r="AJ79" s="14">
        <f>AI79*VLOOKUP('Données projet'!$B$10,Paramètres!$A$1:$I$88,3,0)*VLOOKUP('Données projet'!$B$10,Paramètres!$A$1:$I$88,5,0)</f>
        <v>214.34711999999985</v>
      </c>
      <c r="AK79" s="14">
        <f t="shared" si="89"/>
        <v>52.884405030781778</v>
      </c>
      <c r="AL79" s="22">
        <f t="shared" si="58"/>
        <v>465.42823942861133</v>
      </c>
      <c r="AM79" s="62">
        <f t="shared" si="59"/>
        <v>752.26424804267901</v>
      </c>
      <c r="AN79" s="62">
        <f ca="1">AVERAGE(OFFSET($AM$3,0,0,'Données projet'!$E$10+1,1))-AVERAGE(OFFSET($H$3,0,0,'Données projet'!$E$10+1,1))</f>
        <v>441.34749554136755</v>
      </c>
      <c r="AO79" s="62">
        <f t="shared" si="90"/>
        <v>236.49038586666222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0</v>
      </c>
      <c r="AV79" s="23">
        <f>EXP(-LN(2)/25)*AV78+(1-EXP(-LN(2)/25))/(LN(2)/25)*Calculateur!AQ79*Calculateur!AS79*VLOOKUP('Données projet'!$B$10,Paramètres!$A$1:$I$88,3,0)*0.475*44/12</f>
        <v>0</v>
      </c>
      <c r="AW79" s="23">
        <f>EXP(-LN(2)/2)*AW78+(1-EXP(-LN(2)/2))/(LN(2)/2)*AQ79*AT79*VLOOKUP('Données projet'!$B$10,Paramètres!$A$1:$I$88,3,0)*0.475*44/12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68.228002349291188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5.9</v>
      </c>
      <c r="BD79" s="13">
        <f>IF('Données projet'!$A$88&gt;35,BD78+BC79-BL78,IF(A79&lt;'Données projet'!$A$88,$BA$205^A79,IF(A79='Données projet'!$A$88,'Données projet'!$B$88,BD78+BC79-BL78)))</f>
        <v>236.89999999999986</v>
      </c>
      <c r="BE79" s="14">
        <f>BD79*VLOOKUP('Données projet'!$B$11,Paramètres!$A$1:$I$88,3,0)*VLOOKUP('Données projet'!$B$11,Paramètres!$A$1:$I$88,5,0)</f>
        <v>254.99915999999985</v>
      </c>
      <c r="BF79" s="14">
        <f t="shared" si="91"/>
        <v>61.655199053016801</v>
      </c>
      <c r="BG79" s="22">
        <f t="shared" si="61"/>
        <v>551.50634201733726</v>
      </c>
      <c r="BH79" s="62">
        <f t="shared" si="62"/>
        <v>838.342350631405</v>
      </c>
      <c r="BI79" s="62">
        <f ca="1">AVERAGE(OFFSET($BH$3,0,0,'Données projet'!$E$11+1,1))-AVERAGE(OFFSET($H$3,0,0,'Données projet'!$E$11+1,1))</f>
        <v>514.86487884889584</v>
      </c>
      <c r="BJ79" s="62">
        <f t="shared" si="92"/>
        <v>272.4206208356191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projet'!$B$11,Paramètres!$A$1:$I$88,3,0)*0.475*44/12</f>
        <v>0</v>
      </c>
      <c r="BQ79" s="23">
        <f>EXP(-LN(2)/25)*BQ78+(1-EXP(-LN(2)/25))/(LN(2)/25)*Calculateur!BL79*Calculateur!BN79*VLOOKUP('Données projet'!$B$11,Paramètres!$A$1:$I$88,3,0)*0.475*44/12</f>
        <v>0</v>
      </c>
      <c r="BR79" s="23">
        <f>EXP(-LN(2)/2)*BR78+(1-EXP(-LN(2)/2))/(LN(2)/2)*BL79*BO79*VLOOKUP('Données projet'!$B$11,Paramètres!$A$1:$I$88,3,0)*0.475*44/12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68.228002349291188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</v>
      </c>
      <c r="BY79" s="13">
        <f>IF('Données projet'!$A$114&gt;35,BY78+BX79-CG78,IF(A79&lt;'Données projet'!$A$114,$BV$205^A79,IF(A79='Données projet'!$A$114,'Données projet'!$B$114,BY78+BX79-CG78)))</f>
        <v>272.99999999999983</v>
      </c>
      <c r="BZ79" s="14">
        <f>BY79*VLOOKUP('Données projet'!$B$12,Paramètres!$A$1:$I$88,3,0)*VLOOKUP('Données projet'!$B$12,Paramètres!$A$1:$I$88,5,0)</f>
        <v>178.86959999999988</v>
      </c>
      <c r="CA79" s="14">
        <f t="shared" si="93"/>
        <v>45.070600857666484</v>
      </c>
      <c r="CB79" s="22">
        <f t="shared" si="64"/>
        <v>390.02918316043559</v>
      </c>
      <c r="CC79" s="62">
        <f t="shared" si="65"/>
        <v>676.86519177450327</v>
      </c>
      <c r="CD79" s="62">
        <f ca="1">AVERAGE(OFFSET($CC$3,0,0,'Données projet'!$E$12+1,1))-AVERAGE(OFFSET($H$3,0,0,'Données projet'!$E$12+1,1))</f>
        <v>270.10151451661864</v>
      </c>
      <c r="CE79" s="62">
        <f t="shared" si="94"/>
        <v>294.47934482366804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projet'!$B$12,Paramètres!$A$1:$I$88,3,0)*0.475*44/12</f>
        <v>0</v>
      </c>
      <c r="CL79" s="23">
        <f>EXP(-LN(2)/25)*CL78+(1-EXP(-LN(2)/25))/(LN(2)/25)*Calculateur!CG79*Calculateur!CI79*VLOOKUP('Données projet'!$B$12,Paramètres!$A$1:$I$88,3,0)*0.475*44/12</f>
        <v>0</v>
      </c>
      <c r="CM79" s="23">
        <f>EXP(-LN(2)/2)*CM78+(1-EXP(-LN(2)/2))/(LN(2)/2)*CG79*CJ79*VLOOKUP('Données projet'!$B$12,Paramètres!$A$1:$I$88,3,0)*0.475*44/12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68.228002349291188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3</v>
      </c>
      <c r="CT79" s="13">
        <f>IF('Données projet'!$A$140&gt;35,CT78+CS79-DB78,IF(A79&lt;'Données projet'!$A$140,$CQ$205^A79,IF(A79='Données projet'!$A$140,'Données projet'!$B$140,CT78+CS79-DB78)))</f>
        <v>272.99999999999983</v>
      </c>
      <c r="CU79" s="18">
        <f>CT79*VLOOKUP('Données projet'!$B$13,Paramètres!$A$1:$I$88,3,0)*VLOOKUP('Données projet'!$B$13,Paramètres!$A$1:$I$88,5,0)</f>
        <v>178.86959999999988</v>
      </c>
      <c r="CV79" s="14">
        <f t="shared" si="95"/>
        <v>45.070600857666484</v>
      </c>
      <c r="CW79" s="22">
        <f t="shared" si="67"/>
        <v>390.02918316043559</v>
      </c>
      <c r="CX79" s="62">
        <f t="shared" si="68"/>
        <v>676.86519177450327</v>
      </c>
      <c r="CY79" s="62">
        <f ca="1">AVERAGE(OFFSET($CX$3,0,0,'Données projet'!$E$13+1,1))-AVERAGE(OFFSET($H$3,0,0,'Données projet'!$E$13+1,1))</f>
        <v>270.10151451661864</v>
      </c>
      <c r="CZ79" s="62">
        <f t="shared" si="96"/>
        <v>294.47934482366804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projet'!$B$13,Paramètres!$A$1:$I$88,3,0)*0.475*44/12</f>
        <v>0</v>
      </c>
      <c r="DG79" s="23">
        <f>EXP(-LN(2)/25)*DG78+(1-EXP(-LN(2)/25))/(LN(2)/25)*Calculateur!DB79*Calculateur!DD79*VLOOKUP('Données projet'!$B$13,Paramètres!$A$1:$I$88,3,0)*0.475*44/12</f>
        <v>0</v>
      </c>
      <c r="DH79" s="23">
        <f>EXP(-LN(2)/2)*DH78+(1-EXP(-LN(2)/2))/(LN(2)/2)*DB79*DE79*VLOOKUP('Données projet'!$B$13,Paramètres!$A$1:$I$88,3,0)*0.475*44/12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68.228002349291188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projet'!$B$14,Paramètres!$A$1:$I$88,3,0)*0.475*44/12</f>
        <v>#N/A</v>
      </c>
      <c r="EB79" s="23" t="e">
        <f>EXP(-LN(2)/25)*EB78+(1-EXP(-LN(2)/25))/(LN(2)/25)*Calculateur!DW79*Calculateur!DY79*VLOOKUP('Données projet'!$B$14,Paramètres!$A$1:$I$88,3,0)*0.475*44/12</f>
        <v>#N/A</v>
      </c>
      <c r="EC79" s="23" t="e">
        <f>EXP(-LN(2)/2)*EC78+(1-EXP(-LN(2)/2))/(LN(2)/2)*DW79*DZ79*VLOOKUP('Données projet'!$B$14,Paramètres!$A$1:$I$88,3,0)*0.475*44/12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68.228002349291188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68.228002349291188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68.228002349291188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68.228002349291188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1.34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4.9133333333333331</v>
      </c>
      <c r="H80" s="70">
        <f t="shared" si="56"/>
        <v>237.01333333333332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68.258742546937725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5.9</v>
      </c>
      <c r="N80" s="14">
        <f>IF('Données projet'!$A$36&gt;35,N79+M80-V79,IF(A80&lt;'Données projet'!$A$36,$K$205^A80,IF(A80='Données projet'!$A$36,'Données projet'!$B$36,N79+M80-V79)))</f>
        <v>242.79999999999987</v>
      </c>
      <c r="O80" s="14">
        <f>N80*VLOOKUP('Données projet'!$B$9,Paramètres!$A$1:$I$88,3,0)*VLOOKUP('Données projet'!$B$9,Paramètres!$A$1:$I$88,5,0)</f>
        <v>246.19919999999988</v>
      </c>
      <c r="P80" s="14">
        <f t="shared" si="87"/>
        <v>59.77133248344078</v>
      </c>
      <c r="Q80" s="22">
        <f t="shared" si="54"/>
        <v>532.89867740865918</v>
      </c>
      <c r="R80" s="62">
        <f t="shared" si="55"/>
        <v>819.84740008076415</v>
      </c>
      <c r="S80" s="62">
        <f ca="1">AVERAGE(OFFSET($R$3,0,0,'Données projet'!$E$9+1,1))-AVERAGE(OFFSET($H$3,0,0,'Données projet'!$E$9+1,1))</f>
        <v>488.16146816015231</v>
      </c>
      <c r="T80" s="62">
        <f t="shared" si="88"/>
        <v>259.37115195552127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0</v>
      </c>
      <c r="AA80" s="23">
        <f>EXP(-LN(2)/25)*AA79+(1-EXP(-LN(2)/25))/(LN(2)/25)*Calculateur!V80*Calculateur!X80*VLOOKUP('Données projet'!$B$9,Paramètres!$A$1:$I$88,3,0)*0.475*44/12</f>
        <v>0</v>
      </c>
      <c r="AB80" s="23">
        <f>EXP(-LN(2)/2)*AB79+(1-EXP(-LN(2)/2))/(LN(2)/2)*V80*Y80*VLOOKUP('Données projet'!$B$9,Paramètres!$A$1:$I$88,3,0)*0.475*44/12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68.258742546937725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5.9</v>
      </c>
      <c r="AI80" s="14">
        <f>IF('Données projet'!$A$62&gt;35,AI79+AH80-AQ79,IF(A80&lt;'Données projet'!$A$62,$AF$205^A80,IF(A80='Données projet'!$A$62,'Données projet'!$B$62,AI79+AH80-AQ79)))</f>
        <v>242.79999999999987</v>
      </c>
      <c r="AJ80" s="14">
        <f>AI80*VLOOKUP('Données projet'!$B$10,Paramètres!$A$1:$I$88,3,0)*VLOOKUP('Données projet'!$B$10,Paramètres!$A$1:$I$88,5,0)</f>
        <v>219.68543999999989</v>
      </c>
      <c r="AK80" s="14">
        <f t="shared" si="89"/>
        <v>54.046511966469559</v>
      </c>
      <c r="AL80" s="22">
        <f t="shared" si="58"/>
        <v>476.74981634160099</v>
      </c>
      <c r="AM80" s="62">
        <f t="shared" si="59"/>
        <v>763.69853901370607</v>
      </c>
      <c r="AN80" s="62">
        <f ca="1">AVERAGE(OFFSET($AM$3,0,0,'Données projet'!$E$10+1,1))-AVERAGE(OFFSET($H$3,0,0,'Données projet'!$E$10+1,1))</f>
        <v>441.34749554136755</v>
      </c>
      <c r="AO80" s="62">
        <f t="shared" si="90"/>
        <v>236.49038586666222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0</v>
      </c>
      <c r="AV80" s="23">
        <f>EXP(-LN(2)/25)*AV79+(1-EXP(-LN(2)/25))/(LN(2)/25)*Calculateur!AQ80*Calculateur!AS80*VLOOKUP('Données projet'!$B$10,Paramètres!$A$1:$I$88,3,0)*0.475*44/12</f>
        <v>0</v>
      </c>
      <c r="AW80" s="23">
        <f>EXP(-LN(2)/2)*AW79+(1-EXP(-LN(2)/2))/(LN(2)/2)*AQ80*AT80*VLOOKUP('Données projet'!$B$10,Paramètres!$A$1:$I$88,3,0)*0.475*44/12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68.258742546937725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5.9</v>
      </c>
      <c r="BD80" s="13">
        <f>IF('Données projet'!$A$88&gt;35,BD79+BC80-BL79,IF(A80&lt;'Données projet'!$A$88,$BA$205^A80,IF(A80='Données projet'!$A$88,'Données projet'!$B$88,BD79+BC80-BL79)))</f>
        <v>242.79999999999987</v>
      </c>
      <c r="BE80" s="14">
        <f>BD80*VLOOKUP('Données projet'!$B$11,Paramètres!$A$1:$I$88,3,0)*VLOOKUP('Données projet'!$B$11,Paramètres!$A$1:$I$88,5,0)</f>
        <v>261.34991999999983</v>
      </c>
      <c r="BF80" s="14">
        <f t="shared" si="91"/>
        <v>63.010039566000117</v>
      </c>
      <c r="BG80" s="22">
        <f t="shared" si="61"/>
        <v>564.92692957744987</v>
      </c>
      <c r="BH80" s="62">
        <f t="shared" si="62"/>
        <v>851.87565224955483</v>
      </c>
      <c r="BI80" s="62">
        <f ca="1">AVERAGE(OFFSET($BH$3,0,0,'Données projet'!$E$11+1,1))-AVERAGE(OFFSET($H$3,0,0,'Données projet'!$E$11+1,1))</f>
        <v>514.86487884889584</v>
      </c>
      <c r="BJ80" s="62">
        <f t="shared" si="92"/>
        <v>272.4206208356191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projet'!$B$11,Paramètres!$A$1:$I$88,3,0)*0.475*44/12</f>
        <v>0</v>
      </c>
      <c r="BQ80" s="23">
        <f>EXP(-LN(2)/25)*BQ79+(1-EXP(-LN(2)/25))/(LN(2)/25)*Calculateur!BL80*Calculateur!BN80*VLOOKUP('Données projet'!$B$11,Paramètres!$A$1:$I$88,3,0)*0.475*44/12</f>
        <v>0</v>
      </c>
      <c r="BR80" s="23">
        <f>EXP(-LN(2)/2)*BR79+(1-EXP(-LN(2)/2))/(LN(2)/2)*BL80*BO80*VLOOKUP('Données projet'!$B$11,Paramètres!$A$1:$I$88,3,0)*0.475*44/12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68.258742546937725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</v>
      </c>
      <c r="BY80" s="13">
        <f>IF('Données projet'!$A$114&gt;35,BY79+BX80-CG79,IF(A80&lt;'Données projet'!$A$114,$BV$205^A80,IF(A80='Données projet'!$A$114,'Données projet'!$B$114,BY79+BX80-CG79)))</f>
        <v>275.99999999999983</v>
      </c>
      <c r="BZ80" s="14">
        <f>BY80*VLOOKUP('Données projet'!$B$12,Paramètres!$A$1:$I$88,3,0)*VLOOKUP('Données projet'!$B$12,Paramètres!$A$1:$I$88,5,0)</f>
        <v>180.8351999999999</v>
      </c>
      <c r="CA80" s="14">
        <f t="shared" si="93"/>
        <v>45.507952685945099</v>
      </c>
      <c r="CB80" s="22">
        <f t="shared" si="64"/>
        <v>394.21432426135419</v>
      </c>
      <c r="CC80" s="62">
        <f t="shared" si="65"/>
        <v>681.16304693345921</v>
      </c>
      <c r="CD80" s="62">
        <f ca="1">AVERAGE(OFFSET($CC$3,0,0,'Données projet'!$E$12+1,1))-AVERAGE(OFFSET($H$3,0,0,'Données projet'!$E$12+1,1))</f>
        <v>270.10151451661864</v>
      </c>
      <c r="CE80" s="62">
        <f t="shared" si="94"/>
        <v>294.47934482366804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projet'!$B$12,Paramètres!$A$1:$I$88,3,0)*0.475*44/12</f>
        <v>0</v>
      </c>
      <c r="CL80" s="23">
        <f>EXP(-LN(2)/25)*CL79+(1-EXP(-LN(2)/25))/(LN(2)/25)*Calculateur!CG80*Calculateur!CI80*VLOOKUP('Données projet'!$B$12,Paramètres!$A$1:$I$88,3,0)*0.475*44/12</f>
        <v>0</v>
      </c>
      <c r="CM80" s="23">
        <f>EXP(-LN(2)/2)*CM79+(1-EXP(-LN(2)/2))/(LN(2)/2)*CG80*CJ80*VLOOKUP('Données projet'!$B$12,Paramètres!$A$1:$I$88,3,0)*0.475*44/12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68.258742546937725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3</v>
      </c>
      <c r="CT80" s="13">
        <f>IF('Données projet'!$A$140&gt;35,CT79+CS80-DB79,IF(A80&lt;'Données projet'!$A$140,$CQ$205^A80,IF(A80='Données projet'!$A$140,'Données projet'!$B$140,CT79+CS80-DB79)))</f>
        <v>275.99999999999983</v>
      </c>
      <c r="CU80" s="18">
        <f>CT80*VLOOKUP('Données projet'!$B$13,Paramètres!$A$1:$I$88,3,0)*VLOOKUP('Données projet'!$B$13,Paramètres!$A$1:$I$88,5,0)</f>
        <v>180.8351999999999</v>
      </c>
      <c r="CV80" s="14">
        <f t="shared" si="95"/>
        <v>45.507952685945099</v>
      </c>
      <c r="CW80" s="22">
        <f t="shared" si="67"/>
        <v>394.21432426135419</v>
      </c>
      <c r="CX80" s="62">
        <f t="shared" si="68"/>
        <v>681.16304693345921</v>
      </c>
      <c r="CY80" s="62">
        <f ca="1">AVERAGE(OFFSET($CX$3,0,0,'Données projet'!$E$13+1,1))-AVERAGE(OFFSET($H$3,0,0,'Données projet'!$E$13+1,1))</f>
        <v>270.10151451661864</v>
      </c>
      <c r="CZ80" s="62">
        <f t="shared" si="96"/>
        <v>294.47934482366804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projet'!$B$13,Paramètres!$A$1:$I$88,3,0)*0.475*44/12</f>
        <v>0</v>
      </c>
      <c r="DG80" s="23">
        <f>EXP(-LN(2)/25)*DG79+(1-EXP(-LN(2)/25))/(LN(2)/25)*Calculateur!DB80*Calculateur!DD80*VLOOKUP('Données projet'!$B$13,Paramètres!$A$1:$I$88,3,0)*0.475*44/12</f>
        <v>0</v>
      </c>
      <c r="DH80" s="23">
        <f>EXP(-LN(2)/2)*DH79+(1-EXP(-LN(2)/2))/(LN(2)/2)*DB80*DE80*VLOOKUP('Données projet'!$B$13,Paramètres!$A$1:$I$88,3,0)*0.475*44/12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68.258742546937725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projet'!$B$14,Paramètres!$A$1:$I$88,3,0)*0.475*44/12</f>
        <v>#N/A</v>
      </c>
      <c r="EB80" s="23" t="e">
        <f>EXP(-LN(2)/25)*EB79+(1-EXP(-LN(2)/25))/(LN(2)/25)*Calculateur!DW80*Calculateur!DY80*VLOOKUP('Données projet'!$B$14,Paramètres!$A$1:$I$88,3,0)*0.475*44/12</f>
        <v>#N/A</v>
      </c>
      <c r="EC80" s="23" t="e">
        <f>EXP(-LN(2)/2)*EC79+(1-EXP(-LN(2)/2))/(LN(2)/2)*DW80*DZ80*VLOOKUP('Données projet'!$B$14,Paramètres!$A$1:$I$88,3,0)*0.475*44/12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68.258742546937725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68.258742546937725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68.258742546937725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68.258742546937725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1.34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4.9133333333333331</v>
      </c>
      <c r="H81" s="70">
        <f t="shared" si="56"/>
        <v>237.01333333333332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68.288949470879885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5.9</v>
      </c>
      <c r="N81" s="14">
        <f>IF('Données projet'!$A$36&gt;35,N80+M81-V80,IF(A81&lt;'Données projet'!$A$36,$K$205^A81,IF(A81='Données projet'!$A$36,'Données projet'!$B$36,N80+M81-V80)))</f>
        <v>248.69999999999987</v>
      </c>
      <c r="O81" s="14">
        <f>N81*VLOOKUP('Données projet'!$B$9,Paramètres!$A$1:$I$88,3,0)*VLOOKUP('Données projet'!$B$9,Paramètres!$A$1:$I$88,5,0)</f>
        <v>252.18179999999987</v>
      </c>
      <c r="P81" s="14">
        <f t="shared" si="87"/>
        <v>61.052903950515969</v>
      </c>
      <c r="Q81" s="22">
        <f t="shared" si="54"/>
        <v>545.55044271381507</v>
      </c>
      <c r="R81" s="62">
        <f t="shared" si="55"/>
        <v>832.60992410704125</v>
      </c>
      <c r="S81" s="62">
        <f ca="1">AVERAGE(OFFSET($R$3,0,0,'Données projet'!$E$9+1,1))-AVERAGE(OFFSET($H$3,0,0,'Données projet'!$E$9+1,1))</f>
        <v>488.16146816015231</v>
      </c>
      <c r="T81" s="62">
        <f t="shared" si="88"/>
        <v>259.37115195552127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0</v>
      </c>
      <c r="AA81" s="23">
        <f>EXP(-LN(2)/25)*AA80+(1-EXP(-LN(2)/25))/(LN(2)/25)*Calculateur!V81*Calculateur!X81*VLOOKUP('Données projet'!$B$9,Paramètres!$A$1:$I$88,3,0)*0.475*44/12</f>
        <v>0</v>
      </c>
      <c r="AB81" s="23">
        <f>EXP(-LN(2)/2)*AB80+(1-EXP(-LN(2)/2))/(LN(2)/2)*V81*Y81*VLOOKUP('Données projet'!$B$9,Paramètres!$A$1:$I$88,3,0)*0.475*44/12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68.288949470879885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5.9</v>
      </c>
      <c r="AI81" s="14">
        <f>IF('Données projet'!$A$62&gt;35,AI80+AH81-AQ80,IF(A81&lt;'Données projet'!$A$62,$AF$205^A81,IF(A81='Données projet'!$A$62,'Données projet'!$B$62,AI80+AH81-AQ80)))</f>
        <v>248.69999999999987</v>
      </c>
      <c r="AJ81" s="14">
        <f>AI81*VLOOKUP('Données projet'!$B$10,Paramètres!$A$1:$I$88,3,0)*VLOOKUP('Données projet'!$B$10,Paramètres!$A$1:$I$88,5,0)</f>
        <v>225.0237599999999</v>
      </c>
      <c r="AK81" s="14">
        <f t="shared" si="89"/>
        <v>55.205336184590408</v>
      </c>
      <c r="AL81" s="22">
        <f t="shared" si="58"/>
        <v>488.06567585482804</v>
      </c>
      <c r="AM81" s="62">
        <f t="shared" si="59"/>
        <v>775.12515724805428</v>
      </c>
      <c r="AN81" s="62">
        <f ca="1">AVERAGE(OFFSET($AM$3,0,0,'Données projet'!$E$10+1,1))-AVERAGE(OFFSET($H$3,0,0,'Données projet'!$E$10+1,1))</f>
        <v>441.34749554136755</v>
      </c>
      <c r="AO81" s="62">
        <f t="shared" si="90"/>
        <v>236.49038586666222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0</v>
      </c>
      <c r="AV81" s="23">
        <f>EXP(-LN(2)/25)*AV80+(1-EXP(-LN(2)/25))/(LN(2)/25)*Calculateur!AQ81*Calculateur!AS81*VLOOKUP('Données projet'!$B$10,Paramètres!$A$1:$I$88,3,0)*0.475*44/12</f>
        <v>0</v>
      </c>
      <c r="AW81" s="23">
        <f>EXP(-LN(2)/2)*AW80+(1-EXP(-LN(2)/2))/(LN(2)/2)*AQ81*AT81*VLOOKUP('Données projet'!$B$10,Paramètres!$A$1:$I$88,3,0)*0.475*44/12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68.288949470879885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5.9</v>
      </c>
      <c r="BD81" s="13">
        <f>IF('Données projet'!$A$88&gt;35,BD80+BC81-BL80,IF(A81&lt;'Données projet'!$A$88,$BA$205^A81,IF(A81='Données projet'!$A$88,'Données projet'!$B$88,BD80+BC81-BL80)))</f>
        <v>248.69999999999987</v>
      </c>
      <c r="BE81" s="14">
        <f>BD81*VLOOKUP('Données projet'!$B$11,Paramètres!$A$1:$I$88,3,0)*VLOOKUP('Données projet'!$B$11,Paramètres!$A$1:$I$88,5,0)</f>
        <v>267.70067999999986</v>
      </c>
      <c r="BF81" s="14">
        <f t="shared" si="91"/>
        <v>64.361052927956521</v>
      </c>
      <c r="BG81" s="22">
        <f t="shared" si="61"/>
        <v>578.34085151619058</v>
      </c>
      <c r="BH81" s="62">
        <f t="shared" si="62"/>
        <v>865.40033290941687</v>
      </c>
      <c r="BI81" s="62">
        <f ca="1">AVERAGE(OFFSET($BH$3,0,0,'Données projet'!$E$11+1,1))-AVERAGE(OFFSET($H$3,0,0,'Données projet'!$E$11+1,1))</f>
        <v>514.86487884889584</v>
      </c>
      <c r="BJ81" s="62">
        <f t="shared" si="92"/>
        <v>272.4206208356191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projet'!$B$11,Paramètres!$A$1:$I$88,3,0)*0.475*44/12</f>
        <v>0</v>
      </c>
      <c r="BQ81" s="23">
        <f>EXP(-LN(2)/25)*BQ80+(1-EXP(-LN(2)/25))/(LN(2)/25)*Calculateur!BL81*Calculateur!BN81*VLOOKUP('Données projet'!$B$11,Paramètres!$A$1:$I$88,3,0)*0.475*44/12</f>
        <v>0</v>
      </c>
      <c r="BR81" s="23">
        <f>EXP(-LN(2)/2)*BR80+(1-EXP(-LN(2)/2))/(LN(2)/2)*BL81*BO81*VLOOKUP('Données projet'!$B$11,Paramètres!$A$1:$I$88,3,0)*0.475*44/12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68.288949470879885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</v>
      </c>
      <c r="BY81" s="13">
        <f>IF('Données projet'!$A$114&gt;35,BY80+BX81-CG80,IF(A81&lt;'Données projet'!$A$114,$BV$205^A81,IF(A81='Données projet'!$A$114,'Données projet'!$B$114,BY80+BX81-CG80)))</f>
        <v>278.99999999999983</v>
      </c>
      <c r="BZ81" s="14">
        <f>BY81*VLOOKUP('Données projet'!$B$12,Paramètres!$A$1:$I$88,3,0)*VLOOKUP('Données projet'!$B$12,Paramètres!$A$1:$I$88,5,0)</f>
        <v>182.8007999999999</v>
      </c>
      <c r="CA81" s="14">
        <f t="shared" si="93"/>
        <v>45.944751507471658</v>
      </c>
      <c r="CB81" s="22">
        <f t="shared" si="64"/>
        <v>398.39850220884631</v>
      </c>
      <c r="CC81" s="62">
        <f t="shared" si="65"/>
        <v>685.45798360207255</v>
      </c>
      <c r="CD81" s="62">
        <f ca="1">AVERAGE(OFFSET($CC$3,0,0,'Données projet'!$E$12+1,1))-AVERAGE(OFFSET($H$3,0,0,'Données projet'!$E$12+1,1))</f>
        <v>270.10151451661864</v>
      </c>
      <c r="CE81" s="62">
        <f t="shared" si="94"/>
        <v>294.47934482366804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projet'!$B$12,Paramètres!$A$1:$I$88,3,0)*0.475*44/12</f>
        <v>0</v>
      </c>
      <c r="CL81" s="23">
        <f>EXP(-LN(2)/25)*CL80+(1-EXP(-LN(2)/25))/(LN(2)/25)*Calculateur!CG81*Calculateur!CI81*VLOOKUP('Données projet'!$B$12,Paramètres!$A$1:$I$88,3,0)*0.475*44/12</f>
        <v>0</v>
      </c>
      <c r="CM81" s="23">
        <f>EXP(-LN(2)/2)*CM80+(1-EXP(-LN(2)/2))/(LN(2)/2)*CG81*CJ81*VLOOKUP('Données projet'!$B$12,Paramètres!$A$1:$I$88,3,0)*0.475*44/12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68.288949470879885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3</v>
      </c>
      <c r="CT81" s="13">
        <f>IF('Données projet'!$A$140&gt;35,CT80+CS81-DB80,IF(A81&lt;'Données projet'!$A$140,$CQ$205^A81,IF(A81='Données projet'!$A$140,'Données projet'!$B$140,CT80+CS81-DB80)))</f>
        <v>278.99999999999983</v>
      </c>
      <c r="CU81" s="18">
        <f>CT81*VLOOKUP('Données projet'!$B$13,Paramètres!$A$1:$I$88,3,0)*VLOOKUP('Données projet'!$B$13,Paramètres!$A$1:$I$88,5,0)</f>
        <v>182.8007999999999</v>
      </c>
      <c r="CV81" s="14">
        <f t="shared" si="95"/>
        <v>45.944751507471658</v>
      </c>
      <c r="CW81" s="22">
        <f t="shared" si="67"/>
        <v>398.39850220884631</v>
      </c>
      <c r="CX81" s="62">
        <f t="shared" si="68"/>
        <v>685.45798360207255</v>
      </c>
      <c r="CY81" s="62">
        <f ca="1">AVERAGE(OFFSET($CX$3,0,0,'Données projet'!$E$13+1,1))-AVERAGE(OFFSET($H$3,0,0,'Données projet'!$E$13+1,1))</f>
        <v>270.10151451661864</v>
      </c>
      <c r="CZ81" s="62">
        <f t="shared" si="96"/>
        <v>294.47934482366804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projet'!$B$13,Paramètres!$A$1:$I$88,3,0)*0.475*44/12</f>
        <v>0</v>
      </c>
      <c r="DG81" s="23">
        <f>EXP(-LN(2)/25)*DG80+(1-EXP(-LN(2)/25))/(LN(2)/25)*Calculateur!DB81*Calculateur!DD81*VLOOKUP('Données projet'!$B$13,Paramètres!$A$1:$I$88,3,0)*0.475*44/12</f>
        <v>0</v>
      </c>
      <c r="DH81" s="23">
        <f>EXP(-LN(2)/2)*DH80+(1-EXP(-LN(2)/2))/(LN(2)/2)*DB81*DE81*VLOOKUP('Données projet'!$B$13,Paramètres!$A$1:$I$88,3,0)*0.475*44/12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68.288949470879885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projet'!$B$14,Paramètres!$A$1:$I$88,3,0)*0.475*44/12</f>
        <v>#N/A</v>
      </c>
      <c r="EB81" s="23" t="e">
        <f>EXP(-LN(2)/25)*EB80+(1-EXP(-LN(2)/25))/(LN(2)/25)*Calculateur!DW81*Calculateur!DY81*VLOOKUP('Données projet'!$B$14,Paramètres!$A$1:$I$88,3,0)*0.475*44/12</f>
        <v>#N/A</v>
      </c>
      <c r="EC81" s="23" t="e">
        <f>EXP(-LN(2)/2)*EC80+(1-EXP(-LN(2)/2))/(LN(2)/2)*DW81*DZ81*VLOOKUP('Données projet'!$B$14,Paramètres!$A$1:$I$88,3,0)*0.475*44/12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68.288949470879885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68.288949470879885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68.288949470879885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68.288949470879885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1.34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4.9133333333333331</v>
      </c>
      <c r="H82" s="70">
        <f t="shared" si="56"/>
        <v>237.01333333333332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68.318632372224215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5.9</v>
      </c>
      <c r="N82" s="14">
        <f>IF('Données projet'!$A$36&gt;35,N81+M82-V81,IF(A82&lt;'Données projet'!$A$36,$K$205^A82,IF(A82='Données projet'!$A$36,'Données projet'!$B$36,N81+M82-V81)))</f>
        <v>254.59999999999988</v>
      </c>
      <c r="O82" s="14">
        <f>N82*VLOOKUP('Données projet'!$B$9,Paramètres!$A$1:$I$88,3,0)*VLOOKUP('Données projet'!$B$9,Paramètres!$A$1:$I$88,5,0)</f>
        <v>258.16439999999989</v>
      </c>
      <c r="P82" s="14">
        <f t="shared" si="87"/>
        <v>62.3309410183914</v>
      </c>
      <c r="Q82" s="22">
        <f t="shared" si="54"/>
        <v>558.19605227369811</v>
      </c>
      <c r="R82" s="62">
        <f t="shared" si="55"/>
        <v>845.36437097185353</v>
      </c>
      <c r="S82" s="62">
        <f ca="1">AVERAGE(OFFSET($R$3,0,0,'Données projet'!$E$9+1,1))-AVERAGE(OFFSET($H$3,0,0,'Données projet'!$E$9+1,1))</f>
        <v>488.16146816015231</v>
      </c>
      <c r="T82" s="62">
        <f t="shared" si="88"/>
        <v>259.37115195552127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0</v>
      </c>
      <c r="AA82" s="23">
        <f>EXP(-LN(2)/25)*AA81+(1-EXP(-LN(2)/25))/(LN(2)/25)*Calculateur!V82*Calculateur!X82*VLOOKUP('Données projet'!$B$9,Paramètres!$A$1:$I$88,3,0)*0.475*44/12</f>
        <v>0</v>
      </c>
      <c r="AB82" s="23">
        <f>EXP(-LN(2)/2)*AB81+(1-EXP(-LN(2)/2))/(LN(2)/2)*V82*Y82*VLOOKUP('Données projet'!$B$9,Paramètres!$A$1:$I$88,3,0)*0.475*44/12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68.318632372224215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5.9</v>
      </c>
      <c r="AI82" s="14">
        <f>IF('Données projet'!$A$62&gt;35,AI81+AH82-AQ81,IF(A82&lt;'Données projet'!$A$62,$AF$205^A82,IF(A82='Données projet'!$A$62,'Données projet'!$B$62,AI81+AH82-AQ81)))</f>
        <v>254.59999999999988</v>
      </c>
      <c r="AJ82" s="14">
        <f>AI82*VLOOKUP('Données projet'!$B$10,Paramètres!$A$1:$I$88,3,0)*VLOOKUP('Données projet'!$B$10,Paramètres!$A$1:$I$88,5,0)</f>
        <v>230.36207999999988</v>
      </c>
      <c r="AK82" s="14">
        <f t="shared" si="89"/>
        <v>56.360964523671768</v>
      </c>
      <c r="AL82" s="22">
        <f t="shared" si="58"/>
        <v>499.37596921206153</v>
      </c>
      <c r="AM82" s="62">
        <f t="shared" si="59"/>
        <v>786.54428791021701</v>
      </c>
      <c r="AN82" s="62">
        <f ca="1">AVERAGE(OFFSET($AM$3,0,0,'Données projet'!$E$10+1,1))-AVERAGE(OFFSET($H$3,0,0,'Données projet'!$E$10+1,1))</f>
        <v>441.34749554136755</v>
      </c>
      <c r="AO82" s="62">
        <f t="shared" si="90"/>
        <v>236.49038586666222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0</v>
      </c>
      <c r="AV82" s="23">
        <f>EXP(-LN(2)/25)*AV81+(1-EXP(-LN(2)/25))/(LN(2)/25)*Calculateur!AQ82*Calculateur!AS82*VLOOKUP('Données projet'!$B$10,Paramètres!$A$1:$I$88,3,0)*0.475*44/12</f>
        <v>0</v>
      </c>
      <c r="AW82" s="23">
        <f>EXP(-LN(2)/2)*AW81+(1-EXP(-LN(2)/2))/(LN(2)/2)*AQ82*AT82*VLOOKUP('Données projet'!$B$10,Paramètres!$A$1:$I$88,3,0)*0.475*44/12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68.318632372224215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5.9</v>
      </c>
      <c r="BD82" s="13">
        <f>IF('Données projet'!$A$88&gt;35,BD81+BC82-BL81,IF(A82&lt;'Données projet'!$A$88,$BA$205^A82,IF(A82='Données projet'!$A$88,'Données projet'!$B$88,BD81+BC82-BL81)))</f>
        <v>254.59999999999988</v>
      </c>
      <c r="BE82" s="14">
        <f>BD82*VLOOKUP('Données projet'!$B$11,Paramètres!$A$1:$I$88,3,0)*VLOOKUP('Données projet'!$B$11,Paramètres!$A$1:$I$88,5,0)</f>
        <v>274.05143999999984</v>
      </c>
      <c r="BF82" s="14">
        <f t="shared" si="91"/>
        <v>65.70834037944428</v>
      </c>
      <c r="BG82" s="22">
        <f t="shared" si="61"/>
        <v>591.74828416086518</v>
      </c>
      <c r="BH82" s="62">
        <f t="shared" si="62"/>
        <v>878.91660285902071</v>
      </c>
      <c r="BI82" s="62">
        <f ca="1">AVERAGE(OFFSET($BH$3,0,0,'Données projet'!$E$11+1,1))-AVERAGE(OFFSET($H$3,0,0,'Données projet'!$E$11+1,1))</f>
        <v>514.86487884889584</v>
      </c>
      <c r="BJ82" s="62">
        <f t="shared" si="92"/>
        <v>272.4206208356191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projet'!$B$11,Paramètres!$A$1:$I$88,3,0)*0.475*44/12</f>
        <v>0</v>
      </c>
      <c r="BQ82" s="23">
        <f>EXP(-LN(2)/25)*BQ81+(1-EXP(-LN(2)/25))/(LN(2)/25)*Calculateur!BL82*Calculateur!BN82*VLOOKUP('Données projet'!$B$11,Paramètres!$A$1:$I$88,3,0)*0.475*44/12</f>
        <v>0</v>
      </c>
      <c r="BR82" s="23">
        <f>EXP(-LN(2)/2)*BR81+(1-EXP(-LN(2)/2))/(LN(2)/2)*BL82*BO82*VLOOKUP('Données projet'!$B$11,Paramètres!$A$1:$I$88,3,0)*0.475*44/12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68.318632372224215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</v>
      </c>
      <c r="BY82" s="13">
        <f>IF('Données projet'!$A$114&gt;35,BY81+BX82-CG81,IF(A82&lt;'Données projet'!$A$114,$BV$205^A82,IF(A82='Données projet'!$A$114,'Données projet'!$B$114,BY81+BX82-CG81)))</f>
        <v>281.99999999999983</v>
      </c>
      <c r="BZ82" s="14">
        <f>BY82*VLOOKUP('Données projet'!$B$12,Paramètres!$A$1:$I$88,3,0)*VLOOKUP('Données projet'!$B$12,Paramètres!$A$1:$I$88,5,0)</f>
        <v>184.76639999999989</v>
      </c>
      <c r="CA82" s="14">
        <f t="shared" si="93"/>
        <v>46.381003956809948</v>
      </c>
      <c r="CB82" s="22">
        <f t="shared" si="64"/>
        <v>402.58172855811046</v>
      </c>
      <c r="CC82" s="62">
        <f t="shared" si="65"/>
        <v>689.75004725626593</v>
      </c>
      <c r="CD82" s="62">
        <f ca="1">AVERAGE(OFFSET($CC$3,0,0,'Données projet'!$E$12+1,1))-AVERAGE(OFFSET($H$3,0,0,'Données projet'!$E$12+1,1))</f>
        <v>270.10151451661864</v>
      </c>
      <c r="CE82" s="62">
        <f t="shared" si="94"/>
        <v>294.47934482366804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projet'!$B$12,Paramètres!$A$1:$I$88,3,0)*0.475*44/12</f>
        <v>0</v>
      </c>
      <c r="CL82" s="23">
        <f>EXP(-LN(2)/25)*CL81+(1-EXP(-LN(2)/25))/(LN(2)/25)*Calculateur!CG82*Calculateur!CI82*VLOOKUP('Données projet'!$B$12,Paramètres!$A$1:$I$88,3,0)*0.475*44/12</f>
        <v>0</v>
      </c>
      <c r="CM82" s="23">
        <f>EXP(-LN(2)/2)*CM81+(1-EXP(-LN(2)/2))/(LN(2)/2)*CG82*CJ82*VLOOKUP('Données projet'!$B$12,Paramètres!$A$1:$I$88,3,0)*0.475*44/12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68.318632372224215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3</v>
      </c>
      <c r="CT82" s="13">
        <f>IF('Données projet'!$A$140&gt;35,CT81+CS82-DB81,IF(A82&lt;'Données projet'!$A$140,$CQ$205^A82,IF(A82='Données projet'!$A$140,'Données projet'!$B$140,CT81+CS82-DB81)))</f>
        <v>281.99999999999983</v>
      </c>
      <c r="CU82" s="18">
        <f>CT82*VLOOKUP('Données projet'!$B$13,Paramètres!$A$1:$I$88,3,0)*VLOOKUP('Données projet'!$B$13,Paramètres!$A$1:$I$88,5,0)</f>
        <v>184.76639999999989</v>
      </c>
      <c r="CV82" s="14">
        <f t="shared" si="95"/>
        <v>46.381003956809948</v>
      </c>
      <c r="CW82" s="22">
        <f t="shared" si="67"/>
        <v>402.58172855811046</v>
      </c>
      <c r="CX82" s="62">
        <f t="shared" si="68"/>
        <v>689.75004725626593</v>
      </c>
      <c r="CY82" s="62">
        <f ca="1">AVERAGE(OFFSET($CX$3,0,0,'Données projet'!$E$13+1,1))-AVERAGE(OFFSET($H$3,0,0,'Données projet'!$E$13+1,1))</f>
        <v>270.10151451661864</v>
      </c>
      <c r="CZ82" s="62">
        <f t="shared" si="96"/>
        <v>294.47934482366804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projet'!$B$13,Paramètres!$A$1:$I$88,3,0)*0.475*44/12</f>
        <v>0</v>
      </c>
      <c r="DG82" s="23">
        <f>EXP(-LN(2)/25)*DG81+(1-EXP(-LN(2)/25))/(LN(2)/25)*Calculateur!DB82*Calculateur!DD82*VLOOKUP('Données projet'!$B$13,Paramètres!$A$1:$I$88,3,0)*0.475*44/12</f>
        <v>0</v>
      </c>
      <c r="DH82" s="23">
        <f>EXP(-LN(2)/2)*DH81+(1-EXP(-LN(2)/2))/(LN(2)/2)*DB82*DE82*VLOOKUP('Données projet'!$B$13,Paramètres!$A$1:$I$88,3,0)*0.475*44/12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68.318632372224215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projet'!$B$14,Paramètres!$A$1:$I$88,3,0)*0.475*44/12</f>
        <v>#N/A</v>
      </c>
      <c r="EB82" s="23" t="e">
        <f>EXP(-LN(2)/25)*EB81+(1-EXP(-LN(2)/25))/(LN(2)/25)*Calculateur!DW82*Calculateur!DY82*VLOOKUP('Données projet'!$B$14,Paramètres!$A$1:$I$88,3,0)*0.475*44/12</f>
        <v>#N/A</v>
      </c>
      <c r="EC82" s="23" t="e">
        <f>EXP(-LN(2)/2)*EC81+(1-EXP(-LN(2)/2))/(LN(2)/2)*DW82*DZ82*VLOOKUP('Données projet'!$B$14,Paramètres!$A$1:$I$88,3,0)*0.475*44/12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68.318632372224215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68.318632372224215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68.318632372224215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68.318632372224215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1.34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4.9133333333333331</v>
      </c>
      <c r="H83" s="70">
        <f t="shared" si="56"/>
        <v>237.01333333333332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68.347800341591238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5.9</v>
      </c>
      <c r="N83" s="14">
        <f>IF('Données projet'!$A$36&gt;35,N82+M83-V82,IF(A83&lt;'Données projet'!$A$36,$K$205^A83,IF(A83='Données projet'!$A$36,'Données projet'!$B$36,N82+M83-V82)))</f>
        <v>260.49999999999989</v>
      </c>
      <c r="O83" s="14">
        <f>N83*VLOOKUP('Données projet'!$B$9,Paramètres!$A$1:$I$88,3,0)*VLOOKUP('Données projet'!$B$9,Paramètres!$A$1:$I$88,5,0)</f>
        <v>264.14699999999988</v>
      </c>
      <c r="P83" s="14">
        <f t="shared" si="87"/>
        <v>63.605535018865886</v>
      </c>
      <c r="Q83" s="22">
        <f t="shared" si="54"/>
        <v>570.83566515785787</v>
      </c>
      <c r="R83" s="62">
        <f t="shared" si="55"/>
        <v>858.11093307702572</v>
      </c>
      <c r="S83" s="62">
        <f ca="1">AVERAGE(OFFSET($R$3,0,0,'Données projet'!$E$9+1,1))-AVERAGE(OFFSET($H$3,0,0,'Données projet'!$E$9+1,1))</f>
        <v>488.16146816015231</v>
      </c>
      <c r="T83" s="62">
        <f t="shared" si="88"/>
        <v>259.37115195552127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0</v>
      </c>
      <c r="AA83" s="23">
        <f>EXP(-LN(2)/25)*AA82+(1-EXP(-LN(2)/25))/(LN(2)/25)*Calculateur!V83*Calculateur!X83*VLOOKUP('Données projet'!$B$9,Paramètres!$A$1:$I$88,3,0)*0.475*44/12</f>
        <v>0</v>
      </c>
      <c r="AB83" s="23">
        <f>EXP(-LN(2)/2)*AB82+(1-EXP(-LN(2)/2))/(LN(2)/2)*V83*Y83*VLOOKUP('Données projet'!$B$9,Paramètres!$A$1:$I$88,3,0)*0.475*44/12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68.347800341591238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5.9</v>
      </c>
      <c r="AI83" s="14">
        <f>IF('Données projet'!$A$62&gt;35,AI82+AH83-AQ82,IF(A83&lt;'Données projet'!$A$62,$AF$205^A83,IF(A83='Données projet'!$A$62,'Données projet'!$B$62,AI82+AH83-AQ82)))</f>
        <v>260.49999999999989</v>
      </c>
      <c r="AJ83" s="14">
        <f>AI83*VLOOKUP('Données projet'!$B$10,Paramètres!$A$1:$I$88,3,0)*VLOOKUP('Données projet'!$B$10,Paramètres!$A$1:$I$88,5,0)</f>
        <v>235.70039999999989</v>
      </c>
      <c r="AK83" s="14">
        <f t="shared" si="89"/>
        <v>57.513479567871634</v>
      </c>
      <c r="AL83" s="22">
        <f t="shared" si="58"/>
        <v>510.68084024737624</v>
      </c>
      <c r="AM83" s="62">
        <f t="shared" si="59"/>
        <v>797.95610816654414</v>
      </c>
      <c r="AN83" s="62">
        <f ca="1">AVERAGE(OFFSET($AM$3,0,0,'Données projet'!$E$10+1,1))-AVERAGE(OFFSET($H$3,0,0,'Données projet'!$E$10+1,1))</f>
        <v>441.34749554136755</v>
      </c>
      <c r="AO83" s="62">
        <f t="shared" si="90"/>
        <v>236.49038586666222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0</v>
      </c>
      <c r="AV83" s="23">
        <f>EXP(-LN(2)/25)*AV82+(1-EXP(-LN(2)/25))/(LN(2)/25)*Calculateur!AQ83*Calculateur!AS83*VLOOKUP('Données projet'!$B$10,Paramètres!$A$1:$I$88,3,0)*0.475*44/12</f>
        <v>0</v>
      </c>
      <c r="AW83" s="23">
        <f>EXP(-LN(2)/2)*AW82+(1-EXP(-LN(2)/2))/(LN(2)/2)*AQ83*AT83*VLOOKUP('Données projet'!$B$10,Paramètres!$A$1:$I$88,3,0)*0.475*44/12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68.347800341591238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5.9</v>
      </c>
      <c r="BD83" s="13">
        <f>IF('Données projet'!$A$88&gt;35,BD82+BC83-BL82,IF(A83&lt;'Données projet'!$A$88,$BA$205^A83,IF(A83='Données projet'!$A$88,'Données projet'!$B$88,BD82+BC83-BL82)))</f>
        <v>260.49999999999989</v>
      </c>
      <c r="BE83" s="14">
        <f>BD83*VLOOKUP('Données projet'!$B$11,Paramètres!$A$1:$I$88,3,0)*VLOOKUP('Données projet'!$B$11,Paramètres!$A$1:$I$88,5,0)</f>
        <v>280.40219999999988</v>
      </c>
      <c r="BF83" s="14">
        <f t="shared" si="91"/>
        <v>67.051998201071953</v>
      </c>
      <c r="BG83" s="22">
        <f t="shared" si="61"/>
        <v>605.14939520020005</v>
      </c>
      <c r="BH83" s="62">
        <f t="shared" si="62"/>
        <v>892.42466311936801</v>
      </c>
      <c r="BI83" s="62">
        <f ca="1">AVERAGE(OFFSET($BH$3,0,0,'Données projet'!$E$11+1,1))-AVERAGE(OFFSET($H$3,0,0,'Données projet'!$E$11+1,1))</f>
        <v>514.86487884889584</v>
      </c>
      <c r="BJ83" s="62">
        <f t="shared" si="92"/>
        <v>272.4206208356191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projet'!$B$11,Paramètres!$A$1:$I$88,3,0)*0.475*44/12</f>
        <v>0</v>
      </c>
      <c r="BQ83" s="23">
        <f>EXP(-LN(2)/25)*BQ82+(1-EXP(-LN(2)/25))/(LN(2)/25)*Calculateur!BL83*Calculateur!BN83*VLOOKUP('Données projet'!$B$11,Paramètres!$A$1:$I$88,3,0)*0.475*44/12</f>
        <v>0</v>
      </c>
      <c r="BR83" s="23">
        <f>EXP(-LN(2)/2)*BR82+(1-EXP(-LN(2)/2))/(LN(2)/2)*BL83*BO83*VLOOKUP('Données projet'!$B$11,Paramètres!$A$1:$I$88,3,0)*0.475*44/12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68.347800341591238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285</v>
      </c>
      <c r="BW83" s="13">
        <f>VLOOKUP(A83,'Données projet'!$A$113:$I$133,9,0)</f>
        <v>3</v>
      </c>
      <c r="BX83" s="13">
        <f t="array" ref="BX83">INDEX(BW:BW,MIN(IF(ISNUMBER(BW83:BW279),ROW(BW83:BW279),"")))</f>
        <v>3</v>
      </c>
      <c r="BY83" s="13">
        <f>IF('Données projet'!$A$114&gt;35,BY82+BX83-CG82,IF(A83&lt;'Données projet'!$A$114,$BV$205^A83,IF(A83='Données projet'!$A$114,'Données projet'!$B$114,BY82+BX83-CG82)))</f>
        <v>284.99999999999983</v>
      </c>
      <c r="BZ83" s="14">
        <f>BY83*VLOOKUP('Données projet'!$B$12,Paramètres!$A$1:$I$88,3,0)*VLOOKUP('Données projet'!$B$12,Paramètres!$A$1:$I$88,5,0)</f>
        <v>186.73199999999989</v>
      </c>
      <c r="CA83" s="14">
        <f t="shared" si="93"/>
        <v>46.816716519231377</v>
      </c>
      <c r="CB83" s="22">
        <f t="shared" si="64"/>
        <v>406.76401460432777</v>
      </c>
      <c r="CC83" s="62">
        <f t="shared" si="65"/>
        <v>694.03928252349567</v>
      </c>
      <c r="CD83" s="62">
        <f ca="1">AVERAGE(OFFSET($CC$3,0,0,'Données projet'!$E$12+1,1))-AVERAGE(OFFSET($H$3,0,0,'Données projet'!$E$12+1,1))</f>
        <v>270.10151451661864</v>
      </c>
      <c r="CE83" s="62">
        <f t="shared" si="94"/>
        <v>294.47934482366804</v>
      </c>
      <c r="CF83" s="16">
        <f>IF(ISNA(VLOOKUP(A83,'Données projet'!$A$113:$I$133,3,0)),0,VLOOKUP(A83,'Données projet'!$A$113:$I$133,3,0))</f>
        <v>7</v>
      </c>
      <c r="CG83" s="16">
        <f>IF(ISNA(VLOOKUP(A83,'Données projet'!$A$113:$I$133,4,0)),0,VLOOKUP(A83,'Données projet'!$A$113:$I$133,4,0))</f>
        <v>285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projet'!$B$12,Paramètres!$A$1:$I$88,3,0)*0.475*44/12</f>
        <v>0</v>
      </c>
      <c r="CL83" s="23">
        <f>EXP(-LN(2)/25)*CL82+(1-EXP(-LN(2)/25))/(LN(2)/25)*Calculateur!CG83*Calculateur!CI83*VLOOKUP('Données projet'!$B$12,Paramètres!$A$1:$I$88,3,0)*0.475*44/12</f>
        <v>0</v>
      </c>
      <c r="CM83" s="23">
        <f>EXP(-LN(2)/2)*CM82+(1-EXP(-LN(2)/2))/(LN(2)/2)*CG83*CJ83*VLOOKUP('Données projet'!$B$12,Paramètres!$A$1:$I$88,3,0)*0.475*44/12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68.347800341591238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285</v>
      </c>
      <c r="CR83" s="13">
        <f>VLOOKUP(A83,'Données projet'!$A$139:$I$159,9,0)</f>
        <v>3</v>
      </c>
      <c r="CS83" s="13">
        <f t="array" ref="CS83">INDEX(CR:CR,MIN(IF(ISNUMBER(CR83:CR279),ROW(CR83:CR279),"")))</f>
        <v>3</v>
      </c>
      <c r="CT83" s="13">
        <f>IF('Données projet'!$A$140&gt;35,CT82+CS83-DB82,IF(A83&lt;'Données projet'!$A$140,$CQ$205^A83,IF(A83='Données projet'!$A$140,'Données projet'!$B$140,CT82+CS83-DB82)))</f>
        <v>284.99999999999983</v>
      </c>
      <c r="CU83" s="18">
        <f>CT83*VLOOKUP('Données projet'!$B$13,Paramètres!$A$1:$I$88,3,0)*VLOOKUP('Données projet'!$B$13,Paramètres!$A$1:$I$88,5,0)</f>
        <v>186.73199999999989</v>
      </c>
      <c r="CV83" s="14">
        <f t="shared" si="95"/>
        <v>46.816716519231377</v>
      </c>
      <c r="CW83" s="22">
        <f t="shared" si="67"/>
        <v>406.76401460432777</v>
      </c>
      <c r="CX83" s="62">
        <f t="shared" si="68"/>
        <v>694.03928252349567</v>
      </c>
      <c r="CY83" s="62">
        <f ca="1">AVERAGE(OFFSET($CX$3,0,0,'Données projet'!$E$13+1,1))-AVERAGE(OFFSET($H$3,0,0,'Données projet'!$E$13+1,1))</f>
        <v>270.10151451661864</v>
      </c>
      <c r="CZ83" s="62">
        <f t="shared" si="96"/>
        <v>294.47934482366804</v>
      </c>
      <c r="DA83" s="16">
        <f>IF(ISNA(VLOOKUP(A83,'Données projet'!$A$139:$I$159,3,0)),0,VLOOKUP(A83,'Données projet'!$A$139:$I$159,3,0))</f>
        <v>7</v>
      </c>
      <c r="DB83" s="16">
        <f>IF(ISNA(VLOOKUP(A83,'Données projet'!$A$139:$I$159,4,0)),0,VLOOKUP(A83,'Données projet'!$A$139:$I$159,4,0))</f>
        <v>285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projet'!$B$13,Paramètres!$A$1:$I$88,3,0)*0.475*44/12</f>
        <v>0</v>
      </c>
      <c r="DG83" s="23">
        <f>EXP(-LN(2)/25)*DG82+(1-EXP(-LN(2)/25))/(LN(2)/25)*Calculateur!DB83*Calculateur!DD83*VLOOKUP('Données projet'!$B$13,Paramètres!$A$1:$I$88,3,0)*0.475*44/12</f>
        <v>0</v>
      </c>
      <c r="DH83" s="23">
        <f>EXP(-LN(2)/2)*DH82+(1-EXP(-LN(2)/2))/(LN(2)/2)*DB83*DE83*VLOOKUP('Données projet'!$B$13,Paramètres!$A$1:$I$88,3,0)*0.475*44/12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68.347800341591238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projet'!$B$14,Paramètres!$A$1:$I$88,3,0)*0.475*44/12</f>
        <v>#N/A</v>
      </c>
      <c r="EB83" s="23" t="e">
        <f>EXP(-LN(2)/25)*EB82+(1-EXP(-LN(2)/25))/(LN(2)/25)*Calculateur!DW83*Calculateur!DY83*VLOOKUP('Données projet'!$B$14,Paramètres!$A$1:$I$88,3,0)*0.475*44/12</f>
        <v>#N/A</v>
      </c>
      <c r="EC83" s="23" t="e">
        <f>EXP(-LN(2)/2)*EC82+(1-EXP(-LN(2)/2))/(LN(2)/2)*DW83*DZ83*VLOOKUP('Données projet'!$B$14,Paramètres!$A$1:$I$88,3,0)*0.475*44/12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68.347800341591238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68.347800341591238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68.347800341591238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68.347800341591238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1.34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4.9133333333333331</v>
      </c>
      <c r="H84" s="70">
        <f t="shared" si="56"/>
        <v>237.01333333333332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68.376462311899559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5.9</v>
      </c>
      <c r="N84" s="14">
        <f>IF('Données projet'!$A$36&gt;35,N83+M84-V83,IF(A84&lt;'Données projet'!$A$36,$K$205^A84,IF(A84='Données projet'!$A$36,'Données projet'!$B$36,N83+M84-V83)))</f>
        <v>266.39999999999986</v>
      </c>
      <c r="O84" s="14">
        <f>N84*VLOOKUP('Données projet'!$B$9,Paramètres!$A$1:$I$88,3,0)*VLOOKUP('Données projet'!$B$9,Paramètres!$A$1:$I$88,5,0)</f>
        <v>270.12959999999987</v>
      </c>
      <c r="P84" s="14">
        <f t="shared" si="87"/>
        <v>64.876772910497735</v>
      </c>
      <c r="Q84" s="22">
        <f t="shared" si="54"/>
        <v>583.46943281911661</v>
      </c>
      <c r="R84" s="62">
        <f t="shared" si="55"/>
        <v>870.84979462941499</v>
      </c>
      <c r="S84" s="62">
        <f ca="1">AVERAGE(OFFSET($R$3,0,0,'Données projet'!$E$9+1,1))-AVERAGE(OFFSET($H$3,0,0,'Données projet'!$E$9+1,1))</f>
        <v>488.16146816015231</v>
      </c>
      <c r="T84" s="62">
        <f t="shared" si="88"/>
        <v>259.37115195552127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0</v>
      </c>
      <c r="AA84" s="23">
        <f>EXP(-LN(2)/25)*AA83+(1-EXP(-LN(2)/25))/(LN(2)/25)*Calculateur!V84*Calculateur!X84*VLOOKUP('Données projet'!$B$9,Paramètres!$A$1:$I$88,3,0)*0.475*44/12</f>
        <v>0</v>
      </c>
      <c r="AB84" s="23">
        <f>EXP(-LN(2)/2)*AB83+(1-EXP(-LN(2)/2))/(LN(2)/2)*V84*Y84*VLOOKUP('Données projet'!$B$9,Paramètres!$A$1:$I$88,3,0)*0.475*44/12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68.376462311899559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5.9</v>
      </c>
      <c r="AI84" s="14">
        <f>IF('Données projet'!$A$62&gt;35,AI83+AH84-AQ83,IF(A84&lt;'Données projet'!$A$62,$AF$205^A84,IF(A84='Données projet'!$A$62,'Données projet'!$B$62,AI83+AH84-AQ83)))</f>
        <v>266.39999999999986</v>
      </c>
      <c r="AJ84" s="14">
        <f>AI84*VLOOKUP('Données projet'!$B$10,Paramètres!$A$1:$I$88,3,0)*VLOOKUP('Données projet'!$B$10,Paramètres!$A$1:$I$88,5,0)</f>
        <v>241.03871999999987</v>
      </c>
      <c r="AK84" s="14">
        <f t="shared" si="89"/>
        <v>58.66295994697046</v>
      </c>
      <c r="AL84" s="22">
        <f t="shared" si="58"/>
        <v>521.98042590763998</v>
      </c>
      <c r="AM84" s="62">
        <f t="shared" si="59"/>
        <v>809.36078771793836</v>
      </c>
      <c r="AN84" s="62">
        <f ca="1">AVERAGE(OFFSET($AM$3,0,0,'Données projet'!$E$10+1,1))-AVERAGE(OFFSET($H$3,0,0,'Données projet'!$E$10+1,1))</f>
        <v>441.34749554136755</v>
      </c>
      <c r="AO84" s="62">
        <f t="shared" si="90"/>
        <v>236.49038586666222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0</v>
      </c>
      <c r="AV84" s="23">
        <f>EXP(-LN(2)/25)*AV83+(1-EXP(-LN(2)/25))/(LN(2)/25)*Calculateur!AQ84*Calculateur!AS84*VLOOKUP('Données projet'!$B$10,Paramètres!$A$1:$I$88,3,0)*0.475*44/12</f>
        <v>0</v>
      </c>
      <c r="AW84" s="23">
        <f>EXP(-LN(2)/2)*AW83+(1-EXP(-LN(2)/2))/(LN(2)/2)*AQ84*AT84*VLOOKUP('Données projet'!$B$10,Paramètres!$A$1:$I$88,3,0)*0.475*44/12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68.376462311899559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5.9</v>
      </c>
      <c r="BD84" s="13">
        <f>IF('Données projet'!$A$88&gt;35,BD83+BC84-BL83,IF(A84&lt;'Données projet'!$A$88,$BA$205^A84,IF(A84='Données projet'!$A$88,'Données projet'!$B$88,BD83+BC84-BL83)))</f>
        <v>266.39999999999986</v>
      </c>
      <c r="BE84" s="14">
        <f>BD84*VLOOKUP('Données projet'!$B$11,Paramètres!$A$1:$I$88,3,0)*VLOOKUP('Données projet'!$B$11,Paramètres!$A$1:$I$88,5,0)</f>
        <v>286.75295999999986</v>
      </c>
      <c r="BF84" s="14">
        <f t="shared" si="91"/>
        <v>68.392118063243558</v>
      </c>
      <c r="BG84" s="22">
        <f t="shared" si="61"/>
        <v>618.54434429348237</v>
      </c>
      <c r="BH84" s="62">
        <f t="shared" si="62"/>
        <v>905.92470610378075</v>
      </c>
      <c r="BI84" s="62">
        <f ca="1">AVERAGE(OFFSET($BH$3,0,0,'Données projet'!$E$11+1,1))-AVERAGE(OFFSET($H$3,0,0,'Données projet'!$E$11+1,1))</f>
        <v>514.86487884889584</v>
      </c>
      <c r="BJ84" s="62">
        <f t="shared" si="92"/>
        <v>272.4206208356191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projet'!$B$11,Paramètres!$A$1:$I$88,3,0)*0.475*44/12</f>
        <v>0</v>
      </c>
      <c r="BQ84" s="23">
        <f>EXP(-LN(2)/25)*BQ83+(1-EXP(-LN(2)/25))/(LN(2)/25)*Calculateur!BL84*Calculateur!BN84*VLOOKUP('Données projet'!$B$11,Paramètres!$A$1:$I$88,3,0)*0.475*44/12</f>
        <v>0</v>
      </c>
      <c r="BR84" s="23">
        <f>EXP(-LN(2)/2)*BR83+(1-EXP(-LN(2)/2))/(LN(2)/2)*BL84*BO84*VLOOKUP('Données projet'!$B$11,Paramètres!$A$1:$I$88,3,0)*0.475*44/12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68.376462311899559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-1.7053025658242404E-13</v>
      </c>
      <c r="BZ84" s="14">
        <f>BY84*VLOOKUP('Données projet'!$B$12,Paramètres!$A$1:$I$88,3,0)*VLOOKUP('Données projet'!$B$12,Paramètres!$A$1:$I$88,5,0)</f>
        <v>-1.1173142411280423E-13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270.10151451661864</v>
      </c>
      <c r="CE84" s="62">
        <f t="shared" si="94"/>
        <v>294.47934482366804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projet'!$B$12,Paramètres!$A$1:$I$88,3,0)*0.475*44/12</f>
        <v>0</v>
      </c>
      <c r="CL84" s="23">
        <f>EXP(-LN(2)/25)*CL83+(1-EXP(-LN(2)/25))/(LN(2)/25)*Calculateur!CG84*Calculateur!CI84*VLOOKUP('Données projet'!$B$12,Paramètres!$A$1:$I$88,3,0)*0.475*44/12</f>
        <v>0</v>
      </c>
      <c r="CM84" s="23">
        <f>EXP(-LN(2)/2)*CM83+(1-EXP(-LN(2)/2))/(LN(2)/2)*CG84*CJ84*VLOOKUP('Données projet'!$B$12,Paramètres!$A$1:$I$88,3,0)*0.475*44/12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68.376462311899559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-1.7053025658242404E-13</v>
      </c>
      <c r="CU84" s="18">
        <f>CT84*VLOOKUP('Données projet'!$B$13,Paramètres!$A$1:$I$88,3,0)*VLOOKUP('Données projet'!$B$13,Paramètres!$A$1:$I$88,5,0)</f>
        <v>-1.1173142411280423E-13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270.10151451661864</v>
      </c>
      <c r="CZ84" s="62">
        <f t="shared" si="96"/>
        <v>294.47934482366804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projet'!$B$13,Paramètres!$A$1:$I$88,3,0)*0.475*44/12</f>
        <v>0</v>
      </c>
      <c r="DG84" s="23">
        <f>EXP(-LN(2)/25)*DG83+(1-EXP(-LN(2)/25))/(LN(2)/25)*Calculateur!DB84*Calculateur!DD84*VLOOKUP('Données projet'!$B$13,Paramètres!$A$1:$I$88,3,0)*0.475*44/12</f>
        <v>0</v>
      </c>
      <c r="DH84" s="23">
        <f>EXP(-LN(2)/2)*DH83+(1-EXP(-LN(2)/2))/(LN(2)/2)*DB84*DE84*VLOOKUP('Données projet'!$B$13,Paramètres!$A$1:$I$88,3,0)*0.475*44/12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68.376462311899559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projet'!$B$14,Paramètres!$A$1:$I$88,3,0)*0.475*44/12</f>
        <v>#N/A</v>
      </c>
      <c r="EB84" s="23" t="e">
        <f>EXP(-LN(2)/25)*EB83+(1-EXP(-LN(2)/25))/(LN(2)/25)*Calculateur!DW84*Calculateur!DY84*VLOOKUP('Données projet'!$B$14,Paramètres!$A$1:$I$88,3,0)*0.475*44/12</f>
        <v>#N/A</v>
      </c>
      <c r="EC84" s="23" t="e">
        <f>EXP(-LN(2)/2)*EC83+(1-EXP(-LN(2)/2))/(LN(2)/2)*DW84*DZ84*VLOOKUP('Données projet'!$B$14,Paramètres!$A$1:$I$88,3,0)*0.475*44/12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68.376462311899559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68.376462311899559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68.376462311899559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68.376462311899559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1.34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4.9133333333333331</v>
      </c>
      <c r="H85" s="70">
        <f t="shared" si="56"/>
        <v>237.01333333333332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68.404627061101593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5.9</v>
      </c>
      <c r="N85" s="14">
        <f>IF('Données projet'!$A$36&gt;35,N84+M85-V84,IF(A85&lt;'Données projet'!$A$36,$K$205^A85,IF(A85='Données projet'!$A$36,'Données projet'!$B$36,N84+M85-V84)))</f>
        <v>272.29999999999984</v>
      </c>
      <c r="O85" s="14">
        <f>N85*VLOOKUP('Données projet'!$B$9,Paramètres!$A$1:$I$88,3,0)*VLOOKUP('Données projet'!$B$9,Paramètres!$A$1:$I$88,5,0)</f>
        <v>276.11219999999986</v>
      </c>
      <c r="P85" s="14">
        <f t="shared" si="87"/>
        <v>66.144737580152963</v>
      </c>
      <c r="Q85" s="22">
        <f t="shared" si="54"/>
        <v>596.09749961876616</v>
      </c>
      <c r="R85" s="62">
        <f t="shared" si="55"/>
        <v>883.58113217613868</v>
      </c>
      <c r="S85" s="62">
        <f ca="1">AVERAGE(OFFSET($R$3,0,0,'Données projet'!$E$9+1,1))-AVERAGE(OFFSET($H$3,0,0,'Données projet'!$E$9+1,1))</f>
        <v>488.16146816015231</v>
      </c>
      <c r="T85" s="62">
        <f t="shared" si="88"/>
        <v>259.37115195552127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0</v>
      </c>
      <c r="AA85" s="23">
        <f>EXP(-LN(2)/25)*AA84+(1-EXP(-LN(2)/25))/(LN(2)/25)*Calculateur!V85*Calculateur!X85*VLOOKUP('Données projet'!$B$9,Paramètres!$A$1:$I$88,3,0)*0.475*44/12</f>
        <v>0</v>
      </c>
      <c r="AB85" s="23">
        <f>EXP(-LN(2)/2)*AB84+(1-EXP(-LN(2)/2))/(LN(2)/2)*V85*Y85*VLOOKUP('Données projet'!$B$9,Paramètres!$A$1:$I$88,3,0)*0.475*44/12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68.404627061101593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5.9</v>
      </c>
      <c r="AI85" s="14">
        <f>IF('Données projet'!$A$62&gt;35,AI84+AH85-AQ84,IF(A85&lt;'Données projet'!$A$62,$AF$205^A85,IF(A85='Données projet'!$A$62,'Données projet'!$B$62,AI84+AH85-AQ84)))</f>
        <v>272.29999999999984</v>
      </c>
      <c r="AJ85" s="14">
        <f>AI85*VLOOKUP('Données projet'!$B$10,Paramètres!$A$1:$I$88,3,0)*VLOOKUP('Données projet'!$B$10,Paramètres!$A$1:$I$88,5,0)</f>
        <v>246.37703999999982</v>
      </c>
      <c r="AK85" s="14">
        <f t="shared" si="89"/>
        <v>59.809480609038189</v>
      </c>
      <c r="AL85" s="22">
        <f t="shared" si="58"/>
        <v>533.27485672740784</v>
      </c>
      <c r="AM85" s="62">
        <f t="shared" si="59"/>
        <v>820.75848928478035</v>
      </c>
      <c r="AN85" s="62">
        <f ca="1">AVERAGE(OFFSET($AM$3,0,0,'Données projet'!$E$10+1,1))-AVERAGE(OFFSET($H$3,0,0,'Données projet'!$E$10+1,1))</f>
        <v>441.34749554136755</v>
      </c>
      <c r="AO85" s="62">
        <f t="shared" si="90"/>
        <v>236.49038586666222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0</v>
      </c>
      <c r="AV85" s="23">
        <f>EXP(-LN(2)/25)*AV84+(1-EXP(-LN(2)/25))/(LN(2)/25)*Calculateur!AQ85*Calculateur!AS85*VLOOKUP('Données projet'!$B$10,Paramètres!$A$1:$I$88,3,0)*0.475*44/12</f>
        <v>0</v>
      </c>
      <c r="AW85" s="23">
        <f>EXP(-LN(2)/2)*AW84+(1-EXP(-LN(2)/2))/(LN(2)/2)*AQ85*AT85*VLOOKUP('Données projet'!$B$10,Paramètres!$A$1:$I$88,3,0)*0.475*44/12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68.404627061101593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5.9</v>
      </c>
      <c r="BD85" s="13">
        <f>IF('Données projet'!$A$88&gt;35,BD84+BC85-BL84,IF(A85&lt;'Données projet'!$A$88,$BA$205^A85,IF(A85='Données projet'!$A$88,'Données projet'!$B$88,BD84+BC85-BL84)))</f>
        <v>272.29999999999984</v>
      </c>
      <c r="BE85" s="14">
        <f>BD85*VLOOKUP('Données projet'!$B$11,Paramètres!$A$1:$I$88,3,0)*VLOOKUP('Données projet'!$B$11,Paramètres!$A$1:$I$88,5,0)</f>
        <v>293.10371999999984</v>
      </c>
      <c r="BF85" s="14">
        <f t="shared" si="91"/>
        <v>69.728787344046424</v>
      </c>
      <c r="BG85" s="22">
        <f t="shared" si="61"/>
        <v>631.9332836242138</v>
      </c>
      <c r="BH85" s="62">
        <f t="shared" si="62"/>
        <v>919.41691618158632</v>
      </c>
      <c r="BI85" s="62">
        <f ca="1">AVERAGE(OFFSET($BH$3,0,0,'Données projet'!$E$11+1,1))-AVERAGE(OFFSET($H$3,0,0,'Données projet'!$E$11+1,1))</f>
        <v>514.86487884889584</v>
      </c>
      <c r="BJ85" s="62">
        <f t="shared" si="92"/>
        <v>272.4206208356191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projet'!$B$11,Paramètres!$A$1:$I$88,3,0)*0.475*44/12</f>
        <v>0</v>
      </c>
      <c r="BQ85" s="23">
        <f>EXP(-LN(2)/25)*BQ84+(1-EXP(-LN(2)/25))/(LN(2)/25)*Calculateur!BL85*Calculateur!BN85*VLOOKUP('Données projet'!$B$11,Paramètres!$A$1:$I$88,3,0)*0.475*44/12</f>
        <v>0</v>
      </c>
      <c r="BR85" s="23">
        <f>EXP(-LN(2)/2)*BR84+(1-EXP(-LN(2)/2))/(LN(2)/2)*BL85*BO85*VLOOKUP('Données projet'!$B$11,Paramètres!$A$1:$I$88,3,0)*0.475*44/12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68.404627061101593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-1.7053025658242404E-13</v>
      </c>
      <c r="BZ85" s="14">
        <f>BY85*VLOOKUP('Données projet'!$B$12,Paramètres!$A$1:$I$88,3,0)*VLOOKUP('Données projet'!$B$12,Paramètres!$A$1:$I$88,5,0)</f>
        <v>-1.1173142411280423E-13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270.10151451661864</v>
      </c>
      <c r="CE85" s="62">
        <f t="shared" si="94"/>
        <v>294.47934482366804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projet'!$B$12,Paramètres!$A$1:$I$88,3,0)*0.475*44/12</f>
        <v>0</v>
      </c>
      <c r="CL85" s="23">
        <f>EXP(-LN(2)/25)*CL84+(1-EXP(-LN(2)/25))/(LN(2)/25)*Calculateur!CG85*Calculateur!CI85*VLOOKUP('Données projet'!$B$12,Paramètres!$A$1:$I$88,3,0)*0.475*44/12</f>
        <v>0</v>
      </c>
      <c r="CM85" s="23">
        <f>EXP(-LN(2)/2)*CM84+(1-EXP(-LN(2)/2))/(LN(2)/2)*CG85*CJ85*VLOOKUP('Données projet'!$B$12,Paramètres!$A$1:$I$88,3,0)*0.475*44/12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68.404627061101593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-1.7053025658242404E-13</v>
      </c>
      <c r="CU85" s="18">
        <f>CT85*VLOOKUP('Données projet'!$B$13,Paramètres!$A$1:$I$88,3,0)*VLOOKUP('Données projet'!$B$13,Paramètres!$A$1:$I$88,5,0)</f>
        <v>-1.1173142411280423E-13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270.10151451661864</v>
      </c>
      <c r="CZ85" s="62">
        <f t="shared" si="96"/>
        <v>294.47934482366804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projet'!$B$13,Paramètres!$A$1:$I$88,3,0)*0.475*44/12</f>
        <v>0</v>
      </c>
      <c r="DG85" s="23">
        <f>EXP(-LN(2)/25)*DG84+(1-EXP(-LN(2)/25))/(LN(2)/25)*Calculateur!DB85*Calculateur!DD85*VLOOKUP('Données projet'!$B$13,Paramètres!$A$1:$I$88,3,0)*0.475*44/12</f>
        <v>0</v>
      </c>
      <c r="DH85" s="23">
        <f>EXP(-LN(2)/2)*DH84+(1-EXP(-LN(2)/2))/(LN(2)/2)*DB85*DE85*VLOOKUP('Données projet'!$B$13,Paramètres!$A$1:$I$88,3,0)*0.475*44/12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68.404627061101593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projet'!$B$14,Paramètres!$A$1:$I$88,3,0)*0.475*44/12</f>
        <v>#N/A</v>
      </c>
      <c r="EB85" s="23" t="e">
        <f>EXP(-LN(2)/25)*EB84+(1-EXP(-LN(2)/25))/(LN(2)/25)*Calculateur!DW85*Calculateur!DY85*VLOOKUP('Données projet'!$B$14,Paramètres!$A$1:$I$88,3,0)*0.475*44/12</f>
        <v>#N/A</v>
      </c>
      <c r="EC85" s="23" t="e">
        <f>EXP(-LN(2)/2)*EC84+(1-EXP(-LN(2)/2))/(LN(2)/2)*DW85*DZ85*VLOOKUP('Données projet'!$B$14,Paramètres!$A$1:$I$88,3,0)*0.475*44/12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68.404627061101593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68.404627061101593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68.404627061101593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68.404627061101593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1.34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4.9133333333333331</v>
      </c>
      <c r="H86" s="70">
        <f t="shared" si="56"/>
        <v>237.01333333333332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68.432303214871922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5.9</v>
      </c>
      <c r="N86" s="14">
        <f>IF('Données projet'!$A$36&gt;35,N85+M86-V85,IF(A86&lt;'Données projet'!$A$36,$K$205^A86,IF(A86='Données projet'!$A$36,'Données projet'!$B$36,N85+M86-V85)))</f>
        <v>278.19999999999982</v>
      </c>
      <c r="O86" s="14">
        <f>N86*VLOOKUP('Données projet'!$B$9,Paramètres!$A$1:$I$88,3,0)*VLOOKUP('Données projet'!$B$9,Paramètres!$A$1:$I$88,5,0)</f>
        <v>282.09479999999985</v>
      </c>
      <c r="P86" s="14">
        <f t="shared" si="87"/>
        <v>67.409508117681739</v>
      </c>
      <c r="Q86" s="22">
        <f t="shared" si="54"/>
        <v>608.72000330496201</v>
      </c>
      <c r="R86" s="62">
        <f t="shared" si="55"/>
        <v>896.30511509282564</v>
      </c>
      <c r="S86" s="62">
        <f ca="1">AVERAGE(OFFSET($R$3,0,0,'Données projet'!$E$9+1,1))-AVERAGE(OFFSET($H$3,0,0,'Données projet'!$E$9+1,1))</f>
        <v>488.16146816015231</v>
      </c>
      <c r="T86" s="62">
        <f t="shared" si="88"/>
        <v>259.37115195552127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0</v>
      </c>
      <c r="AA86" s="23">
        <f>EXP(-LN(2)/25)*AA85+(1-EXP(-LN(2)/25))/(LN(2)/25)*Calculateur!V86*Calculateur!X86*VLOOKUP('Données projet'!$B$9,Paramètres!$A$1:$I$88,3,0)*0.475*44/12</f>
        <v>0</v>
      </c>
      <c r="AB86" s="23">
        <f>EXP(-LN(2)/2)*AB85+(1-EXP(-LN(2)/2))/(LN(2)/2)*V86*Y86*VLOOKUP('Données projet'!$B$9,Paramètres!$A$1:$I$88,3,0)*0.475*44/12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68.432303214871922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5.9</v>
      </c>
      <c r="AI86" s="14">
        <f>IF('Données projet'!$A$62&gt;35,AI85+AH86-AQ85,IF(A86&lt;'Données projet'!$A$62,$AF$205^A86,IF(A86='Données projet'!$A$62,'Données projet'!$B$62,AI85+AH86-AQ85)))</f>
        <v>278.19999999999982</v>
      </c>
      <c r="AJ86" s="14">
        <f>AI86*VLOOKUP('Données projet'!$B$10,Paramètres!$A$1:$I$88,3,0)*VLOOKUP('Données projet'!$B$10,Paramètres!$A$1:$I$88,5,0)</f>
        <v>251.71535999999983</v>
      </c>
      <c r="AK86" s="14">
        <f t="shared" si="89"/>
        <v>60.953113068801812</v>
      </c>
      <c r="AL86" s="22">
        <f t="shared" si="58"/>
        <v>544.5642572614961</v>
      </c>
      <c r="AM86" s="62">
        <f t="shared" si="59"/>
        <v>832.14936904935985</v>
      </c>
      <c r="AN86" s="62">
        <f ca="1">AVERAGE(OFFSET($AM$3,0,0,'Données projet'!$E$10+1,1))-AVERAGE(OFFSET($H$3,0,0,'Données projet'!$E$10+1,1))</f>
        <v>441.34749554136755</v>
      </c>
      <c r="AO86" s="62">
        <f t="shared" si="90"/>
        <v>236.49038586666222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0</v>
      </c>
      <c r="AV86" s="23">
        <f>EXP(-LN(2)/25)*AV85+(1-EXP(-LN(2)/25))/(LN(2)/25)*Calculateur!AQ86*Calculateur!AS86*VLOOKUP('Données projet'!$B$10,Paramètres!$A$1:$I$88,3,0)*0.475*44/12</f>
        <v>0</v>
      </c>
      <c r="AW86" s="23">
        <f>EXP(-LN(2)/2)*AW85+(1-EXP(-LN(2)/2))/(LN(2)/2)*AQ86*AT86*VLOOKUP('Données projet'!$B$10,Paramètres!$A$1:$I$88,3,0)*0.475*44/12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68.432303214871922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5.9</v>
      </c>
      <c r="BD86" s="13">
        <f>IF('Données projet'!$A$88&gt;35,BD85+BC86-BL85,IF(A86&lt;'Données projet'!$A$88,$BA$205^A86,IF(A86='Données projet'!$A$88,'Données projet'!$B$88,BD85+BC86-BL85)))</f>
        <v>278.19999999999982</v>
      </c>
      <c r="BE86" s="14">
        <f>BD86*VLOOKUP('Données projet'!$B$11,Paramètres!$A$1:$I$88,3,0)*VLOOKUP('Données projet'!$B$11,Paramètres!$A$1:$I$88,5,0)</f>
        <v>299.45447999999976</v>
      </c>
      <c r="BF86" s="14">
        <f t="shared" si="91"/>
        <v>71.062089418810686</v>
      </c>
      <c r="BG86" s="22">
        <f t="shared" si="61"/>
        <v>645.31635840442812</v>
      </c>
      <c r="BH86" s="62">
        <f t="shared" si="62"/>
        <v>932.90147019229175</v>
      </c>
      <c r="BI86" s="62">
        <f ca="1">AVERAGE(OFFSET($BH$3,0,0,'Données projet'!$E$11+1,1))-AVERAGE(OFFSET($H$3,0,0,'Données projet'!$E$11+1,1))</f>
        <v>514.86487884889584</v>
      </c>
      <c r="BJ86" s="62">
        <f t="shared" si="92"/>
        <v>272.4206208356191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projet'!$B$11,Paramètres!$A$1:$I$88,3,0)*0.475*44/12</f>
        <v>0</v>
      </c>
      <c r="BQ86" s="23">
        <f>EXP(-LN(2)/25)*BQ85+(1-EXP(-LN(2)/25))/(LN(2)/25)*Calculateur!BL86*Calculateur!BN86*VLOOKUP('Données projet'!$B$11,Paramètres!$A$1:$I$88,3,0)*0.475*44/12</f>
        <v>0</v>
      </c>
      <c r="BR86" s="23">
        <f>EXP(-LN(2)/2)*BR85+(1-EXP(-LN(2)/2))/(LN(2)/2)*BL86*BO86*VLOOKUP('Données projet'!$B$11,Paramètres!$A$1:$I$88,3,0)*0.475*44/12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68.432303214871922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-1.7053025658242404E-13</v>
      </c>
      <c r="BZ86" s="14">
        <f>BY86*VLOOKUP('Données projet'!$B$12,Paramètres!$A$1:$I$88,3,0)*VLOOKUP('Données projet'!$B$12,Paramètres!$A$1:$I$88,5,0)</f>
        <v>-1.1173142411280423E-13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270.10151451661864</v>
      </c>
      <c r="CE86" s="62">
        <f t="shared" si="94"/>
        <v>294.47934482366804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projet'!$B$12,Paramètres!$A$1:$I$88,3,0)*0.475*44/12</f>
        <v>0</v>
      </c>
      <c r="CL86" s="23">
        <f>EXP(-LN(2)/25)*CL85+(1-EXP(-LN(2)/25))/(LN(2)/25)*Calculateur!CG86*Calculateur!CI86*VLOOKUP('Données projet'!$B$12,Paramètres!$A$1:$I$88,3,0)*0.475*44/12</f>
        <v>0</v>
      </c>
      <c r="CM86" s="23">
        <f>EXP(-LN(2)/2)*CM85+(1-EXP(-LN(2)/2))/(LN(2)/2)*CG86*CJ86*VLOOKUP('Données projet'!$B$12,Paramètres!$A$1:$I$88,3,0)*0.475*44/12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68.432303214871922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-1.7053025658242404E-13</v>
      </c>
      <c r="CU86" s="18">
        <f>CT86*VLOOKUP('Données projet'!$B$13,Paramètres!$A$1:$I$88,3,0)*VLOOKUP('Données projet'!$B$13,Paramètres!$A$1:$I$88,5,0)</f>
        <v>-1.1173142411280423E-13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270.10151451661864</v>
      </c>
      <c r="CZ86" s="62">
        <f t="shared" si="96"/>
        <v>294.47934482366804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projet'!$B$13,Paramètres!$A$1:$I$88,3,0)*0.475*44/12</f>
        <v>0</v>
      </c>
      <c r="DG86" s="23">
        <f>EXP(-LN(2)/25)*DG85+(1-EXP(-LN(2)/25))/(LN(2)/25)*Calculateur!DB86*Calculateur!DD86*VLOOKUP('Données projet'!$B$13,Paramètres!$A$1:$I$88,3,0)*0.475*44/12</f>
        <v>0</v>
      </c>
      <c r="DH86" s="23">
        <f>EXP(-LN(2)/2)*DH85+(1-EXP(-LN(2)/2))/(LN(2)/2)*DB86*DE86*VLOOKUP('Données projet'!$B$13,Paramètres!$A$1:$I$88,3,0)*0.475*44/12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68.432303214871922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projet'!$B$14,Paramètres!$A$1:$I$88,3,0)*0.475*44/12</f>
        <v>#N/A</v>
      </c>
      <c r="EB86" s="23" t="e">
        <f>EXP(-LN(2)/25)*EB85+(1-EXP(-LN(2)/25))/(LN(2)/25)*Calculateur!DW86*Calculateur!DY86*VLOOKUP('Données projet'!$B$14,Paramètres!$A$1:$I$88,3,0)*0.475*44/12</f>
        <v>#N/A</v>
      </c>
      <c r="EC86" s="23" t="e">
        <f>EXP(-LN(2)/2)*EC85+(1-EXP(-LN(2)/2))/(LN(2)/2)*DW86*DZ86*VLOOKUP('Données projet'!$B$14,Paramètres!$A$1:$I$88,3,0)*0.475*44/12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68.432303214871922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68.432303214871922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68.432303214871922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68.432303214871922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1.34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4.9133333333333331</v>
      </c>
      <c r="H87" s="70">
        <f t="shared" si="56"/>
        <v>237.01333333333332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68.45949924924895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5.9</v>
      </c>
      <c r="N87" s="14">
        <f>IF('Données projet'!$A$36&gt;35,N86+M87-V86,IF(A87&lt;'Données projet'!$A$36,$K$205^A87,IF(A87='Données projet'!$A$36,'Données projet'!$B$36,N86+M87-V86)))</f>
        <v>284.0999999999998</v>
      </c>
      <c r="O87" s="14">
        <f>N87*VLOOKUP('Données projet'!$B$9,Paramètres!$A$1:$I$88,3,0)*VLOOKUP('Données projet'!$B$9,Paramètres!$A$1:$I$88,5,0)</f>
        <v>288.07739999999984</v>
      </c>
      <c r="P87" s="14">
        <f t="shared" si="87"/>
        <v>68.671160066636261</v>
      </c>
      <c r="Q87" s="22">
        <f t="shared" si="54"/>
        <v>621.33707544939125</v>
      </c>
      <c r="R87" s="62">
        <f t="shared" si="55"/>
        <v>909.02190602997075</v>
      </c>
      <c r="S87" s="62">
        <f ca="1">AVERAGE(OFFSET($R$3,0,0,'Données projet'!$E$9+1,1))-AVERAGE(OFFSET($H$3,0,0,'Données projet'!$E$9+1,1))</f>
        <v>488.16146816015231</v>
      </c>
      <c r="T87" s="62">
        <f t="shared" si="88"/>
        <v>259.37115195552127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0</v>
      </c>
      <c r="AA87" s="23">
        <f>EXP(-LN(2)/25)*AA86+(1-EXP(-LN(2)/25))/(LN(2)/25)*Calculateur!V87*Calculateur!X87*VLOOKUP('Données projet'!$B$9,Paramètres!$A$1:$I$88,3,0)*0.475*44/12</f>
        <v>0</v>
      </c>
      <c r="AB87" s="23">
        <f>EXP(-LN(2)/2)*AB86+(1-EXP(-LN(2)/2))/(LN(2)/2)*V87*Y87*VLOOKUP('Données projet'!$B$9,Paramètres!$A$1:$I$88,3,0)*0.475*44/12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68.45949924924895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5.9</v>
      </c>
      <c r="AI87" s="14">
        <f>IF('Données projet'!$A$62&gt;35,AI86+AH87-AQ86,IF(A87&lt;'Données projet'!$A$62,$AF$205^A87,IF(A87='Données projet'!$A$62,'Données projet'!$B$62,AI86+AH87-AQ86)))</f>
        <v>284.0999999999998</v>
      </c>
      <c r="AJ87" s="14">
        <f>AI87*VLOOKUP('Données projet'!$B$10,Paramètres!$A$1:$I$88,3,0)*VLOOKUP('Données projet'!$B$10,Paramètres!$A$1:$I$88,5,0)</f>
        <v>257.05367999999982</v>
      </c>
      <c r="AK87" s="14">
        <f t="shared" si="89"/>
        <v>62.093925634350327</v>
      </c>
      <c r="AL87" s="22">
        <f t="shared" si="58"/>
        <v>555.84874647982645</v>
      </c>
      <c r="AM87" s="62">
        <f t="shared" si="59"/>
        <v>843.53357706040595</v>
      </c>
      <c r="AN87" s="62">
        <f ca="1">AVERAGE(OFFSET($AM$3,0,0,'Données projet'!$E$10+1,1))-AVERAGE(OFFSET($H$3,0,0,'Données projet'!$E$10+1,1))</f>
        <v>441.34749554136755</v>
      </c>
      <c r="AO87" s="62">
        <f t="shared" si="90"/>
        <v>236.49038586666222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0</v>
      </c>
      <c r="AV87" s="23">
        <f>EXP(-LN(2)/25)*AV86+(1-EXP(-LN(2)/25))/(LN(2)/25)*Calculateur!AQ87*Calculateur!AS87*VLOOKUP('Données projet'!$B$10,Paramètres!$A$1:$I$88,3,0)*0.475*44/12</f>
        <v>0</v>
      </c>
      <c r="AW87" s="23">
        <f>EXP(-LN(2)/2)*AW86+(1-EXP(-LN(2)/2))/(LN(2)/2)*AQ87*AT87*VLOOKUP('Données projet'!$B$10,Paramètres!$A$1:$I$88,3,0)*0.475*44/12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68.45949924924895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5.9</v>
      </c>
      <c r="BD87" s="13">
        <f>IF('Données projet'!$A$88&gt;35,BD86+BC87-BL86,IF(A87&lt;'Données projet'!$A$88,$BA$205^A87,IF(A87='Données projet'!$A$88,'Données projet'!$B$88,BD86+BC87-BL86)))</f>
        <v>284.0999999999998</v>
      </c>
      <c r="BE87" s="14">
        <f>BD87*VLOOKUP('Données projet'!$B$11,Paramètres!$A$1:$I$88,3,0)*VLOOKUP('Données projet'!$B$11,Paramètres!$A$1:$I$88,5,0)</f>
        <v>305.8052399999998</v>
      </c>
      <c r="BF87" s="14">
        <f t="shared" si="91"/>
        <v>72.392103924412837</v>
      </c>
      <c r="BG87" s="22">
        <f t="shared" si="61"/>
        <v>658.69370733501853</v>
      </c>
      <c r="BH87" s="62">
        <f t="shared" si="62"/>
        <v>946.37853791559803</v>
      </c>
      <c r="BI87" s="62">
        <f ca="1">AVERAGE(OFFSET($BH$3,0,0,'Données projet'!$E$11+1,1))-AVERAGE(OFFSET($H$3,0,0,'Données projet'!$E$11+1,1))</f>
        <v>514.86487884889584</v>
      </c>
      <c r="BJ87" s="62">
        <f t="shared" si="92"/>
        <v>272.4206208356191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projet'!$B$11,Paramètres!$A$1:$I$88,3,0)*0.475*44/12</f>
        <v>0</v>
      </c>
      <c r="BQ87" s="23">
        <f>EXP(-LN(2)/25)*BQ86+(1-EXP(-LN(2)/25))/(LN(2)/25)*Calculateur!BL87*Calculateur!BN87*VLOOKUP('Données projet'!$B$11,Paramètres!$A$1:$I$88,3,0)*0.475*44/12</f>
        <v>0</v>
      </c>
      <c r="BR87" s="23">
        <f>EXP(-LN(2)/2)*BR86+(1-EXP(-LN(2)/2))/(LN(2)/2)*BL87*BO87*VLOOKUP('Données projet'!$B$11,Paramètres!$A$1:$I$88,3,0)*0.475*44/12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68.45949924924895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-1.7053025658242404E-13</v>
      </c>
      <c r="BZ87" s="14">
        <f>BY87*VLOOKUP('Données projet'!$B$12,Paramètres!$A$1:$I$88,3,0)*VLOOKUP('Données projet'!$B$12,Paramètres!$A$1:$I$88,5,0)</f>
        <v>-1.1173142411280423E-13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270.10151451661864</v>
      </c>
      <c r="CE87" s="62">
        <f t="shared" si="94"/>
        <v>294.47934482366804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projet'!$B$12,Paramètres!$A$1:$I$88,3,0)*0.475*44/12</f>
        <v>0</v>
      </c>
      <c r="CL87" s="23">
        <f>EXP(-LN(2)/25)*CL86+(1-EXP(-LN(2)/25))/(LN(2)/25)*Calculateur!CG87*Calculateur!CI87*VLOOKUP('Données projet'!$B$12,Paramètres!$A$1:$I$88,3,0)*0.475*44/12</f>
        <v>0</v>
      </c>
      <c r="CM87" s="23">
        <f>EXP(-LN(2)/2)*CM86+(1-EXP(-LN(2)/2))/(LN(2)/2)*CG87*CJ87*VLOOKUP('Données projet'!$B$12,Paramètres!$A$1:$I$88,3,0)*0.475*44/12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68.45949924924895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-1.7053025658242404E-13</v>
      </c>
      <c r="CU87" s="18">
        <f>CT87*VLOOKUP('Données projet'!$B$13,Paramètres!$A$1:$I$88,3,0)*VLOOKUP('Données projet'!$B$13,Paramètres!$A$1:$I$88,5,0)</f>
        <v>-1.1173142411280423E-13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270.10151451661864</v>
      </c>
      <c r="CZ87" s="62">
        <f t="shared" si="96"/>
        <v>294.47934482366804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projet'!$B$13,Paramètres!$A$1:$I$88,3,0)*0.475*44/12</f>
        <v>0</v>
      </c>
      <c r="DG87" s="23">
        <f>EXP(-LN(2)/25)*DG86+(1-EXP(-LN(2)/25))/(LN(2)/25)*Calculateur!DB87*Calculateur!DD87*VLOOKUP('Données projet'!$B$13,Paramètres!$A$1:$I$88,3,0)*0.475*44/12</f>
        <v>0</v>
      </c>
      <c r="DH87" s="23">
        <f>EXP(-LN(2)/2)*DH86+(1-EXP(-LN(2)/2))/(LN(2)/2)*DB87*DE87*VLOOKUP('Données projet'!$B$13,Paramètres!$A$1:$I$88,3,0)*0.475*44/12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68.45949924924895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projet'!$B$14,Paramètres!$A$1:$I$88,3,0)*0.475*44/12</f>
        <v>#N/A</v>
      </c>
      <c r="EB87" s="23" t="e">
        <f>EXP(-LN(2)/25)*EB86+(1-EXP(-LN(2)/25))/(LN(2)/25)*Calculateur!DW87*Calculateur!DY87*VLOOKUP('Données projet'!$B$14,Paramètres!$A$1:$I$88,3,0)*0.475*44/12</f>
        <v>#N/A</v>
      </c>
      <c r="EC87" s="23" t="e">
        <f>EXP(-LN(2)/2)*EC86+(1-EXP(-LN(2)/2))/(LN(2)/2)*DW87*DZ87*VLOOKUP('Données projet'!$B$14,Paramètres!$A$1:$I$88,3,0)*0.475*44/12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68.45949924924895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68.45949924924895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68.45949924924895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68.45949924924895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1.34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4.9133333333333331</v>
      </c>
      <c r="H88" s="70">
        <f t="shared" si="56"/>
        <v>237.01333333333332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68.486223493230767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290</v>
      </c>
      <c r="L88" s="13">
        <f>VLOOKUP(A88,'Données projet'!$A$35:$I$55,9,0)</f>
        <v>5.9</v>
      </c>
      <c r="M88" s="13">
        <f t="array" ref="M88">INDEX(L:L,MIN(IF(ISNUMBER(L88:L284),ROW(L88:L284),"")))</f>
        <v>5.9</v>
      </c>
      <c r="N88" s="14">
        <f>IF('Données projet'!$A$36&gt;35,N87+M88-V87,IF(A88&lt;'Données projet'!$A$36,$K$205^A88,IF(A88='Données projet'!$A$36,'Données projet'!$B$36,N87+M88-V87)))</f>
        <v>289.99999999999977</v>
      </c>
      <c r="O88" s="14">
        <f>N88*VLOOKUP('Données projet'!$B$9,Paramètres!$A$1:$I$88,3,0)*VLOOKUP('Données projet'!$B$9,Paramètres!$A$1:$I$88,5,0)</f>
        <v>294.05999999999977</v>
      </c>
      <c r="P88" s="14">
        <f t="shared" si="87"/>
        <v>69.929765653573313</v>
      </c>
      <c r="Q88" s="22">
        <f t="shared" si="54"/>
        <v>633.94884184663977</v>
      </c>
      <c r="R88" s="62">
        <f t="shared" si="55"/>
        <v>921.73166132181927</v>
      </c>
      <c r="S88" s="62">
        <f ca="1">AVERAGE(OFFSET($R$3,0,0,'Données projet'!$E$9+1,1))-AVERAGE(OFFSET($H$3,0,0,'Données projet'!$E$9+1,1))</f>
        <v>488.16146816015231</v>
      </c>
      <c r="T88" s="62">
        <f t="shared" si="88"/>
        <v>259.37115195552127</v>
      </c>
      <c r="U88" s="16">
        <f>IF(ISNA(VLOOKUP(A88,'Données projet'!$A$35:$I$55,3,0)),0,VLOOKUP(A88,'Données projet'!$A$35:$I$55,3,0))</f>
        <v>7</v>
      </c>
      <c r="V88" s="16">
        <f>IF(ISNA(VLOOKUP(A88,'Données projet'!$A$35:$I$55,4,0)),0,VLOOKUP(A88,'Données projet'!$A$35:$I$55,4,0))</f>
        <v>42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0</v>
      </c>
      <c r="AA88" s="23">
        <f>EXP(-LN(2)/25)*AA87+(1-EXP(-LN(2)/25))/(LN(2)/25)*Calculateur!V88*Calculateur!X88*VLOOKUP('Données projet'!$B$9,Paramètres!$A$1:$I$88,3,0)*0.475*44/12</f>
        <v>0</v>
      </c>
      <c r="AB88" s="23">
        <f>EXP(-LN(2)/2)*AB87+(1-EXP(-LN(2)/2))/(LN(2)/2)*V88*Y88*VLOOKUP('Données projet'!$B$9,Paramètres!$A$1:$I$88,3,0)*0.475*44/12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68.486223493230767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290</v>
      </c>
      <c r="AG88" s="13">
        <f>VLOOKUP(A88,'Données projet'!$A$61:$I$81,9,0)</f>
        <v>5.9</v>
      </c>
      <c r="AH88" s="13">
        <f t="array" ref="AH88">INDEX(AG:AG,MIN(IF(ISNUMBER(AG88:AG284),ROW(AG88:AG284),"")))</f>
        <v>5.9</v>
      </c>
      <c r="AI88" s="14">
        <f>IF('Données projet'!$A$62&gt;35,AI87+AH88-AQ87,IF(A88&lt;'Données projet'!$A$62,$AF$205^A88,IF(A88='Données projet'!$A$62,'Données projet'!$B$62,AI87+AH88-AQ87)))</f>
        <v>289.99999999999977</v>
      </c>
      <c r="AJ88" s="14">
        <f>AI88*VLOOKUP('Données projet'!$B$10,Paramètres!$A$1:$I$88,3,0)*VLOOKUP('Données projet'!$B$10,Paramètres!$A$1:$I$88,5,0)</f>
        <v>262.39199999999977</v>
      </c>
      <c r="AK88" s="14">
        <f t="shared" si="89"/>
        <v>63.231983614474892</v>
      </c>
      <c r="AL88" s="22">
        <f t="shared" si="58"/>
        <v>567.12843812854328</v>
      </c>
      <c r="AM88" s="62">
        <f t="shared" si="59"/>
        <v>854.91125760372279</v>
      </c>
      <c r="AN88" s="62">
        <f ca="1">AVERAGE(OFFSET($AM$3,0,0,'Données projet'!$E$10+1,1))-AVERAGE(OFFSET($H$3,0,0,'Données projet'!$E$10+1,1))</f>
        <v>441.34749554136755</v>
      </c>
      <c r="AO88" s="62">
        <f t="shared" si="90"/>
        <v>236.49038586666222</v>
      </c>
      <c r="AP88" s="16">
        <f>IF(ISNA(VLOOKUP(A88,'Données projet'!$A$61:$I$81,3,0)),0,VLOOKUP(A88,'Données projet'!$A$61:$I$81,3,0))</f>
        <v>7</v>
      </c>
      <c r="AQ88" s="16">
        <f>IF(ISNA(VLOOKUP(A88,'Données projet'!$A$61:$I$81,4,0)),0,VLOOKUP(A88,'Données projet'!$A$61:$I$81,4,0))</f>
        <v>42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0</v>
      </c>
      <c r="AV88" s="23">
        <f>EXP(-LN(2)/25)*AV87+(1-EXP(-LN(2)/25))/(LN(2)/25)*Calculateur!AQ88*Calculateur!AS88*VLOOKUP('Données projet'!$B$10,Paramètres!$A$1:$I$88,3,0)*0.475*44/12</f>
        <v>0</v>
      </c>
      <c r="AW88" s="23">
        <f>EXP(-LN(2)/2)*AW87+(1-EXP(-LN(2)/2))/(LN(2)/2)*AQ88*AT88*VLOOKUP('Données projet'!$B$10,Paramètres!$A$1:$I$88,3,0)*0.475*44/12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68.486223493230767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290</v>
      </c>
      <c r="BB88" s="13">
        <f>VLOOKUP(A88,'Données projet'!$A$87:$I$107,9,0)</f>
        <v>5.9</v>
      </c>
      <c r="BC88" s="13">
        <f t="array" ref="BC88">INDEX(BB:BB,MIN(IF(ISNUMBER(BB88:BB284),ROW(BB88:BB284),"")))</f>
        <v>5.9</v>
      </c>
      <c r="BD88" s="13">
        <f>IF('Données projet'!$A$88&gt;35,BD87+BC88-BL87,IF(A88&lt;'Données projet'!$A$88,$BA$205^A88,IF(A88='Données projet'!$A$88,'Données projet'!$B$88,BD87+BC88-BL87)))</f>
        <v>289.99999999999977</v>
      </c>
      <c r="BE88" s="14">
        <f>BD88*VLOOKUP('Données projet'!$B$11,Paramètres!$A$1:$I$88,3,0)*VLOOKUP('Données projet'!$B$11,Paramètres!$A$1:$I$88,5,0)</f>
        <v>312.15599999999972</v>
      </c>
      <c r="BF88" s="14">
        <f t="shared" si="91"/>
        <v>73.718907001002492</v>
      </c>
      <c r="BG88" s="22">
        <f t="shared" si="61"/>
        <v>672.06546302674553</v>
      </c>
      <c r="BH88" s="62">
        <f t="shared" si="62"/>
        <v>959.84828250192504</v>
      </c>
      <c r="BI88" s="62">
        <f ca="1">AVERAGE(OFFSET($BH$3,0,0,'Données projet'!$E$11+1,1))-AVERAGE(OFFSET($H$3,0,0,'Données projet'!$E$11+1,1))</f>
        <v>514.86487884889584</v>
      </c>
      <c r="BJ88" s="62">
        <f t="shared" si="92"/>
        <v>272.4206208356191</v>
      </c>
      <c r="BK88" s="16">
        <f>IF(ISNA(VLOOKUP(A88,'Données projet'!$A$87:$I$107,3,0)),0,VLOOKUP(A88,'Données projet'!$A$87:$I$107,3,0))</f>
        <v>7</v>
      </c>
      <c r="BL88" s="16">
        <f>IF(ISNA(VLOOKUP(A88,'Données projet'!$A$87:$I$107,4,0)),0,VLOOKUP(A88,'Données projet'!$A$87:$I$107,4,0))</f>
        <v>42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projet'!$B$11,Paramètres!$A$1:$I$88,3,0)*0.475*44/12</f>
        <v>0</v>
      </c>
      <c r="BQ88" s="23">
        <f>EXP(-LN(2)/25)*BQ87+(1-EXP(-LN(2)/25))/(LN(2)/25)*Calculateur!BL88*Calculateur!BN88*VLOOKUP('Données projet'!$B$11,Paramètres!$A$1:$I$88,3,0)*0.475*44/12</f>
        <v>0</v>
      </c>
      <c r="BR88" s="23">
        <f>EXP(-LN(2)/2)*BR87+(1-EXP(-LN(2)/2))/(LN(2)/2)*BL88*BO88*VLOOKUP('Données projet'!$B$11,Paramètres!$A$1:$I$88,3,0)*0.475*44/12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68.486223493230767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-1.7053025658242404E-13</v>
      </c>
      <c r="BZ88" s="14">
        <f>BY88*VLOOKUP('Données projet'!$B$12,Paramètres!$A$1:$I$88,3,0)*VLOOKUP('Données projet'!$B$12,Paramètres!$A$1:$I$88,5,0)</f>
        <v>-1.1173142411280423E-13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270.10151451661864</v>
      </c>
      <c r="CE88" s="62">
        <f t="shared" si="94"/>
        <v>294.47934482366804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projet'!$B$12,Paramètres!$A$1:$I$88,3,0)*0.475*44/12</f>
        <v>0</v>
      </c>
      <c r="CL88" s="23">
        <f>EXP(-LN(2)/25)*CL87+(1-EXP(-LN(2)/25))/(LN(2)/25)*Calculateur!CG88*Calculateur!CI88*VLOOKUP('Données projet'!$B$12,Paramètres!$A$1:$I$88,3,0)*0.475*44/12</f>
        <v>0</v>
      </c>
      <c r="CM88" s="23">
        <f>EXP(-LN(2)/2)*CM87+(1-EXP(-LN(2)/2))/(LN(2)/2)*CG88*CJ88*VLOOKUP('Données projet'!$B$12,Paramètres!$A$1:$I$88,3,0)*0.475*44/12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68.486223493230767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-1.7053025658242404E-13</v>
      </c>
      <c r="CU88" s="18">
        <f>CT88*VLOOKUP('Données projet'!$B$13,Paramètres!$A$1:$I$88,3,0)*VLOOKUP('Données projet'!$B$13,Paramètres!$A$1:$I$88,5,0)</f>
        <v>-1.1173142411280423E-13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270.10151451661864</v>
      </c>
      <c r="CZ88" s="62">
        <f t="shared" si="96"/>
        <v>294.47934482366804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projet'!$B$13,Paramètres!$A$1:$I$88,3,0)*0.475*44/12</f>
        <v>0</v>
      </c>
      <c r="DG88" s="23">
        <f>EXP(-LN(2)/25)*DG87+(1-EXP(-LN(2)/25))/(LN(2)/25)*Calculateur!DB88*Calculateur!DD88*VLOOKUP('Données projet'!$B$13,Paramètres!$A$1:$I$88,3,0)*0.475*44/12</f>
        <v>0</v>
      </c>
      <c r="DH88" s="23">
        <f>EXP(-LN(2)/2)*DH87+(1-EXP(-LN(2)/2))/(LN(2)/2)*DB88*DE88*VLOOKUP('Données projet'!$B$13,Paramètres!$A$1:$I$88,3,0)*0.475*44/12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68.486223493230767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projet'!$B$14,Paramètres!$A$1:$I$88,3,0)*0.475*44/12</f>
        <v>#N/A</v>
      </c>
      <c r="EB88" s="23" t="e">
        <f>EXP(-LN(2)/25)*EB87+(1-EXP(-LN(2)/25))/(LN(2)/25)*Calculateur!DW88*Calculateur!DY88*VLOOKUP('Données projet'!$B$14,Paramètres!$A$1:$I$88,3,0)*0.475*44/12</f>
        <v>#N/A</v>
      </c>
      <c r="EC88" s="23" t="e">
        <f>EXP(-LN(2)/2)*EC87+(1-EXP(-LN(2)/2))/(LN(2)/2)*DW88*DZ88*VLOOKUP('Données projet'!$B$14,Paramètres!$A$1:$I$88,3,0)*0.475*44/12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68.486223493230767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68.486223493230767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68.486223493230767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68.486223493230767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1.34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4.9133333333333331</v>
      </c>
      <c r="H89" s="70">
        <f t="shared" si="56"/>
        <v>237.01333333333332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68.512484131325948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5.2</v>
      </c>
      <c r="N89" s="14">
        <f>IF('Données projet'!$A$36&gt;35,N88+M89-V88,IF(A89&lt;'Données projet'!$A$36,$K$205^A89,IF(A89='Données projet'!$A$36,'Données projet'!$B$36,N88+M89-V88)))</f>
        <v>253.19999999999976</v>
      </c>
      <c r="O89" s="14">
        <f>N89*VLOOKUP('Données projet'!$B$9,Paramètres!$A$1:$I$88,3,0)*VLOOKUP('Données projet'!$B$9,Paramètres!$A$1:$I$88,5,0)</f>
        <v>256.74479999999977</v>
      </c>
      <c r="P89" s="14">
        <f t="shared" si="87"/>
        <v>62.027992887126103</v>
      </c>
      <c r="Q89" s="22">
        <f t="shared" si="54"/>
        <v>555.19594761174415</v>
      </c>
      <c r="R89" s="62">
        <f t="shared" si="55"/>
        <v>843.07505609327268</v>
      </c>
      <c r="S89" s="62">
        <f ca="1">AVERAGE(OFFSET($R$3,0,0,'Données projet'!$E$9+1,1))-AVERAGE(OFFSET($H$3,0,0,'Données projet'!$E$9+1,1))</f>
        <v>488.16146816015231</v>
      </c>
      <c r="T89" s="62">
        <f t="shared" si="88"/>
        <v>259.37115195552127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0</v>
      </c>
      <c r="AA89" s="23">
        <f>EXP(-LN(2)/25)*AA88+(1-EXP(-LN(2)/25))/(LN(2)/25)*Calculateur!V89*Calculateur!X89*VLOOKUP('Données projet'!$B$9,Paramètres!$A$1:$I$88,3,0)*0.475*44/12</f>
        <v>0</v>
      </c>
      <c r="AB89" s="23">
        <f>EXP(-LN(2)/2)*AB88+(1-EXP(-LN(2)/2))/(LN(2)/2)*V89*Y89*VLOOKUP('Données projet'!$B$9,Paramètres!$A$1:$I$88,3,0)*0.475*44/12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68.512484131325948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5.2</v>
      </c>
      <c r="AI89" s="14">
        <f>IF('Données projet'!$A$62&gt;35,AI88+AH89-AQ88,IF(A89&lt;'Données projet'!$A$62,$AF$205^A89,IF(A89='Données projet'!$A$62,'Données projet'!$B$62,AI88+AH89-AQ88)))</f>
        <v>253.19999999999976</v>
      </c>
      <c r="AJ89" s="14">
        <f>AI89*VLOOKUP('Données projet'!$B$10,Paramètres!$A$1:$I$88,3,0)*VLOOKUP('Données projet'!$B$10,Paramètres!$A$1:$I$88,5,0)</f>
        <v>229.09535999999977</v>
      </c>
      <c r="AK89" s="14">
        <f t="shared" si="89"/>
        <v>56.087032370558362</v>
      </c>
      <c r="AL89" s="22">
        <f t="shared" si="58"/>
        <v>496.69266671205543</v>
      </c>
      <c r="AM89" s="62">
        <f t="shared" si="59"/>
        <v>784.5717751935839</v>
      </c>
      <c r="AN89" s="62">
        <f ca="1">AVERAGE(OFFSET($AM$3,0,0,'Données projet'!$E$10+1,1))-AVERAGE(OFFSET($H$3,0,0,'Données projet'!$E$10+1,1))</f>
        <v>441.34749554136755</v>
      </c>
      <c r="AO89" s="62">
        <f t="shared" si="90"/>
        <v>236.49038586666222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0</v>
      </c>
      <c r="AV89" s="23">
        <f>EXP(-LN(2)/25)*AV88+(1-EXP(-LN(2)/25))/(LN(2)/25)*Calculateur!AQ89*Calculateur!AS89*VLOOKUP('Données projet'!$B$10,Paramètres!$A$1:$I$88,3,0)*0.475*44/12</f>
        <v>0</v>
      </c>
      <c r="AW89" s="23">
        <f>EXP(-LN(2)/2)*AW88+(1-EXP(-LN(2)/2))/(LN(2)/2)*AQ89*AT89*VLOOKUP('Données projet'!$B$10,Paramètres!$A$1:$I$88,3,0)*0.475*44/12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68.512484131325948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5.2</v>
      </c>
      <c r="BD89" s="13">
        <f>IF('Données projet'!$A$88&gt;35,BD88+BC89-BL88,IF(A89&lt;'Données projet'!$A$88,$BA$205^A89,IF(A89='Données projet'!$A$88,'Données projet'!$B$88,BD88+BC89-BL88)))</f>
        <v>253.19999999999976</v>
      </c>
      <c r="BE89" s="14">
        <f>BD89*VLOOKUP('Données projet'!$B$11,Paramètres!$A$1:$I$88,3,0)*VLOOKUP('Données projet'!$B$11,Paramètres!$A$1:$I$88,5,0)</f>
        <v>272.54447999999974</v>
      </c>
      <c r="BF89" s="14">
        <f t="shared" si="91"/>
        <v>65.388977016702441</v>
      </c>
      <c r="BG89" s="22">
        <f t="shared" si="61"/>
        <v>588.56743763742293</v>
      </c>
      <c r="BH89" s="62">
        <f t="shared" si="62"/>
        <v>876.44654611895135</v>
      </c>
      <c r="BI89" s="62">
        <f ca="1">AVERAGE(OFFSET($BH$3,0,0,'Données projet'!$E$11+1,1))-AVERAGE(OFFSET($H$3,0,0,'Données projet'!$E$11+1,1))</f>
        <v>514.86487884889584</v>
      </c>
      <c r="BJ89" s="62">
        <f t="shared" si="92"/>
        <v>272.4206208356191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projet'!$B$11,Paramètres!$A$1:$I$88,3,0)*0.475*44/12</f>
        <v>0</v>
      </c>
      <c r="BQ89" s="23">
        <f>EXP(-LN(2)/25)*BQ88+(1-EXP(-LN(2)/25))/(LN(2)/25)*Calculateur!BL89*Calculateur!BN89*VLOOKUP('Données projet'!$B$11,Paramètres!$A$1:$I$88,3,0)*0.475*44/12</f>
        <v>0</v>
      </c>
      <c r="BR89" s="23">
        <f>EXP(-LN(2)/2)*BR88+(1-EXP(-LN(2)/2))/(LN(2)/2)*BL89*BO89*VLOOKUP('Données projet'!$B$11,Paramètres!$A$1:$I$88,3,0)*0.475*44/12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68.512484131325948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-1.7053025658242404E-13</v>
      </c>
      <c r="BZ89" s="14">
        <f>BY89*VLOOKUP('Données projet'!$B$12,Paramètres!$A$1:$I$88,3,0)*VLOOKUP('Données projet'!$B$12,Paramètres!$A$1:$I$88,5,0)</f>
        <v>-1.1173142411280423E-13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270.10151451661864</v>
      </c>
      <c r="CE89" s="62">
        <f t="shared" si="94"/>
        <v>294.47934482366804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projet'!$B$12,Paramètres!$A$1:$I$88,3,0)*0.475*44/12</f>
        <v>0</v>
      </c>
      <c r="CL89" s="23">
        <f>EXP(-LN(2)/25)*CL88+(1-EXP(-LN(2)/25))/(LN(2)/25)*Calculateur!CG89*Calculateur!CI89*VLOOKUP('Données projet'!$B$12,Paramètres!$A$1:$I$88,3,0)*0.475*44/12</f>
        <v>0</v>
      </c>
      <c r="CM89" s="23">
        <f>EXP(-LN(2)/2)*CM88+(1-EXP(-LN(2)/2))/(LN(2)/2)*CG89*CJ89*VLOOKUP('Données projet'!$B$12,Paramètres!$A$1:$I$88,3,0)*0.475*44/12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68.512484131325948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-1.7053025658242404E-13</v>
      </c>
      <c r="CU89" s="18">
        <f>CT89*VLOOKUP('Données projet'!$B$13,Paramètres!$A$1:$I$88,3,0)*VLOOKUP('Données projet'!$B$13,Paramètres!$A$1:$I$88,5,0)</f>
        <v>-1.1173142411280423E-13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270.10151451661864</v>
      </c>
      <c r="CZ89" s="62">
        <f t="shared" si="96"/>
        <v>294.47934482366804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projet'!$B$13,Paramètres!$A$1:$I$88,3,0)*0.475*44/12</f>
        <v>0</v>
      </c>
      <c r="DG89" s="23">
        <f>EXP(-LN(2)/25)*DG88+(1-EXP(-LN(2)/25))/(LN(2)/25)*Calculateur!DB89*Calculateur!DD89*VLOOKUP('Données projet'!$B$13,Paramètres!$A$1:$I$88,3,0)*0.475*44/12</f>
        <v>0</v>
      </c>
      <c r="DH89" s="23">
        <f>EXP(-LN(2)/2)*DH88+(1-EXP(-LN(2)/2))/(LN(2)/2)*DB89*DE89*VLOOKUP('Données projet'!$B$13,Paramètres!$A$1:$I$88,3,0)*0.475*44/12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68.512484131325948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projet'!$B$14,Paramètres!$A$1:$I$88,3,0)*0.475*44/12</f>
        <v>#N/A</v>
      </c>
      <c r="EB89" s="23" t="e">
        <f>EXP(-LN(2)/25)*EB88+(1-EXP(-LN(2)/25))/(LN(2)/25)*Calculateur!DW89*Calculateur!DY89*VLOOKUP('Données projet'!$B$14,Paramètres!$A$1:$I$88,3,0)*0.475*44/12</f>
        <v>#N/A</v>
      </c>
      <c r="EC89" s="23" t="e">
        <f>EXP(-LN(2)/2)*EC88+(1-EXP(-LN(2)/2))/(LN(2)/2)*DW89*DZ89*VLOOKUP('Données projet'!$B$14,Paramètres!$A$1:$I$88,3,0)*0.475*44/12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68.512484131325948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68.512484131325948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68.512484131325948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68.512484131325948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1.34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4.9133333333333331</v>
      </c>
      <c r="H90" s="70">
        <f t="shared" si="56"/>
        <v>237.01333333333332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68.53828920606017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5.2</v>
      </c>
      <c r="N90" s="14">
        <f>IF('Données projet'!$A$36&gt;35,N89+M90-V89,IF(A90&lt;'Données projet'!$A$36,$K$205^A90,IF(A90='Données projet'!$A$36,'Données projet'!$B$36,N89+M90-V89)))</f>
        <v>258.39999999999975</v>
      </c>
      <c r="O90" s="14">
        <f>N90*VLOOKUP('Données projet'!$B$9,Paramètres!$A$1:$I$88,3,0)*VLOOKUP('Données projet'!$B$9,Paramètres!$A$1:$I$88,5,0)</f>
        <v>262.01759999999973</v>
      </c>
      <c r="P90" s="14">
        <f t="shared" si="87"/>
        <v>63.152255067978103</v>
      </c>
      <c r="Q90" s="22">
        <f t="shared" si="54"/>
        <v>566.33749757672797</v>
      </c>
      <c r="R90" s="62">
        <f t="shared" si="55"/>
        <v>854.31122466561533</v>
      </c>
      <c r="S90" s="62">
        <f ca="1">AVERAGE(OFFSET($R$3,0,0,'Données projet'!$E$9+1,1))-AVERAGE(OFFSET($H$3,0,0,'Données projet'!$E$9+1,1))</f>
        <v>488.16146816015231</v>
      </c>
      <c r="T90" s="62">
        <f t="shared" si="88"/>
        <v>259.37115195552127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0</v>
      </c>
      <c r="AA90" s="23">
        <f>EXP(-LN(2)/25)*AA89+(1-EXP(-LN(2)/25))/(LN(2)/25)*Calculateur!V90*Calculateur!X90*VLOOKUP('Données projet'!$B$9,Paramètres!$A$1:$I$88,3,0)*0.475*44/12</f>
        <v>0</v>
      </c>
      <c r="AB90" s="23">
        <f>EXP(-LN(2)/2)*AB89+(1-EXP(-LN(2)/2))/(LN(2)/2)*V90*Y90*VLOOKUP('Données projet'!$B$9,Paramètres!$A$1:$I$88,3,0)*0.475*44/12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68.53828920606017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5.2</v>
      </c>
      <c r="AI90" s="14">
        <f>IF('Données projet'!$A$62&gt;35,AI89+AH90-AQ89,IF(A90&lt;'Données projet'!$A$62,$AF$205^A90,IF(A90='Données projet'!$A$62,'Données projet'!$B$62,AI89+AH90-AQ89)))</f>
        <v>258.39999999999975</v>
      </c>
      <c r="AJ90" s="14">
        <f>AI90*VLOOKUP('Données projet'!$B$10,Paramètres!$A$1:$I$88,3,0)*VLOOKUP('Données projet'!$B$10,Paramètres!$A$1:$I$88,5,0)</f>
        <v>233.80031999999977</v>
      </c>
      <c r="AK90" s="14">
        <f t="shared" si="89"/>
        <v>57.103614181373779</v>
      </c>
      <c r="AL90" s="22">
        <f t="shared" si="58"/>
        <v>506.65768536589218</v>
      </c>
      <c r="AM90" s="62">
        <f t="shared" si="59"/>
        <v>794.63141245477948</v>
      </c>
      <c r="AN90" s="62">
        <f ca="1">AVERAGE(OFFSET($AM$3,0,0,'Données projet'!$E$10+1,1))-AVERAGE(OFFSET($H$3,0,0,'Données projet'!$E$10+1,1))</f>
        <v>441.34749554136755</v>
      </c>
      <c r="AO90" s="62">
        <f t="shared" si="90"/>
        <v>236.49038586666222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0</v>
      </c>
      <c r="AV90" s="23">
        <f>EXP(-LN(2)/25)*AV89+(1-EXP(-LN(2)/25))/(LN(2)/25)*Calculateur!AQ90*Calculateur!AS90*VLOOKUP('Données projet'!$B$10,Paramètres!$A$1:$I$88,3,0)*0.475*44/12</f>
        <v>0</v>
      </c>
      <c r="AW90" s="23">
        <f>EXP(-LN(2)/2)*AW89+(1-EXP(-LN(2)/2))/(LN(2)/2)*AQ90*AT90*VLOOKUP('Données projet'!$B$10,Paramètres!$A$1:$I$88,3,0)*0.475*44/12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68.53828920606017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5.2</v>
      </c>
      <c r="BD90" s="13">
        <f>IF('Données projet'!$A$88&gt;35,BD89+BC90-BL89,IF(A90&lt;'Données projet'!$A$88,$BA$205^A90,IF(A90='Données projet'!$A$88,'Données projet'!$B$88,BD89+BC90-BL89)))</f>
        <v>258.39999999999975</v>
      </c>
      <c r="BE90" s="14">
        <f>BD90*VLOOKUP('Données projet'!$B$11,Paramètres!$A$1:$I$88,3,0)*VLOOKUP('Données projet'!$B$11,Paramètres!$A$1:$I$88,5,0)</f>
        <v>278.14175999999975</v>
      </c>
      <c r="BF90" s="14">
        <f t="shared" si="91"/>
        <v>66.574157295520351</v>
      </c>
      <c r="BG90" s="22">
        <f t="shared" si="61"/>
        <v>600.38022262303082</v>
      </c>
      <c r="BH90" s="62">
        <f t="shared" si="62"/>
        <v>888.35394971191818</v>
      </c>
      <c r="BI90" s="62">
        <f ca="1">AVERAGE(OFFSET($BH$3,0,0,'Données projet'!$E$11+1,1))-AVERAGE(OFFSET($H$3,0,0,'Données projet'!$E$11+1,1))</f>
        <v>514.86487884889584</v>
      </c>
      <c r="BJ90" s="62">
        <f t="shared" si="92"/>
        <v>272.4206208356191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projet'!$B$11,Paramètres!$A$1:$I$88,3,0)*0.475*44/12</f>
        <v>0</v>
      </c>
      <c r="BQ90" s="23">
        <f>EXP(-LN(2)/25)*BQ89+(1-EXP(-LN(2)/25))/(LN(2)/25)*Calculateur!BL90*Calculateur!BN90*VLOOKUP('Données projet'!$B$11,Paramètres!$A$1:$I$88,3,0)*0.475*44/12</f>
        <v>0</v>
      </c>
      <c r="BR90" s="23">
        <f>EXP(-LN(2)/2)*BR89+(1-EXP(-LN(2)/2))/(LN(2)/2)*BL90*BO90*VLOOKUP('Données projet'!$B$11,Paramètres!$A$1:$I$88,3,0)*0.475*44/12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68.53828920606017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-1.7053025658242404E-13</v>
      </c>
      <c r="BZ90" s="14">
        <f>BY90*VLOOKUP('Données projet'!$B$12,Paramètres!$A$1:$I$88,3,0)*VLOOKUP('Données projet'!$B$12,Paramètres!$A$1:$I$88,5,0)</f>
        <v>-1.1173142411280423E-13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270.10151451661864</v>
      </c>
      <c r="CE90" s="62">
        <f t="shared" si="94"/>
        <v>294.47934482366804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projet'!$B$12,Paramètres!$A$1:$I$88,3,0)*0.475*44/12</f>
        <v>0</v>
      </c>
      <c r="CL90" s="23">
        <f>EXP(-LN(2)/25)*CL89+(1-EXP(-LN(2)/25))/(LN(2)/25)*Calculateur!CG90*Calculateur!CI90*VLOOKUP('Données projet'!$B$12,Paramètres!$A$1:$I$88,3,0)*0.475*44/12</f>
        <v>0</v>
      </c>
      <c r="CM90" s="23">
        <f>EXP(-LN(2)/2)*CM89+(1-EXP(-LN(2)/2))/(LN(2)/2)*CG90*CJ90*VLOOKUP('Données projet'!$B$12,Paramètres!$A$1:$I$88,3,0)*0.475*44/12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68.53828920606017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-1.7053025658242404E-13</v>
      </c>
      <c r="CU90" s="18">
        <f>CT90*VLOOKUP('Données projet'!$B$13,Paramètres!$A$1:$I$88,3,0)*VLOOKUP('Données projet'!$B$13,Paramètres!$A$1:$I$88,5,0)</f>
        <v>-1.1173142411280423E-13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270.10151451661864</v>
      </c>
      <c r="CZ90" s="62">
        <f t="shared" si="96"/>
        <v>294.47934482366804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projet'!$B$13,Paramètres!$A$1:$I$88,3,0)*0.475*44/12</f>
        <v>0</v>
      </c>
      <c r="DG90" s="23">
        <f>EXP(-LN(2)/25)*DG89+(1-EXP(-LN(2)/25))/(LN(2)/25)*Calculateur!DB90*Calculateur!DD90*VLOOKUP('Données projet'!$B$13,Paramètres!$A$1:$I$88,3,0)*0.475*44/12</f>
        <v>0</v>
      </c>
      <c r="DH90" s="23">
        <f>EXP(-LN(2)/2)*DH89+(1-EXP(-LN(2)/2))/(LN(2)/2)*DB90*DE90*VLOOKUP('Données projet'!$B$13,Paramètres!$A$1:$I$88,3,0)*0.475*44/12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68.53828920606017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projet'!$B$14,Paramètres!$A$1:$I$88,3,0)*0.475*44/12</f>
        <v>#N/A</v>
      </c>
      <c r="EB90" s="23" t="e">
        <f>EXP(-LN(2)/25)*EB89+(1-EXP(-LN(2)/25))/(LN(2)/25)*Calculateur!DW90*Calculateur!DY90*VLOOKUP('Données projet'!$B$14,Paramètres!$A$1:$I$88,3,0)*0.475*44/12</f>
        <v>#N/A</v>
      </c>
      <c r="EC90" s="23" t="e">
        <f>EXP(-LN(2)/2)*EC89+(1-EXP(-LN(2)/2))/(LN(2)/2)*DW90*DZ90*VLOOKUP('Données projet'!$B$14,Paramètres!$A$1:$I$88,3,0)*0.475*44/12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68.53828920606017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68.53828920606017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68.53828920606017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68.53828920606017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1.34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4.9133333333333331</v>
      </c>
      <c r="H91" s="70">
        <f t="shared" si="56"/>
        <v>237.01333333333332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68.563646620439243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5.2</v>
      </c>
      <c r="N91" s="14">
        <f>IF('Données projet'!$A$36&gt;35,N90+M91-V90,IF(A91&lt;'Données projet'!$A$36,$K$205^A91,IF(A91='Données projet'!$A$36,'Données projet'!$B$36,N90+M91-V90)))</f>
        <v>263.59999999999974</v>
      </c>
      <c r="O91" s="14">
        <f>N91*VLOOKUP('Données projet'!$B$9,Paramètres!$A$1:$I$88,3,0)*VLOOKUP('Données projet'!$B$9,Paramètres!$A$1:$I$88,5,0)</f>
        <v>267.29039999999975</v>
      </c>
      <c r="P91" s="14">
        <f t="shared" si="87"/>
        <v>64.273886654661325</v>
      </c>
      <c r="Q91" s="22">
        <f t="shared" si="54"/>
        <v>577.47446592353469</v>
      </c>
      <c r="R91" s="62">
        <f t="shared" si="55"/>
        <v>865.54117019847854</v>
      </c>
      <c r="S91" s="62">
        <f ca="1">AVERAGE(OFFSET($R$3,0,0,'Données projet'!$E$9+1,1))-AVERAGE(OFFSET($H$3,0,0,'Données projet'!$E$9+1,1))</f>
        <v>488.16146816015231</v>
      </c>
      <c r="T91" s="62">
        <f t="shared" si="88"/>
        <v>259.37115195552127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0</v>
      </c>
      <c r="AA91" s="23">
        <f>EXP(-LN(2)/25)*AA90+(1-EXP(-LN(2)/25))/(LN(2)/25)*Calculateur!V91*Calculateur!X91*VLOOKUP('Données projet'!$B$9,Paramètres!$A$1:$I$88,3,0)*0.475*44/12</f>
        <v>0</v>
      </c>
      <c r="AB91" s="23">
        <f>EXP(-LN(2)/2)*AB90+(1-EXP(-LN(2)/2))/(LN(2)/2)*V91*Y91*VLOOKUP('Données projet'!$B$9,Paramètres!$A$1:$I$88,3,0)*0.475*44/12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68.563646620439243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5.2</v>
      </c>
      <c r="AI91" s="14">
        <f>IF('Données projet'!$A$62&gt;35,AI90+AH91-AQ90,IF(A91&lt;'Données projet'!$A$62,$AF$205^A91,IF(A91='Données projet'!$A$62,'Données projet'!$B$62,AI90+AH91-AQ90)))</f>
        <v>263.59999999999974</v>
      </c>
      <c r="AJ91" s="14">
        <f>AI91*VLOOKUP('Données projet'!$B$10,Paramètres!$A$1:$I$88,3,0)*VLOOKUP('Données projet'!$B$10,Paramètres!$A$1:$I$88,5,0)</f>
        <v>238.50527999999974</v>
      </c>
      <c r="AK91" s="14">
        <f t="shared" si="89"/>
        <v>58.117817352909832</v>
      </c>
      <c r="AL91" s="22">
        <f t="shared" si="58"/>
        <v>516.61856122298411</v>
      </c>
      <c r="AM91" s="62">
        <f t="shared" si="59"/>
        <v>804.68526549792796</v>
      </c>
      <c r="AN91" s="62">
        <f ca="1">AVERAGE(OFFSET($AM$3,0,0,'Données projet'!$E$10+1,1))-AVERAGE(OFFSET($H$3,0,0,'Données projet'!$E$10+1,1))</f>
        <v>441.34749554136755</v>
      </c>
      <c r="AO91" s="62">
        <f t="shared" si="90"/>
        <v>236.49038586666222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0</v>
      </c>
      <c r="AV91" s="23">
        <f>EXP(-LN(2)/25)*AV90+(1-EXP(-LN(2)/25))/(LN(2)/25)*Calculateur!AQ91*Calculateur!AS91*VLOOKUP('Données projet'!$B$10,Paramètres!$A$1:$I$88,3,0)*0.475*44/12</f>
        <v>0</v>
      </c>
      <c r="AW91" s="23">
        <f>EXP(-LN(2)/2)*AW90+(1-EXP(-LN(2)/2))/(LN(2)/2)*AQ91*AT91*VLOOKUP('Données projet'!$B$10,Paramètres!$A$1:$I$88,3,0)*0.475*44/12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68.563646620439243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5.2</v>
      </c>
      <c r="BD91" s="13">
        <f>IF('Données projet'!$A$88&gt;35,BD90+BC91-BL90,IF(A91&lt;'Données projet'!$A$88,$BA$205^A91,IF(A91='Données projet'!$A$88,'Données projet'!$B$88,BD90+BC91-BL90)))</f>
        <v>263.59999999999974</v>
      </c>
      <c r="BE91" s="14">
        <f>BD91*VLOOKUP('Données projet'!$B$11,Paramètres!$A$1:$I$88,3,0)*VLOOKUP('Données projet'!$B$11,Paramètres!$A$1:$I$88,5,0)</f>
        <v>283.7390399999997</v>
      </c>
      <c r="BF91" s="14">
        <f t="shared" si="91"/>
        <v>67.756564441537463</v>
      </c>
      <c r="BG91" s="22">
        <f t="shared" si="61"/>
        <v>612.18817773567719</v>
      </c>
      <c r="BH91" s="62">
        <f t="shared" si="62"/>
        <v>900.25488201062103</v>
      </c>
      <c r="BI91" s="62">
        <f ca="1">AVERAGE(OFFSET($BH$3,0,0,'Données projet'!$E$11+1,1))-AVERAGE(OFFSET($H$3,0,0,'Données projet'!$E$11+1,1))</f>
        <v>514.86487884889584</v>
      </c>
      <c r="BJ91" s="62">
        <f t="shared" si="92"/>
        <v>272.4206208356191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projet'!$B$11,Paramètres!$A$1:$I$88,3,0)*0.475*44/12</f>
        <v>0</v>
      </c>
      <c r="BQ91" s="23">
        <f>EXP(-LN(2)/25)*BQ90+(1-EXP(-LN(2)/25))/(LN(2)/25)*Calculateur!BL91*Calculateur!BN91*VLOOKUP('Données projet'!$B$11,Paramètres!$A$1:$I$88,3,0)*0.475*44/12</f>
        <v>0</v>
      </c>
      <c r="BR91" s="23">
        <f>EXP(-LN(2)/2)*BR90+(1-EXP(-LN(2)/2))/(LN(2)/2)*BL91*BO91*VLOOKUP('Données projet'!$B$11,Paramètres!$A$1:$I$88,3,0)*0.475*44/12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68.563646620439243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-1.7053025658242404E-13</v>
      </c>
      <c r="BZ91" s="14">
        <f>BY91*VLOOKUP('Données projet'!$B$12,Paramètres!$A$1:$I$88,3,0)*VLOOKUP('Données projet'!$B$12,Paramètres!$A$1:$I$88,5,0)</f>
        <v>-1.1173142411280423E-13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270.10151451661864</v>
      </c>
      <c r="CE91" s="62">
        <f t="shared" si="94"/>
        <v>294.47934482366804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projet'!$B$12,Paramètres!$A$1:$I$88,3,0)*0.475*44/12</f>
        <v>0</v>
      </c>
      <c r="CL91" s="23">
        <f>EXP(-LN(2)/25)*CL90+(1-EXP(-LN(2)/25))/(LN(2)/25)*Calculateur!CG91*Calculateur!CI91*VLOOKUP('Données projet'!$B$12,Paramètres!$A$1:$I$88,3,0)*0.475*44/12</f>
        <v>0</v>
      </c>
      <c r="CM91" s="23">
        <f>EXP(-LN(2)/2)*CM90+(1-EXP(-LN(2)/2))/(LN(2)/2)*CG91*CJ91*VLOOKUP('Données projet'!$B$12,Paramètres!$A$1:$I$88,3,0)*0.475*44/12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68.563646620439243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-1.7053025658242404E-13</v>
      </c>
      <c r="CU91" s="18">
        <f>CT91*VLOOKUP('Données projet'!$B$13,Paramètres!$A$1:$I$88,3,0)*VLOOKUP('Données projet'!$B$13,Paramètres!$A$1:$I$88,5,0)</f>
        <v>-1.1173142411280423E-13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270.10151451661864</v>
      </c>
      <c r="CZ91" s="62">
        <f t="shared" si="96"/>
        <v>294.47934482366804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projet'!$B$13,Paramètres!$A$1:$I$88,3,0)*0.475*44/12</f>
        <v>0</v>
      </c>
      <c r="DG91" s="23">
        <f>EXP(-LN(2)/25)*DG90+(1-EXP(-LN(2)/25))/(LN(2)/25)*Calculateur!DB91*Calculateur!DD91*VLOOKUP('Données projet'!$B$13,Paramètres!$A$1:$I$88,3,0)*0.475*44/12</f>
        <v>0</v>
      </c>
      <c r="DH91" s="23">
        <f>EXP(-LN(2)/2)*DH90+(1-EXP(-LN(2)/2))/(LN(2)/2)*DB91*DE91*VLOOKUP('Données projet'!$B$13,Paramètres!$A$1:$I$88,3,0)*0.475*44/12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68.563646620439243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projet'!$B$14,Paramètres!$A$1:$I$88,3,0)*0.475*44/12</f>
        <v>#N/A</v>
      </c>
      <c r="EB91" s="23" t="e">
        <f>EXP(-LN(2)/25)*EB90+(1-EXP(-LN(2)/25))/(LN(2)/25)*Calculateur!DW91*Calculateur!DY91*VLOOKUP('Données projet'!$B$14,Paramètres!$A$1:$I$88,3,0)*0.475*44/12</f>
        <v>#N/A</v>
      </c>
      <c r="EC91" s="23" t="e">
        <f>EXP(-LN(2)/2)*EC90+(1-EXP(-LN(2)/2))/(LN(2)/2)*DW91*DZ91*VLOOKUP('Données projet'!$B$14,Paramètres!$A$1:$I$88,3,0)*0.475*44/12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68.563646620439243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68.563646620439243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68.563646620439243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68.563646620439243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1.34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4.9133333333333331</v>
      </c>
      <c r="H92" s="70">
        <f t="shared" si="56"/>
        <v>237.01333333333332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68.588564140369556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5.2</v>
      </c>
      <c r="N92" s="14">
        <f>IF('Données projet'!$A$36&gt;35,N91+M92-V91,IF(A92&lt;'Données projet'!$A$36,$K$205^A92,IF(A92='Données projet'!$A$36,'Données projet'!$B$36,N91+M92-V91)))</f>
        <v>268.79999999999973</v>
      </c>
      <c r="O92" s="14">
        <f>N92*VLOOKUP('Données projet'!$B$9,Paramètres!$A$1:$I$88,3,0)*VLOOKUP('Données projet'!$B$9,Paramètres!$A$1:$I$88,5,0)</f>
        <v>272.56319999999977</v>
      </c>
      <c r="P92" s="14">
        <f t="shared" si="87"/>
        <v>65.392945522034552</v>
      </c>
      <c r="Q92" s="22">
        <f t="shared" si="54"/>
        <v>588.6069534508764</v>
      </c>
      <c r="R92" s="62">
        <f t="shared" si="55"/>
        <v>876.76502196556476</v>
      </c>
      <c r="S92" s="62">
        <f ca="1">AVERAGE(OFFSET($R$3,0,0,'Données projet'!$E$9+1,1))-AVERAGE(OFFSET($H$3,0,0,'Données projet'!$E$9+1,1))</f>
        <v>488.16146816015231</v>
      </c>
      <c r="T92" s="62">
        <f t="shared" si="88"/>
        <v>259.37115195552127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0</v>
      </c>
      <c r="AA92" s="23">
        <f>EXP(-LN(2)/25)*AA91+(1-EXP(-LN(2)/25))/(LN(2)/25)*Calculateur!V92*Calculateur!X92*VLOOKUP('Données projet'!$B$9,Paramètres!$A$1:$I$88,3,0)*0.475*44/12</f>
        <v>0</v>
      </c>
      <c r="AB92" s="23">
        <f>EXP(-LN(2)/2)*AB91+(1-EXP(-LN(2)/2))/(LN(2)/2)*V92*Y92*VLOOKUP('Données projet'!$B$9,Paramètres!$A$1:$I$88,3,0)*0.475*44/12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68.588564140369556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5.2</v>
      </c>
      <c r="AI92" s="14">
        <f>IF('Données projet'!$A$62&gt;35,AI91+AH92-AQ91,IF(A92&lt;'Données projet'!$A$62,$AF$205^A92,IF(A92='Données projet'!$A$62,'Données projet'!$B$62,AI91+AH92-AQ91)))</f>
        <v>268.79999999999973</v>
      </c>
      <c r="AJ92" s="14">
        <f>AI92*VLOOKUP('Données projet'!$B$10,Paramètres!$A$1:$I$88,3,0)*VLOOKUP('Données projet'!$B$10,Paramètres!$A$1:$I$88,5,0)</f>
        <v>243.21023999999974</v>
      </c>
      <c r="AK92" s="14">
        <f t="shared" si="89"/>
        <v>59.129694216846687</v>
      </c>
      <c r="AL92" s="22">
        <f t="shared" si="58"/>
        <v>526.57538542767418</v>
      </c>
      <c r="AM92" s="62">
        <f t="shared" si="59"/>
        <v>814.73345394236253</v>
      </c>
      <c r="AN92" s="62">
        <f ca="1">AVERAGE(OFFSET($AM$3,0,0,'Données projet'!$E$10+1,1))-AVERAGE(OFFSET($H$3,0,0,'Données projet'!$E$10+1,1))</f>
        <v>441.34749554136755</v>
      </c>
      <c r="AO92" s="62">
        <f t="shared" si="90"/>
        <v>236.49038586666222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0</v>
      </c>
      <c r="AV92" s="23">
        <f>EXP(-LN(2)/25)*AV91+(1-EXP(-LN(2)/25))/(LN(2)/25)*Calculateur!AQ92*Calculateur!AS92*VLOOKUP('Données projet'!$B$10,Paramètres!$A$1:$I$88,3,0)*0.475*44/12</f>
        <v>0</v>
      </c>
      <c r="AW92" s="23">
        <f>EXP(-LN(2)/2)*AW91+(1-EXP(-LN(2)/2))/(LN(2)/2)*AQ92*AT92*VLOOKUP('Données projet'!$B$10,Paramètres!$A$1:$I$88,3,0)*0.475*44/12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68.588564140369556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5.2</v>
      </c>
      <c r="BD92" s="13">
        <f>IF('Données projet'!$A$88&gt;35,BD91+BC92-BL91,IF(A92&lt;'Données projet'!$A$88,$BA$205^A92,IF(A92='Données projet'!$A$88,'Données projet'!$B$88,BD91+BC92-BL91)))</f>
        <v>268.79999999999973</v>
      </c>
      <c r="BE92" s="14">
        <f>BD92*VLOOKUP('Données projet'!$B$11,Paramètres!$A$1:$I$88,3,0)*VLOOKUP('Données projet'!$B$11,Paramètres!$A$1:$I$88,5,0)</f>
        <v>289.33631999999972</v>
      </c>
      <c r="BF92" s="14">
        <f t="shared" si="91"/>
        <v>68.936259465559303</v>
      </c>
      <c r="BG92" s="22">
        <f t="shared" si="61"/>
        <v>623.99140923584866</v>
      </c>
      <c r="BH92" s="62">
        <f t="shared" si="62"/>
        <v>912.14947775053702</v>
      </c>
      <c r="BI92" s="62">
        <f ca="1">AVERAGE(OFFSET($BH$3,0,0,'Données projet'!$E$11+1,1))-AVERAGE(OFFSET($H$3,0,0,'Données projet'!$E$11+1,1))</f>
        <v>514.86487884889584</v>
      </c>
      <c r="BJ92" s="62">
        <f t="shared" si="92"/>
        <v>272.4206208356191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projet'!$B$11,Paramètres!$A$1:$I$88,3,0)*0.475*44/12</f>
        <v>0</v>
      </c>
      <c r="BQ92" s="23">
        <f>EXP(-LN(2)/25)*BQ91+(1-EXP(-LN(2)/25))/(LN(2)/25)*Calculateur!BL92*Calculateur!BN92*VLOOKUP('Données projet'!$B$11,Paramètres!$A$1:$I$88,3,0)*0.475*44/12</f>
        <v>0</v>
      </c>
      <c r="BR92" s="23">
        <f>EXP(-LN(2)/2)*BR91+(1-EXP(-LN(2)/2))/(LN(2)/2)*BL92*BO92*VLOOKUP('Données projet'!$B$11,Paramètres!$A$1:$I$88,3,0)*0.475*44/12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68.588564140369556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-1.7053025658242404E-13</v>
      </c>
      <c r="BZ92" s="14">
        <f>BY92*VLOOKUP('Données projet'!$B$12,Paramètres!$A$1:$I$88,3,0)*VLOOKUP('Données projet'!$B$12,Paramètres!$A$1:$I$88,5,0)</f>
        <v>-1.1173142411280423E-13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270.10151451661864</v>
      </c>
      <c r="CE92" s="62">
        <f t="shared" si="94"/>
        <v>294.47934482366804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projet'!$B$12,Paramètres!$A$1:$I$88,3,0)*0.475*44/12</f>
        <v>0</v>
      </c>
      <c r="CL92" s="23">
        <f>EXP(-LN(2)/25)*CL91+(1-EXP(-LN(2)/25))/(LN(2)/25)*Calculateur!CG92*Calculateur!CI92*VLOOKUP('Données projet'!$B$12,Paramètres!$A$1:$I$88,3,0)*0.475*44/12</f>
        <v>0</v>
      </c>
      <c r="CM92" s="23">
        <f>EXP(-LN(2)/2)*CM91+(1-EXP(-LN(2)/2))/(LN(2)/2)*CG92*CJ92*VLOOKUP('Données projet'!$B$12,Paramètres!$A$1:$I$88,3,0)*0.475*44/12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68.588564140369556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-1.7053025658242404E-13</v>
      </c>
      <c r="CU92" s="18">
        <f>CT92*VLOOKUP('Données projet'!$B$13,Paramètres!$A$1:$I$88,3,0)*VLOOKUP('Données projet'!$B$13,Paramètres!$A$1:$I$88,5,0)</f>
        <v>-1.1173142411280423E-13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270.10151451661864</v>
      </c>
      <c r="CZ92" s="62">
        <f t="shared" si="96"/>
        <v>294.47934482366804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projet'!$B$13,Paramètres!$A$1:$I$88,3,0)*0.475*44/12</f>
        <v>0</v>
      </c>
      <c r="DG92" s="23">
        <f>EXP(-LN(2)/25)*DG91+(1-EXP(-LN(2)/25))/(LN(2)/25)*Calculateur!DB92*Calculateur!DD92*VLOOKUP('Données projet'!$B$13,Paramètres!$A$1:$I$88,3,0)*0.475*44/12</f>
        <v>0</v>
      </c>
      <c r="DH92" s="23">
        <f>EXP(-LN(2)/2)*DH91+(1-EXP(-LN(2)/2))/(LN(2)/2)*DB92*DE92*VLOOKUP('Données projet'!$B$13,Paramètres!$A$1:$I$88,3,0)*0.475*44/12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68.588564140369556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projet'!$B$14,Paramètres!$A$1:$I$88,3,0)*0.475*44/12</f>
        <v>#N/A</v>
      </c>
      <c r="EB92" s="23" t="e">
        <f>EXP(-LN(2)/25)*EB91+(1-EXP(-LN(2)/25))/(LN(2)/25)*Calculateur!DW92*Calculateur!DY92*VLOOKUP('Données projet'!$B$14,Paramètres!$A$1:$I$88,3,0)*0.475*44/12</f>
        <v>#N/A</v>
      </c>
      <c r="EC92" s="23" t="e">
        <f>EXP(-LN(2)/2)*EC91+(1-EXP(-LN(2)/2))/(LN(2)/2)*DW92*DZ92*VLOOKUP('Données projet'!$B$14,Paramètres!$A$1:$I$88,3,0)*0.475*44/12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68.588564140369556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68.588564140369556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68.588564140369556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68.588564140369556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1.34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4.9133333333333331</v>
      </c>
      <c r="H93" s="70">
        <f t="shared" si="56"/>
        <v>237.01333333333332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68.613049397036278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5.2</v>
      </c>
      <c r="N93" s="14">
        <f>IF('Données projet'!$A$36&gt;35,N92+M93-V92,IF(A93&lt;'Données projet'!$A$36,$K$205^A93,IF(A93='Données projet'!$A$36,'Données projet'!$B$36,N92+M93-V92)))</f>
        <v>273.99999999999972</v>
      </c>
      <c r="O93" s="14">
        <f>N93*VLOOKUP('Données projet'!$B$9,Paramètres!$A$1:$I$88,3,0)*VLOOKUP('Données projet'!$B$9,Paramètres!$A$1:$I$88,5,0)</f>
        <v>277.83599999999973</v>
      </c>
      <c r="P93" s="14">
        <f t="shared" si="87"/>
        <v>66.509487177652261</v>
      </c>
      <c r="Q93" s="22">
        <f t="shared" si="54"/>
        <v>599.73505683441056</v>
      </c>
      <c r="R93" s="62">
        <f t="shared" si="55"/>
        <v>887.98290462354362</v>
      </c>
      <c r="S93" s="62">
        <f ca="1">AVERAGE(OFFSET($R$3,0,0,'Données projet'!$E$9+1,1))-AVERAGE(OFFSET($H$3,0,0,'Données projet'!$E$9+1,1))</f>
        <v>488.16146816015231</v>
      </c>
      <c r="T93" s="62">
        <f t="shared" si="88"/>
        <v>259.37115195552127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0</v>
      </c>
      <c r="AA93" s="23">
        <f>EXP(-LN(2)/25)*AA92+(1-EXP(-LN(2)/25))/(LN(2)/25)*Calculateur!V93*Calculateur!X93*VLOOKUP('Données projet'!$B$9,Paramètres!$A$1:$I$88,3,0)*0.475*44/12</f>
        <v>0</v>
      </c>
      <c r="AB93" s="23">
        <f>EXP(-LN(2)/2)*AB92+(1-EXP(-LN(2)/2))/(LN(2)/2)*V93*Y93*VLOOKUP('Données projet'!$B$9,Paramètres!$A$1:$I$88,3,0)*0.475*44/12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68.613049397036278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5.2</v>
      </c>
      <c r="AI93" s="14">
        <f>IF('Données projet'!$A$62&gt;35,AI92+AH93-AQ92,IF(A93&lt;'Données projet'!$A$62,$AF$205^A93,IF(A93='Données projet'!$A$62,'Données projet'!$B$62,AI92+AH93-AQ92)))</f>
        <v>273.99999999999972</v>
      </c>
      <c r="AJ93" s="14">
        <f>AI93*VLOOKUP('Données projet'!$B$10,Paramètres!$A$1:$I$88,3,0)*VLOOKUP('Données projet'!$B$10,Paramètres!$A$1:$I$88,5,0)</f>
        <v>247.91519999999971</v>
      </c>
      <c r="AK93" s="14">
        <f t="shared" si="89"/>
        <v>60.139294964297406</v>
      </c>
      <c r="AL93" s="22">
        <f t="shared" si="58"/>
        <v>536.52824539615074</v>
      </c>
      <c r="AM93" s="62">
        <f t="shared" si="59"/>
        <v>824.7760931852838</v>
      </c>
      <c r="AN93" s="62">
        <f ca="1">AVERAGE(OFFSET($AM$3,0,0,'Données projet'!$E$10+1,1))-AVERAGE(OFFSET($H$3,0,0,'Données projet'!$E$10+1,1))</f>
        <v>441.34749554136755</v>
      </c>
      <c r="AO93" s="62">
        <f t="shared" si="90"/>
        <v>236.49038586666222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0</v>
      </c>
      <c r="AV93" s="23">
        <f>EXP(-LN(2)/25)*AV92+(1-EXP(-LN(2)/25))/(LN(2)/25)*Calculateur!AQ93*Calculateur!AS93*VLOOKUP('Données projet'!$B$10,Paramètres!$A$1:$I$88,3,0)*0.475*44/12</f>
        <v>0</v>
      </c>
      <c r="AW93" s="23">
        <f>EXP(-LN(2)/2)*AW92+(1-EXP(-LN(2)/2))/(LN(2)/2)*AQ93*AT93*VLOOKUP('Données projet'!$B$10,Paramètres!$A$1:$I$88,3,0)*0.475*44/12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68.613049397036278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5.2</v>
      </c>
      <c r="BD93" s="13">
        <f>IF('Données projet'!$A$88&gt;35,BD92+BC93-BL92,IF(A93&lt;'Données projet'!$A$88,$BA$205^A93,IF(A93='Données projet'!$A$88,'Données projet'!$B$88,BD92+BC93-BL92)))</f>
        <v>273.99999999999972</v>
      </c>
      <c r="BE93" s="14">
        <f>BD93*VLOOKUP('Données projet'!$B$11,Paramètres!$A$1:$I$88,3,0)*VLOOKUP('Données projet'!$B$11,Paramètres!$A$1:$I$88,5,0)</f>
        <v>294.93359999999973</v>
      </c>
      <c r="BF93" s="14">
        <f t="shared" si="91"/>
        <v>70.113300882814812</v>
      </c>
      <c r="BG93" s="22">
        <f t="shared" si="61"/>
        <v>635.79001903756864</v>
      </c>
      <c r="BH93" s="62">
        <f t="shared" si="62"/>
        <v>924.0378668267017</v>
      </c>
      <c r="BI93" s="62">
        <f ca="1">AVERAGE(OFFSET($BH$3,0,0,'Données projet'!$E$11+1,1))-AVERAGE(OFFSET($H$3,0,0,'Données projet'!$E$11+1,1))</f>
        <v>514.86487884889584</v>
      </c>
      <c r="BJ93" s="62">
        <f t="shared" si="92"/>
        <v>272.4206208356191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projet'!$B$11,Paramètres!$A$1:$I$88,3,0)*0.475*44/12</f>
        <v>0</v>
      </c>
      <c r="BQ93" s="23">
        <f>EXP(-LN(2)/25)*BQ92+(1-EXP(-LN(2)/25))/(LN(2)/25)*Calculateur!BL93*Calculateur!BN93*VLOOKUP('Données projet'!$B$11,Paramètres!$A$1:$I$88,3,0)*0.475*44/12</f>
        <v>0</v>
      </c>
      <c r="BR93" s="23">
        <f>EXP(-LN(2)/2)*BR92+(1-EXP(-LN(2)/2))/(LN(2)/2)*BL93*BO93*VLOOKUP('Données projet'!$B$11,Paramètres!$A$1:$I$88,3,0)*0.475*44/12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68.613049397036278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-1.7053025658242404E-13</v>
      </c>
      <c r="BZ93" s="14">
        <f>BY93*VLOOKUP('Données projet'!$B$12,Paramètres!$A$1:$I$88,3,0)*VLOOKUP('Données projet'!$B$12,Paramètres!$A$1:$I$88,5,0)</f>
        <v>-1.1173142411280423E-13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270.10151451661864</v>
      </c>
      <c r="CE93" s="62">
        <f t="shared" si="94"/>
        <v>294.47934482366804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projet'!$B$12,Paramètres!$A$1:$I$88,3,0)*0.475*44/12</f>
        <v>0</v>
      </c>
      <c r="CL93" s="23">
        <f>EXP(-LN(2)/25)*CL92+(1-EXP(-LN(2)/25))/(LN(2)/25)*Calculateur!CG93*Calculateur!CI93*VLOOKUP('Données projet'!$B$12,Paramètres!$A$1:$I$88,3,0)*0.475*44/12</f>
        <v>0</v>
      </c>
      <c r="CM93" s="23">
        <f>EXP(-LN(2)/2)*CM92+(1-EXP(-LN(2)/2))/(LN(2)/2)*CG93*CJ93*VLOOKUP('Données projet'!$B$12,Paramètres!$A$1:$I$88,3,0)*0.475*44/12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68.613049397036278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-1.7053025658242404E-13</v>
      </c>
      <c r="CU93" s="18">
        <f>CT93*VLOOKUP('Données projet'!$B$13,Paramètres!$A$1:$I$88,3,0)*VLOOKUP('Données projet'!$B$13,Paramètres!$A$1:$I$88,5,0)</f>
        <v>-1.1173142411280423E-13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270.10151451661864</v>
      </c>
      <c r="CZ93" s="62">
        <f t="shared" si="96"/>
        <v>294.47934482366804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projet'!$B$13,Paramètres!$A$1:$I$88,3,0)*0.475*44/12</f>
        <v>0</v>
      </c>
      <c r="DG93" s="23">
        <f>EXP(-LN(2)/25)*DG92+(1-EXP(-LN(2)/25))/(LN(2)/25)*Calculateur!DB93*Calculateur!DD93*VLOOKUP('Données projet'!$B$13,Paramètres!$A$1:$I$88,3,0)*0.475*44/12</f>
        <v>0</v>
      </c>
      <c r="DH93" s="23">
        <f>EXP(-LN(2)/2)*DH92+(1-EXP(-LN(2)/2))/(LN(2)/2)*DB93*DE93*VLOOKUP('Données projet'!$B$13,Paramètres!$A$1:$I$88,3,0)*0.475*44/12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68.613049397036278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projet'!$B$14,Paramètres!$A$1:$I$88,3,0)*0.475*44/12</f>
        <v>#N/A</v>
      </c>
      <c r="EB93" s="23" t="e">
        <f>EXP(-LN(2)/25)*EB92+(1-EXP(-LN(2)/25))/(LN(2)/25)*Calculateur!DW93*Calculateur!DY93*VLOOKUP('Données projet'!$B$14,Paramètres!$A$1:$I$88,3,0)*0.475*44/12</f>
        <v>#N/A</v>
      </c>
      <c r="EC93" s="23" t="e">
        <f>EXP(-LN(2)/2)*EC92+(1-EXP(-LN(2)/2))/(LN(2)/2)*DW93*DZ93*VLOOKUP('Données projet'!$B$14,Paramètres!$A$1:$I$88,3,0)*0.475*44/12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68.613049397036278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68.613049397036278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68.613049397036278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68.613049397036278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1.34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4.9133333333333331</v>
      </c>
      <c r="H94" s="70">
        <f t="shared" si="56"/>
        <v>237.01333333333332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68.637109889240676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5.2</v>
      </c>
      <c r="N94" s="14">
        <f>IF('Données projet'!$A$36&gt;35,N93+M94-V93,IF(A94&lt;'Données projet'!$A$36,$K$205^A94,IF(A94='Données projet'!$A$36,'Données projet'!$B$36,N93+M94-V93)))</f>
        <v>279.1999999999997</v>
      </c>
      <c r="O94" s="14">
        <f>N94*VLOOKUP('Données projet'!$B$9,Paramètres!$A$1:$I$88,3,0)*VLOOKUP('Données projet'!$B$9,Paramètres!$A$1:$I$88,5,0)</f>
        <v>283.10879999999975</v>
      </c>
      <c r="P94" s="14">
        <f t="shared" si="87"/>
        <v>67.623564901653808</v>
      </c>
      <c r="Q94" s="22">
        <f t="shared" si="54"/>
        <v>610.85886887037998</v>
      </c>
      <c r="R94" s="62">
        <f t="shared" si="55"/>
        <v>899.19493846426246</v>
      </c>
      <c r="S94" s="62">
        <f ca="1">AVERAGE(OFFSET($R$3,0,0,'Données projet'!$E$9+1,1))-AVERAGE(OFFSET($H$3,0,0,'Données projet'!$E$9+1,1))</f>
        <v>488.16146816015231</v>
      </c>
      <c r="T94" s="62">
        <f t="shared" si="88"/>
        <v>259.37115195552127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0</v>
      </c>
      <c r="AA94" s="23">
        <f>EXP(-LN(2)/25)*AA93+(1-EXP(-LN(2)/25))/(LN(2)/25)*Calculateur!V94*Calculateur!X94*VLOOKUP('Données projet'!$B$9,Paramètres!$A$1:$I$88,3,0)*0.475*44/12</f>
        <v>0</v>
      </c>
      <c r="AB94" s="23">
        <f>EXP(-LN(2)/2)*AB93+(1-EXP(-LN(2)/2))/(LN(2)/2)*V94*Y94*VLOOKUP('Données projet'!$B$9,Paramètres!$A$1:$I$88,3,0)*0.475*44/12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68.637109889240676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5.2</v>
      </c>
      <c r="AI94" s="14">
        <f>IF('Données projet'!$A$62&gt;35,AI93+AH94-AQ93,IF(A94&lt;'Données projet'!$A$62,$AF$205^A94,IF(A94='Données projet'!$A$62,'Données projet'!$B$62,AI93+AH94-AQ93)))</f>
        <v>279.1999999999997</v>
      </c>
      <c r="AJ94" s="14">
        <f>AI94*VLOOKUP('Données projet'!$B$10,Paramètres!$A$1:$I$88,3,0)*VLOOKUP('Données projet'!$B$10,Paramètres!$A$1:$I$88,5,0)</f>
        <v>252.62015999999971</v>
      </c>
      <c r="AK94" s="14">
        <f t="shared" si="89"/>
        <v>61.146667772298713</v>
      </c>
      <c r="AL94" s="22">
        <f t="shared" si="58"/>
        <v>546.477225036753</v>
      </c>
      <c r="AM94" s="62">
        <f t="shared" si="59"/>
        <v>834.81329463063548</v>
      </c>
      <c r="AN94" s="62">
        <f ca="1">AVERAGE(OFFSET($AM$3,0,0,'Données projet'!$E$10+1,1))-AVERAGE(OFFSET($H$3,0,0,'Données projet'!$E$10+1,1))</f>
        <v>441.34749554136755</v>
      </c>
      <c r="AO94" s="62">
        <f t="shared" si="90"/>
        <v>236.49038586666222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0</v>
      </c>
      <c r="AV94" s="23">
        <f>EXP(-LN(2)/25)*AV93+(1-EXP(-LN(2)/25))/(LN(2)/25)*Calculateur!AQ94*Calculateur!AS94*VLOOKUP('Données projet'!$B$10,Paramètres!$A$1:$I$88,3,0)*0.475*44/12</f>
        <v>0</v>
      </c>
      <c r="AW94" s="23">
        <f>EXP(-LN(2)/2)*AW93+(1-EXP(-LN(2)/2))/(LN(2)/2)*AQ94*AT94*VLOOKUP('Données projet'!$B$10,Paramètres!$A$1:$I$88,3,0)*0.475*44/12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68.637109889240676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5.2</v>
      </c>
      <c r="BD94" s="13">
        <f>IF('Données projet'!$A$88&gt;35,BD93+BC94-BL93,IF(A94&lt;'Données projet'!$A$88,$BA$205^A94,IF(A94='Données projet'!$A$88,'Données projet'!$B$88,BD93+BC94-BL93)))</f>
        <v>279.1999999999997</v>
      </c>
      <c r="BE94" s="14">
        <f>BD94*VLOOKUP('Données projet'!$B$11,Paramètres!$A$1:$I$88,3,0)*VLOOKUP('Données projet'!$B$11,Paramètres!$A$1:$I$88,5,0)</f>
        <v>300.53087999999963</v>
      </c>
      <c r="BF94" s="14">
        <f t="shared" si="91"/>
        <v>71.287744860425335</v>
      </c>
      <c r="BG94" s="22">
        <f t="shared" si="61"/>
        <v>647.58410496524004</v>
      </c>
      <c r="BH94" s="62">
        <f t="shared" si="62"/>
        <v>935.92017455912253</v>
      </c>
      <c r="BI94" s="62">
        <f ca="1">AVERAGE(OFFSET($BH$3,0,0,'Données projet'!$E$11+1,1))-AVERAGE(OFFSET($H$3,0,0,'Données projet'!$E$11+1,1))</f>
        <v>514.86487884889584</v>
      </c>
      <c r="BJ94" s="62">
        <f t="shared" si="92"/>
        <v>272.4206208356191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projet'!$B$11,Paramètres!$A$1:$I$88,3,0)*0.475*44/12</f>
        <v>0</v>
      </c>
      <c r="BQ94" s="23">
        <f>EXP(-LN(2)/25)*BQ93+(1-EXP(-LN(2)/25))/(LN(2)/25)*Calculateur!BL94*Calculateur!BN94*VLOOKUP('Données projet'!$B$11,Paramètres!$A$1:$I$88,3,0)*0.475*44/12</f>
        <v>0</v>
      </c>
      <c r="BR94" s="23">
        <f>EXP(-LN(2)/2)*BR93+(1-EXP(-LN(2)/2))/(LN(2)/2)*BL94*BO94*VLOOKUP('Données projet'!$B$11,Paramètres!$A$1:$I$88,3,0)*0.475*44/12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68.637109889240676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-1.7053025658242404E-13</v>
      </c>
      <c r="BZ94" s="14">
        <f>BY94*VLOOKUP('Données projet'!$B$12,Paramètres!$A$1:$I$88,3,0)*VLOOKUP('Données projet'!$B$12,Paramètres!$A$1:$I$88,5,0)</f>
        <v>-1.1173142411280423E-13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270.10151451661864</v>
      </c>
      <c r="CE94" s="62">
        <f t="shared" si="94"/>
        <v>294.47934482366804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projet'!$B$12,Paramètres!$A$1:$I$88,3,0)*0.475*44/12</f>
        <v>0</v>
      </c>
      <c r="CL94" s="23">
        <f>EXP(-LN(2)/25)*CL93+(1-EXP(-LN(2)/25))/(LN(2)/25)*Calculateur!CG94*Calculateur!CI94*VLOOKUP('Données projet'!$B$12,Paramètres!$A$1:$I$88,3,0)*0.475*44/12</f>
        <v>0</v>
      </c>
      <c r="CM94" s="23">
        <f>EXP(-LN(2)/2)*CM93+(1-EXP(-LN(2)/2))/(LN(2)/2)*CG94*CJ94*VLOOKUP('Données projet'!$B$12,Paramètres!$A$1:$I$88,3,0)*0.475*44/12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68.637109889240676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-1.7053025658242404E-13</v>
      </c>
      <c r="CU94" s="18">
        <f>CT94*VLOOKUP('Données projet'!$B$13,Paramètres!$A$1:$I$88,3,0)*VLOOKUP('Données projet'!$B$13,Paramètres!$A$1:$I$88,5,0)</f>
        <v>-1.1173142411280423E-13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270.10151451661864</v>
      </c>
      <c r="CZ94" s="62">
        <f t="shared" si="96"/>
        <v>294.47934482366804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projet'!$B$13,Paramètres!$A$1:$I$88,3,0)*0.475*44/12</f>
        <v>0</v>
      </c>
      <c r="DG94" s="23">
        <f>EXP(-LN(2)/25)*DG93+(1-EXP(-LN(2)/25))/(LN(2)/25)*Calculateur!DB94*Calculateur!DD94*VLOOKUP('Données projet'!$B$13,Paramètres!$A$1:$I$88,3,0)*0.475*44/12</f>
        <v>0</v>
      </c>
      <c r="DH94" s="23">
        <f>EXP(-LN(2)/2)*DH93+(1-EXP(-LN(2)/2))/(LN(2)/2)*DB94*DE94*VLOOKUP('Données projet'!$B$13,Paramètres!$A$1:$I$88,3,0)*0.475*44/12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68.637109889240676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projet'!$B$14,Paramètres!$A$1:$I$88,3,0)*0.475*44/12</f>
        <v>#N/A</v>
      </c>
      <c r="EB94" s="23" t="e">
        <f>EXP(-LN(2)/25)*EB93+(1-EXP(-LN(2)/25))/(LN(2)/25)*Calculateur!DW94*Calculateur!DY94*VLOOKUP('Données projet'!$B$14,Paramètres!$A$1:$I$88,3,0)*0.475*44/12</f>
        <v>#N/A</v>
      </c>
      <c r="EC94" s="23" t="e">
        <f>EXP(-LN(2)/2)*EC93+(1-EXP(-LN(2)/2))/(LN(2)/2)*DW94*DZ94*VLOOKUP('Données projet'!$B$14,Paramètres!$A$1:$I$88,3,0)*0.475*44/12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68.637109889240676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68.637109889240676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68.637109889240676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68.637109889240676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1.34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4.9133333333333331</v>
      </c>
      <c r="H95" s="70">
        <f t="shared" si="56"/>
        <v>237.01333333333332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68.660752985696533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5.2</v>
      </c>
      <c r="N95" s="14">
        <f>IF('Données projet'!$A$36&gt;35,N94+M95-V94,IF(A95&lt;'Données projet'!$A$36,$K$205^A95,IF(A95='Données projet'!$A$36,'Données projet'!$B$36,N94+M95-V94)))</f>
        <v>284.39999999999969</v>
      </c>
      <c r="O95" s="14">
        <f>N95*VLOOKUP('Données projet'!$B$9,Paramètres!$A$1:$I$88,3,0)*VLOOKUP('Données projet'!$B$9,Paramètres!$A$1:$I$88,5,0)</f>
        <v>288.38159999999971</v>
      </c>
      <c r="P95" s="14">
        <f t="shared" si="87"/>
        <v>68.735229875936554</v>
      </c>
      <c r="Q95" s="22">
        <f t="shared" si="54"/>
        <v>621.97847870058888</v>
      </c>
      <c r="R95" s="62">
        <f t="shared" si="55"/>
        <v>910.40123964814279</v>
      </c>
      <c r="S95" s="62">
        <f ca="1">AVERAGE(OFFSET($R$3,0,0,'Données projet'!$E$9+1,1))-AVERAGE(OFFSET($H$3,0,0,'Données projet'!$E$9+1,1))</f>
        <v>488.16146816015231</v>
      </c>
      <c r="T95" s="62">
        <f t="shared" si="88"/>
        <v>259.37115195552127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0</v>
      </c>
      <c r="AA95" s="23">
        <f>EXP(-LN(2)/25)*AA94+(1-EXP(-LN(2)/25))/(LN(2)/25)*Calculateur!V95*Calculateur!X95*VLOOKUP('Données projet'!$B$9,Paramètres!$A$1:$I$88,3,0)*0.475*44/12</f>
        <v>0</v>
      </c>
      <c r="AB95" s="23">
        <f>EXP(-LN(2)/2)*AB94+(1-EXP(-LN(2)/2))/(LN(2)/2)*V95*Y95*VLOOKUP('Données projet'!$B$9,Paramètres!$A$1:$I$88,3,0)*0.475*44/12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68.660752985696533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5.2</v>
      </c>
      <c r="AI95" s="14">
        <f>IF('Données projet'!$A$62&gt;35,AI94+AH95-AQ94,IF(A95&lt;'Données projet'!$A$62,$AF$205^A95,IF(A95='Données projet'!$A$62,'Données projet'!$B$62,AI94+AH95-AQ94)))</f>
        <v>284.39999999999969</v>
      </c>
      <c r="AJ95" s="14">
        <f>AI95*VLOOKUP('Données projet'!$B$10,Paramètres!$A$1:$I$88,3,0)*VLOOKUP('Données projet'!$B$10,Paramètres!$A$1:$I$88,5,0)</f>
        <v>257.32511999999969</v>
      </c>
      <c r="AK95" s="14">
        <f t="shared" si="89"/>
        <v>62.151858920612597</v>
      </c>
      <c r="AL95" s="22">
        <f t="shared" si="58"/>
        <v>556.42240495339968</v>
      </c>
      <c r="AM95" s="62">
        <f t="shared" si="59"/>
        <v>844.84516590095359</v>
      </c>
      <c r="AN95" s="62">
        <f ca="1">AVERAGE(OFFSET($AM$3,0,0,'Données projet'!$E$10+1,1))-AVERAGE(OFFSET($H$3,0,0,'Données projet'!$E$10+1,1))</f>
        <v>441.34749554136755</v>
      </c>
      <c r="AO95" s="62">
        <f t="shared" si="90"/>
        <v>236.49038586666222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0</v>
      </c>
      <c r="AV95" s="23">
        <f>EXP(-LN(2)/25)*AV94+(1-EXP(-LN(2)/25))/(LN(2)/25)*Calculateur!AQ95*Calculateur!AS95*VLOOKUP('Données projet'!$B$10,Paramètres!$A$1:$I$88,3,0)*0.475*44/12</f>
        <v>0</v>
      </c>
      <c r="AW95" s="23">
        <f>EXP(-LN(2)/2)*AW94+(1-EXP(-LN(2)/2))/(LN(2)/2)*AQ95*AT95*VLOOKUP('Données projet'!$B$10,Paramètres!$A$1:$I$88,3,0)*0.475*44/12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68.660752985696533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5.2</v>
      </c>
      <c r="BD95" s="13">
        <f>IF('Données projet'!$A$88&gt;35,BD94+BC95-BL94,IF(A95&lt;'Données projet'!$A$88,$BA$205^A95,IF(A95='Données projet'!$A$88,'Données projet'!$B$88,BD94+BC95-BL94)))</f>
        <v>284.39999999999969</v>
      </c>
      <c r="BE95" s="14">
        <f>BD95*VLOOKUP('Données projet'!$B$11,Paramètres!$A$1:$I$88,3,0)*VLOOKUP('Données projet'!$B$11,Paramètres!$A$1:$I$88,5,0)</f>
        <v>306.12815999999964</v>
      </c>
      <c r="BF95" s="14">
        <f t="shared" si="91"/>
        <v>72.459645353577386</v>
      </c>
      <c r="BG95" s="22">
        <f t="shared" si="61"/>
        <v>659.37376099081337</v>
      </c>
      <c r="BH95" s="62">
        <f t="shared" si="62"/>
        <v>947.79652193836728</v>
      </c>
      <c r="BI95" s="62">
        <f ca="1">AVERAGE(OFFSET($BH$3,0,0,'Données projet'!$E$11+1,1))-AVERAGE(OFFSET($H$3,0,0,'Données projet'!$E$11+1,1))</f>
        <v>514.86487884889584</v>
      </c>
      <c r="BJ95" s="62">
        <f t="shared" si="92"/>
        <v>272.4206208356191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projet'!$B$11,Paramètres!$A$1:$I$88,3,0)*0.475*44/12</f>
        <v>0</v>
      </c>
      <c r="BQ95" s="23">
        <f>EXP(-LN(2)/25)*BQ94+(1-EXP(-LN(2)/25))/(LN(2)/25)*Calculateur!BL95*Calculateur!BN95*VLOOKUP('Données projet'!$B$11,Paramètres!$A$1:$I$88,3,0)*0.475*44/12</f>
        <v>0</v>
      </c>
      <c r="BR95" s="23">
        <f>EXP(-LN(2)/2)*BR94+(1-EXP(-LN(2)/2))/(LN(2)/2)*BL95*BO95*VLOOKUP('Données projet'!$B$11,Paramètres!$A$1:$I$88,3,0)*0.475*44/12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68.660752985696533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-1.7053025658242404E-13</v>
      </c>
      <c r="BZ95" s="14">
        <f>BY95*VLOOKUP('Données projet'!$B$12,Paramètres!$A$1:$I$88,3,0)*VLOOKUP('Données projet'!$B$12,Paramètres!$A$1:$I$88,5,0)</f>
        <v>-1.1173142411280423E-13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270.10151451661864</v>
      </c>
      <c r="CE95" s="62">
        <f t="shared" si="94"/>
        <v>294.47934482366804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projet'!$B$12,Paramètres!$A$1:$I$88,3,0)*0.475*44/12</f>
        <v>0</v>
      </c>
      <c r="CL95" s="23">
        <f>EXP(-LN(2)/25)*CL94+(1-EXP(-LN(2)/25))/(LN(2)/25)*Calculateur!CG95*Calculateur!CI95*VLOOKUP('Données projet'!$B$12,Paramètres!$A$1:$I$88,3,0)*0.475*44/12</f>
        <v>0</v>
      </c>
      <c r="CM95" s="23">
        <f>EXP(-LN(2)/2)*CM94+(1-EXP(-LN(2)/2))/(LN(2)/2)*CG95*CJ95*VLOOKUP('Données projet'!$B$12,Paramètres!$A$1:$I$88,3,0)*0.475*44/12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68.660752985696533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-1.7053025658242404E-13</v>
      </c>
      <c r="CU95" s="18">
        <f>CT95*VLOOKUP('Données projet'!$B$13,Paramètres!$A$1:$I$88,3,0)*VLOOKUP('Données projet'!$B$13,Paramètres!$A$1:$I$88,5,0)</f>
        <v>-1.1173142411280423E-13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270.10151451661864</v>
      </c>
      <c r="CZ95" s="62">
        <f t="shared" si="96"/>
        <v>294.47934482366804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projet'!$B$13,Paramètres!$A$1:$I$88,3,0)*0.475*44/12</f>
        <v>0</v>
      </c>
      <c r="DG95" s="23">
        <f>EXP(-LN(2)/25)*DG94+(1-EXP(-LN(2)/25))/(LN(2)/25)*Calculateur!DB95*Calculateur!DD95*VLOOKUP('Données projet'!$B$13,Paramètres!$A$1:$I$88,3,0)*0.475*44/12</f>
        <v>0</v>
      </c>
      <c r="DH95" s="23">
        <f>EXP(-LN(2)/2)*DH94+(1-EXP(-LN(2)/2))/(LN(2)/2)*DB95*DE95*VLOOKUP('Données projet'!$B$13,Paramètres!$A$1:$I$88,3,0)*0.475*44/12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68.660752985696533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projet'!$B$14,Paramètres!$A$1:$I$88,3,0)*0.475*44/12</f>
        <v>#N/A</v>
      </c>
      <c r="EB95" s="23" t="e">
        <f>EXP(-LN(2)/25)*EB94+(1-EXP(-LN(2)/25))/(LN(2)/25)*Calculateur!DW95*Calculateur!DY95*VLOOKUP('Données projet'!$B$14,Paramètres!$A$1:$I$88,3,0)*0.475*44/12</f>
        <v>#N/A</v>
      </c>
      <c r="EC95" s="23" t="e">
        <f>EXP(-LN(2)/2)*EC94+(1-EXP(-LN(2)/2))/(LN(2)/2)*DW95*DZ95*VLOOKUP('Données projet'!$B$14,Paramètres!$A$1:$I$88,3,0)*0.475*44/12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68.660752985696533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68.660752985696533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68.660752985696533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68.660752985696533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1.34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4.9133333333333331</v>
      </c>
      <c r="H96" s="70">
        <f t="shared" si="56"/>
        <v>237.01333333333332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68.683985927286926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5.2</v>
      </c>
      <c r="N96" s="14">
        <f>IF('Données projet'!$A$36&gt;35,N95+M96-V95,IF(A96&lt;'Données projet'!$A$36,$K$205^A96,IF(A96='Données projet'!$A$36,'Données projet'!$B$36,N95+M96-V95)))</f>
        <v>289.59999999999968</v>
      </c>
      <c r="O96" s="14">
        <f>N96*VLOOKUP('Données projet'!$B$9,Paramètres!$A$1:$I$88,3,0)*VLOOKUP('Données projet'!$B$9,Paramètres!$A$1:$I$88,5,0)</f>
        <v>293.65439999999973</v>
      </c>
      <c r="P96" s="14">
        <f t="shared" si="87"/>
        <v>69.844531303614474</v>
      </c>
      <c r="Q96" s="22">
        <f t="shared" si="54"/>
        <v>633.09397202046136</v>
      </c>
      <c r="R96" s="62">
        <f t="shared" si="55"/>
        <v>921.60192042051335</v>
      </c>
      <c r="S96" s="62">
        <f ca="1">AVERAGE(OFFSET($R$3,0,0,'Données projet'!$E$9+1,1))-AVERAGE(OFFSET($H$3,0,0,'Données projet'!$E$9+1,1))</f>
        <v>488.16146816015231</v>
      </c>
      <c r="T96" s="62">
        <f t="shared" si="88"/>
        <v>259.37115195552127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0</v>
      </c>
      <c r="AA96" s="23">
        <f>EXP(-LN(2)/25)*AA95+(1-EXP(-LN(2)/25))/(LN(2)/25)*Calculateur!V96*Calculateur!X96*VLOOKUP('Données projet'!$B$9,Paramètres!$A$1:$I$88,3,0)*0.475*44/12</f>
        <v>0</v>
      </c>
      <c r="AB96" s="23">
        <f>EXP(-LN(2)/2)*AB95+(1-EXP(-LN(2)/2))/(LN(2)/2)*V96*Y96*VLOOKUP('Données projet'!$B$9,Paramètres!$A$1:$I$88,3,0)*0.475*44/12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68.683985927286926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5.2</v>
      </c>
      <c r="AI96" s="14">
        <f>IF('Données projet'!$A$62&gt;35,AI95+AH96-AQ95,IF(A96&lt;'Données projet'!$A$62,$AF$205^A96,IF(A96='Données projet'!$A$62,'Données projet'!$B$62,AI95+AH96-AQ95)))</f>
        <v>289.59999999999968</v>
      </c>
      <c r="AJ96" s="14">
        <f>AI96*VLOOKUP('Données projet'!$B$10,Paramètres!$A$1:$I$88,3,0)*VLOOKUP('Données projet'!$B$10,Paramètres!$A$1:$I$88,5,0)</f>
        <v>262.03007999999966</v>
      </c>
      <c r="AK96" s="14">
        <f t="shared" si="89"/>
        <v>63.154912899742527</v>
      </c>
      <c r="AL96" s="22">
        <f t="shared" si="58"/>
        <v>566.36386263371753</v>
      </c>
      <c r="AM96" s="62">
        <f t="shared" si="59"/>
        <v>854.87181103376952</v>
      </c>
      <c r="AN96" s="62">
        <f ca="1">AVERAGE(OFFSET($AM$3,0,0,'Données projet'!$E$10+1,1))-AVERAGE(OFFSET($H$3,0,0,'Données projet'!$E$10+1,1))</f>
        <v>441.34749554136755</v>
      </c>
      <c r="AO96" s="62">
        <f t="shared" si="90"/>
        <v>236.49038586666222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0</v>
      </c>
      <c r="AV96" s="23">
        <f>EXP(-LN(2)/25)*AV95+(1-EXP(-LN(2)/25))/(LN(2)/25)*Calculateur!AQ96*Calculateur!AS96*VLOOKUP('Données projet'!$B$10,Paramètres!$A$1:$I$88,3,0)*0.475*44/12</f>
        <v>0</v>
      </c>
      <c r="AW96" s="23">
        <f>EXP(-LN(2)/2)*AW95+(1-EXP(-LN(2)/2))/(LN(2)/2)*AQ96*AT96*VLOOKUP('Données projet'!$B$10,Paramètres!$A$1:$I$88,3,0)*0.475*44/12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68.683985927286926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5.2</v>
      </c>
      <c r="BD96" s="13">
        <f>IF('Données projet'!$A$88&gt;35,BD95+BC96-BL95,IF(A96&lt;'Données projet'!$A$88,$BA$205^A96,IF(A96='Données projet'!$A$88,'Données projet'!$B$88,BD95+BC96-BL95)))</f>
        <v>289.59999999999968</v>
      </c>
      <c r="BE96" s="14">
        <f>BD96*VLOOKUP('Données projet'!$B$11,Paramètres!$A$1:$I$88,3,0)*VLOOKUP('Données projet'!$B$11,Paramètres!$A$1:$I$88,5,0)</f>
        <v>311.72543999999965</v>
      </c>
      <c r="BF96" s="14">
        <f t="shared" si="91"/>
        <v>73.629054231453196</v>
      </c>
      <c r="BG96" s="22">
        <f t="shared" si="61"/>
        <v>671.1590774531137</v>
      </c>
      <c r="BH96" s="62">
        <f t="shared" si="62"/>
        <v>959.6670258531658</v>
      </c>
      <c r="BI96" s="62">
        <f ca="1">AVERAGE(OFFSET($BH$3,0,0,'Données projet'!$E$11+1,1))-AVERAGE(OFFSET($H$3,0,0,'Données projet'!$E$11+1,1))</f>
        <v>514.86487884889584</v>
      </c>
      <c r="BJ96" s="62">
        <f t="shared" si="92"/>
        <v>272.4206208356191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projet'!$B$11,Paramètres!$A$1:$I$88,3,0)*0.475*44/12</f>
        <v>0</v>
      </c>
      <c r="BQ96" s="23">
        <f>EXP(-LN(2)/25)*BQ95+(1-EXP(-LN(2)/25))/(LN(2)/25)*Calculateur!BL96*Calculateur!BN96*VLOOKUP('Données projet'!$B$11,Paramètres!$A$1:$I$88,3,0)*0.475*44/12</f>
        <v>0</v>
      </c>
      <c r="BR96" s="23">
        <f>EXP(-LN(2)/2)*BR95+(1-EXP(-LN(2)/2))/(LN(2)/2)*BL96*BO96*VLOOKUP('Données projet'!$B$11,Paramètres!$A$1:$I$88,3,0)*0.475*44/12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68.683985927286926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-1.7053025658242404E-13</v>
      </c>
      <c r="BZ96" s="14">
        <f>BY96*VLOOKUP('Données projet'!$B$12,Paramètres!$A$1:$I$88,3,0)*VLOOKUP('Données projet'!$B$12,Paramètres!$A$1:$I$88,5,0)</f>
        <v>-1.1173142411280423E-13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270.10151451661864</v>
      </c>
      <c r="CE96" s="62">
        <f t="shared" si="94"/>
        <v>294.47934482366804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projet'!$B$12,Paramètres!$A$1:$I$88,3,0)*0.475*44/12</f>
        <v>0</v>
      </c>
      <c r="CL96" s="23">
        <f>EXP(-LN(2)/25)*CL95+(1-EXP(-LN(2)/25))/(LN(2)/25)*Calculateur!CG96*Calculateur!CI96*VLOOKUP('Données projet'!$B$12,Paramètres!$A$1:$I$88,3,0)*0.475*44/12</f>
        <v>0</v>
      </c>
      <c r="CM96" s="23">
        <f>EXP(-LN(2)/2)*CM95+(1-EXP(-LN(2)/2))/(LN(2)/2)*CG96*CJ96*VLOOKUP('Données projet'!$B$12,Paramètres!$A$1:$I$88,3,0)*0.475*44/12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68.683985927286926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-1.7053025658242404E-13</v>
      </c>
      <c r="CU96" s="18">
        <f>CT96*VLOOKUP('Données projet'!$B$13,Paramètres!$A$1:$I$88,3,0)*VLOOKUP('Données projet'!$B$13,Paramètres!$A$1:$I$88,5,0)</f>
        <v>-1.1173142411280423E-13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270.10151451661864</v>
      </c>
      <c r="CZ96" s="62">
        <f t="shared" si="96"/>
        <v>294.47934482366804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projet'!$B$13,Paramètres!$A$1:$I$88,3,0)*0.475*44/12</f>
        <v>0</v>
      </c>
      <c r="DG96" s="23">
        <f>EXP(-LN(2)/25)*DG95+(1-EXP(-LN(2)/25))/(LN(2)/25)*Calculateur!DB96*Calculateur!DD96*VLOOKUP('Données projet'!$B$13,Paramètres!$A$1:$I$88,3,0)*0.475*44/12</f>
        <v>0</v>
      </c>
      <c r="DH96" s="23">
        <f>EXP(-LN(2)/2)*DH95+(1-EXP(-LN(2)/2))/(LN(2)/2)*DB96*DE96*VLOOKUP('Données projet'!$B$13,Paramètres!$A$1:$I$88,3,0)*0.475*44/12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68.683985927286926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projet'!$B$14,Paramètres!$A$1:$I$88,3,0)*0.475*44/12</f>
        <v>#N/A</v>
      </c>
      <c r="EB96" s="23" t="e">
        <f>EXP(-LN(2)/25)*EB95+(1-EXP(-LN(2)/25))/(LN(2)/25)*Calculateur!DW96*Calculateur!DY96*VLOOKUP('Données projet'!$B$14,Paramètres!$A$1:$I$88,3,0)*0.475*44/12</f>
        <v>#N/A</v>
      </c>
      <c r="EC96" s="23" t="e">
        <f>EXP(-LN(2)/2)*EC95+(1-EXP(-LN(2)/2))/(LN(2)/2)*DW96*DZ96*VLOOKUP('Données projet'!$B$14,Paramètres!$A$1:$I$88,3,0)*0.475*44/12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68.683985927286926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68.683985927286926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68.683985927286926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68.683985927286926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1.34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4.9133333333333331</v>
      </c>
      <c r="H97" s="70">
        <f t="shared" si="56"/>
        <v>237.01333333333332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68.706815829281794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5.2</v>
      </c>
      <c r="N97" s="14">
        <f>IF('Données projet'!$A$36&gt;35,N96+M97-V96,IF(A97&lt;'Données projet'!$A$36,$K$205^A97,IF(A97='Données projet'!$A$36,'Données projet'!$B$36,N96+M97-V96)))</f>
        <v>294.79999999999967</v>
      </c>
      <c r="O97" s="14">
        <f>N97*VLOOKUP('Données projet'!$B$9,Paramètres!$A$1:$I$88,3,0)*VLOOKUP('Données projet'!$B$9,Paramètres!$A$1:$I$88,5,0)</f>
        <v>298.92719999999969</v>
      </c>
      <c r="P97" s="14">
        <f t="shared" si="87"/>
        <v>70.951516519653524</v>
      </c>
      <c r="Q97" s="22">
        <f t="shared" si="54"/>
        <v>644.20543127172925</v>
      </c>
      <c r="R97" s="62">
        <f t="shared" si="55"/>
        <v>932.79708931242908</v>
      </c>
      <c r="S97" s="62">
        <f ca="1">AVERAGE(OFFSET($R$3,0,0,'Données projet'!$E$9+1,1))-AVERAGE(OFFSET($H$3,0,0,'Données projet'!$E$9+1,1))</f>
        <v>488.16146816015231</v>
      </c>
      <c r="T97" s="62">
        <f t="shared" si="88"/>
        <v>259.37115195552127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0</v>
      </c>
      <c r="AA97" s="23">
        <f>EXP(-LN(2)/25)*AA96+(1-EXP(-LN(2)/25))/(LN(2)/25)*Calculateur!V97*Calculateur!X97*VLOOKUP('Données projet'!$B$9,Paramètres!$A$1:$I$88,3,0)*0.475*44/12</f>
        <v>0</v>
      </c>
      <c r="AB97" s="23">
        <f>EXP(-LN(2)/2)*AB96+(1-EXP(-LN(2)/2))/(LN(2)/2)*V97*Y97*VLOOKUP('Données projet'!$B$9,Paramètres!$A$1:$I$88,3,0)*0.475*44/12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68.706815829281794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5.2</v>
      </c>
      <c r="AI97" s="14">
        <f>IF('Données projet'!$A$62&gt;35,AI96+AH97-AQ96,IF(A97&lt;'Données projet'!$A$62,$AF$205^A97,IF(A97='Données projet'!$A$62,'Données projet'!$B$62,AI96+AH97-AQ96)))</f>
        <v>294.79999999999967</v>
      </c>
      <c r="AJ97" s="14">
        <f>AI97*VLOOKUP('Données projet'!$B$10,Paramètres!$A$1:$I$88,3,0)*VLOOKUP('Données projet'!$B$10,Paramètres!$A$1:$I$88,5,0)</f>
        <v>266.73503999999969</v>
      </c>
      <c r="AK97" s="14">
        <f t="shared" si="89"/>
        <v>64.155872510973168</v>
      </c>
      <c r="AL97" s="22">
        <f t="shared" si="58"/>
        <v>576.30167262327768</v>
      </c>
      <c r="AM97" s="62">
        <f t="shared" si="59"/>
        <v>864.89333066397762</v>
      </c>
      <c r="AN97" s="62">
        <f ca="1">AVERAGE(OFFSET($AM$3,0,0,'Données projet'!$E$10+1,1))-AVERAGE(OFFSET($H$3,0,0,'Données projet'!$E$10+1,1))</f>
        <v>441.34749554136755</v>
      </c>
      <c r="AO97" s="62">
        <f t="shared" si="90"/>
        <v>236.49038586666222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0</v>
      </c>
      <c r="AV97" s="23">
        <f>EXP(-LN(2)/25)*AV96+(1-EXP(-LN(2)/25))/(LN(2)/25)*Calculateur!AQ97*Calculateur!AS97*VLOOKUP('Données projet'!$B$10,Paramètres!$A$1:$I$88,3,0)*0.475*44/12</f>
        <v>0</v>
      </c>
      <c r="AW97" s="23">
        <f>EXP(-LN(2)/2)*AW96+(1-EXP(-LN(2)/2))/(LN(2)/2)*AQ97*AT97*VLOOKUP('Données projet'!$B$10,Paramètres!$A$1:$I$88,3,0)*0.475*44/12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68.706815829281794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5.2</v>
      </c>
      <c r="BD97" s="13">
        <f>IF('Données projet'!$A$88&gt;35,BD96+BC97-BL96,IF(A97&lt;'Données projet'!$A$88,$BA$205^A97,IF(A97='Données projet'!$A$88,'Données projet'!$B$88,BD96+BC97-BL96)))</f>
        <v>294.79999999999967</v>
      </c>
      <c r="BE97" s="14">
        <f>BD97*VLOOKUP('Données projet'!$B$11,Paramètres!$A$1:$I$88,3,0)*VLOOKUP('Données projet'!$B$11,Paramètres!$A$1:$I$88,5,0)</f>
        <v>317.32271999999961</v>
      </c>
      <c r="BF97" s="14">
        <f t="shared" si="91"/>
        <v>74.796021393862063</v>
      </c>
      <c r="BG97" s="22">
        <f t="shared" si="61"/>
        <v>682.94014126097579</v>
      </c>
      <c r="BH97" s="62">
        <f t="shared" si="62"/>
        <v>971.53179930167562</v>
      </c>
      <c r="BI97" s="62">
        <f ca="1">AVERAGE(OFFSET($BH$3,0,0,'Données projet'!$E$11+1,1))-AVERAGE(OFFSET($H$3,0,0,'Données projet'!$E$11+1,1))</f>
        <v>514.86487884889584</v>
      </c>
      <c r="BJ97" s="62">
        <f t="shared" si="92"/>
        <v>272.4206208356191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projet'!$B$11,Paramètres!$A$1:$I$88,3,0)*0.475*44/12</f>
        <v>0</v>
      </c>
      <c r="BQ97" s="23">
        <f>EXP(-LN(2)/25)*BQ96+(1-EXP(-LN(2)/25))/(LN(2)/25)*Calculateur!BL97*Calculateur!BN97*VLOOKUP('Données projet'!$B$11,Paramètres!$A$1:$I$88,3,0)*0.475*44/12</f>
        <v>0</v>
      </c>
      <c r="BR97" s="23">
        <f>EXP(-LN(2)/2)*BR96+(1-EXP(-LN(2)/2))/(LN(2)/2)*BL97*BO97*VLOOKUP('Données projet'!$B$11,Paramètres!$A$1:$I$88,3,0)*0.475*44/12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68.706815829281794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-1.7053025658242404E-13</v>
      </c>
      <c r="BZ97" s="14">
        <f>BY97*VLOOKUP('Données projet'!$B$12,Paramètres!$A$1:$I$88,3,0)*VLOOKUP('Données projet'!$B$12,Paramètres!$A$1:$I$88,5,0)</f>
        <v>-1.1173142411280423E-13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270.10151451661864</v>
      </c>
      <c r="CE97" s="62">
        <f t="shared" si="94"/>
        <v>294.47934482366804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projet'!$B$12,Paramètres!$A$1:$I$88,3,0)*0.475*44/12</f>
        <v>0</v>
      </c>
      <c r="CL97" s="23">
        <f>EXP(-LN(2)/25)*CL96+(1-EXP(-LN(2)/25))/(LN(2)/25)*Calculateur!CG97*Calculateur!CI97*VLOOKUP('Données projet'!$B$12,Paramètres!$A$1:$I$88,3,0)*0.475*44/12</f>
        <v>0</v>
      </c>
      <c r="CM97" s="23">
        <f>EXP(-LN(2)/2)*CM96+(1-EXP(-LN(2)/2))/(LN(2)/2)*CG97*CJ97*VLOOKUP('Données projet'!$B$12,Paramètres!$A$1:$I$88,3,0)*0.475*44/12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68.706815829281794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-1.7053025658242404E-13</v>
      </c>
      <c r="CU97" s="18">
        <f>CT97*VLOOKUP('Données projet'!$B$13,Paramètres!$A$1:$I$88,3,0)*VLOOKUP('Données projet'!$B$13,Paramètres!$A$1:$I$88,5,0)</f>
        <v>-1.1173142411280423E-13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270.10151451661864</v>
      </c>
      <c r="CZ97" s="62">
        <f t="shared" si="96"/>
        <v>294.47934482366804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projet'!$B$13,Paramètres!$A$1:$I$88,3,0)*0.475*44/12</f>
        <v>0</v>
      </c>
      <c r="DG97" s="23">
        <f>EXP(-LN(2)/25)*DG96+(1-EXP(-LN(2)/25))/(LN(2)/25)*Calculateur!DB97*Calculateur!DD97*VLOOKUP('Données projet'!$B$13,Paramètres!$A$1:$I$88,3,0)*0.475*44/12</f>
        <v>0</v>
      </c>
      <c r="DH97" s="23">
        <f>EXP(-LN(2)/2)*DH96+(1-EXP(-LN(2)/2))/(LN(2)/2)*DB97*DE97*VLOOKUP('Données projet'!$B$13,Paramètres!$A$1:$I$88,3,0)*0.475*44/12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68.706815829281794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projet'!$B$14,Paramètres!$A$1:$I$88,3,0)*0.475*44/12</f>
        <v>#N/A</v>
      </c>
      <c r="EB97" s="23" t="e">
        <f>EXP(-LN(2)/25)*EB96+(1-EXP(-LN(2)/25))/(LN(2)/25)*Calculateur!DW97*Calculateur!DY97*VLOOKUP('Données projet'!$B$14,Paramètres!$A$1:$I$88,3,0)*0.475*44/12</f>
        <v>#N/A</v>
      </c>
      <c r="EC97" s="23" t="e">
        <f>EXP(-LN(2)/2)*EC96+(1-EXP(-LN(2)/2))/(LN(2)/2)*DW97*DZ97*VLOOKUP('Données projet'!$B$14,Paramètres!$A$1:$I$88,3,0)*0.475*44/12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68.706815829281794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68.706815829281794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68.706815829281794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68.706815829281794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1.34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4.9133333333333331</v>
      </c>
      <c r="H98" s="70">
        <f t="shared" si="56"/>
        <v>237.01333333333332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68.729249683517082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300</v>
      </c>
      <c r="L98" s="13">
        <f>VLOOKUP(A98,'Données projet'!$A$35:$I$55,9,0)</f>
        <v>5.2</v>
      </c>
      <c r="M98" s="13">
        <f t="array" ref="M98">INDEX(L:L,MIN(IF(ISNUMBER(L98:L294),ROW(L98:L294),"")))</f>
        <v>5.2</v>
      </c>
      <c r="N98" s="14">
        <f>IF('Données projet'!$A$36&gt;35,N97+M98-V97,IF(A98&lt;'Données projet'!$A$36,$K$205^A98,IF(A98='Données projet'!$A$36,'Données projet'!$B$36,N97+M98-V97)))</f>
        <v>299.99999999999966</v>
      </c>
      <c r="O98" s="14">
        <f>N98*VLOOKUP('Données projet'!$B$9,Paramètres!$A$1:$I$88,3,0)*VLOOKUP('Données projet'!$B$9,Paramètres!$A$1:$I$88,5,0)</f>
        <v>304.19999999999965</v>
      </c>
      <c r="P98" s="14">
        <f t="shared" si="87"/>
        <v>72.056231093481003</v>
      </c>
      <c r="Q98" s="22">
        <f t="shared" si="54"/>
        <v>655.31293582114552</v>
      </c>
      <c r="R98" s="62">
        <f t="shared" si="55"/>
        <v>943.98685132737478</v>
      </c>
      <c r="S98" s="62">
        <f ca="1">AVERAGE(OFFSET($R$3,0,0,'Données projet'!$E$9+1,1))-AVERAGE(OFFSET($H$3,0,0,'Données projet'!$E$9+1,1))</f>
        <v>488.16146816015231</v>
      </c>
      <c r="T98" s="62">
        <f t="shared" si="88"/>
        <v>259.37115195552127</v>
      </c>
      <c r="U98" s="16">
        <f>IF(ISNA(VLOOKUP(A98,'Données projet'!$A$35:$I$55,3,0)),0,VLOOKUP(A98,'Données projet'!$A$35:$I$55,3,0))</f>
        <v>8</v>
      </c>
      <c r="V98" s="16">
        <f>IF(ISNA(VLOOKUP(A98,'Données projet'!$A$35:$I$55,4,0)),0,VLOOKUP(A98,'Données projet'!$A$35:$I$55,4,0))</f>
        <v>42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0</v>
      </c>
      <c r="AA98" s="23">
        <f>EXP(-LN(2)/25)*AA97+(1-EXP(-LN(2)/25))/(LN(2)/25)*Calculateur!V98*Calculateur!X98*VLOOKUP('Données projet'!$B$9,Paramètres!$A$1:$I$88,3,0)*0.475*44/12</f>
        <v>0</v>
      </c>
      <c r="AB98" s="23">
        <f>EXP(-LN(2)/2)*AB97+(1-EXP(-LN(2)/2))/(LN(2)/2)*V98*Y98*VLOOKUP('Données projet'!$B$9,Paramètres!$A$1:$I$88,3,0)*0.475*44/12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68.729249683517082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300</v>
      </c>
      <c r="AG98" s="13">
        <f>VLOOKUP(A98,'Données projet'!$A$61:$I$81,9,0)</f>
        <v>5.2</v>
      </c>
      <c r="AH98" s="13">
        <f t="array" ref="AH98">INDEX(AG:AG,MIN(IF(ISNUMBER(AG98:AG294),ROW(AG98:AG294),"")))</f>
        <v>5.2</v>
      </c>
      <c r="AI98" s="14">
        <f>IF('Données projet'!$A$62&gt;35,AI97+AH98-AQ97,IF(A98&lt;'Données projet'!$A$62,$AF$205^A98,IF(A98='Données projet'!$A$62,'Données projet'!$B$62,AI97+AH98-AQ97)))</f>
        <v>299.99999999999966</v>
      </c>
      <c r="AJ98" s="14">
        <f>AI98*VLOOKUP('Données projet'!$B$10,Paramètres!$A$1:$I$88,3,0)*VLOOKUP('Données projet'!$B$10,Paramètres!$A$1:$I$88,5,0)</f>
        <v>271.43999999999971</v>
      </c>
      <c r="AK98" s="14">
        <f t="shared" si="89"/>
        <v>65.154778959151116</v>
      </c>
      <c r="AL98" s="22">
        <f t="shared" si="58"/>
        <v>586.23590668718782</v>
      </c>
      <c r="AM98" s="62">
        <f t="shared" si="59"/>
        <v>874.90982219341709</v>
      </c>
      <c r="AN98" s="62">
        <f ca="1">AVERAGE(OFFSET($AM$3,0,0,'Données projet'!$E$10+1,1))-AVERAGE(OFFSET($H$3,0,0,'Données projet'!$E$10+1,1))</f>
        <v>441.34749554136755</v>
      </c>
      <c r="AO98" s="62">
        <f t="shared" si="90"/>
        <v>236.49038586666222</v>
      </c>
      <c r="AP98" s="16">
        <f>IF(ISNA(VLOOKUP(A98,'Données projet'!$A$61:$I$81,3,0)),0,VLOOKUP(A98,'Données projet'!$A$61:$I$81,3,0))</f>
        <v>8</v>
      </c>
      <c r="AQ98" s="16">
        <f>IF(ISNA(VLOOKUP(A98,'Données projet'!$A$61:$I$81,4,0)),0,VLOOKUP(A98,'Données projet'!$A$61:$I$81,4,0))</f>
        <v>42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0</v>
      </c>
      <c r="AV98" s="23">
        <f>EXP(-LN(2)/25)*AV97+(1-EXP(-LN(2)/25))/(LN(2)/25)*Calculateur!AQ98*Calculateur!AS98*VLOOKUP('Données projet'!$B$10,Paramètres!$A$1:$I$88,3,0)*0.475*44/12</f>
        <v>0</v>
      </c>
      <c r="AW98" s="23">
        <f>EXP(-LN(2)/2)*AW97+(1-EXP(-LN(2)/2))/(LN(2)/2)*AQ98*AT98*VLOOKUP('Données projet'!$B$10,Paramètres!$A$1:$I$88,3,0)*0.475*44/12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68.729249683517082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300</v>
      </c>
      <c r="BB98" s="13">
        <f>VLOOKUP(A98,'Données projet'!$A$87:$I$107,9,0)</f>
        <v>5.2</v>
      </c>
      <c r="BC98" s="13">
        <f t="array" ref="BC98">INDEX(BB:BB,MIN(IF(ISNUMBER(BB98:BB294),ROW(BB98:BB294),"")))</f>
        <v>5.2</v>
      </c>
      <c r="BD98" s="13">
        <f>IF('Données projet'!$A$88&gt;35,BD97+BC98-BL97,IF(A98&lt;'Données projet'!$A$88,$BA$205^A98,IF(A98='Données projet'!$A$88,'Données projet'!$B$88,BD97+BC98-BL97)))</f>
        <v>299.99999999999966</v>
      </c>
      <c r="BE98" s="14">
        <f>BD98*VLOOKUP('Données projet'!$B$11,Paramètres!$A$1:$I$88,3,0)*VLOOKUP('Données projet'!$B$11,Paramètres!$A$1:$I$88,5,0)</f>
        <v>322.91999999999962</v>
      </c>
      <c r="BF98" s="14">
        <f t="shared" si="91"/>
        <v>75.960594879408688</v>
      </c>
      <c r="BG98" s="22">
        <f t="shared" si="61"/>
        <v>694.71703608163614</v>
      </c>
      <c r="BH98" s="62">
        <f t="shared" si="62"/>
        <v>983.3909515878654</v>
      </c>
      <c r="BI98" s="62">
        <f ca="1">AVERAGE(OFFSET($BH$3,0,0,'Données projet'!$E$11+1,1))-AVERAGE(OFFSET($H$3,0,0,'Données projet'!$E$11+1,1))</f>
        <v>514.86487884889584</v>
      </c>
      <c r="BJ98" s="62">
        <f t="shared" si="92"/>
        <v>272.4206208356191</v>
      </c>
      <c r="BK98" s="16">
        <f>IF(ISNA(VLOOKUP(A98,'Données projet'!$A$87:$I$107,3,0)),0,VLOOKUP(A98,'Données projet'!$A$87:$I$107,3,0))</f>
        <v>8</v>
      </c>
      <c r="BL98" s="16">
        <f>IF(ISNA(VLOOKUP(A98,'Données projet'!$A$87:$I$107,4,0)),0,VLOOKUP(A98,'Données projet'!$A$87:$I$107,4,0))</f>
        <v>42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projet'!$B$11,Paramètres!$A$1:$I$88,3,0)*0.475*44/12</f>
        <v>0</v>
      </c>
      <c r="BQ98" s="23">
        <f>EXP(-LN(2)/25)*BQ97+(1-EXP(-LN(2)/25))/(LN(2)/25)*Calculateur!BL98*Calculateur!BN98*VLOOKUP('Données projet'!$B$11,Paramètres!$A$1:$I$88,3,0)*0.475*44/12</f>
        <v>0</v>
      </c>
      <c r="BR98" s="23">
        <f>EXP(-LN(2)/2)*BR97+(1-EXP(-LN(2)/2))/(LN(2)/2)*BL98*BO98*VLOOKUP('Données projet'!$B$11,Paramètres!$A$1:$I$88,3,0)*0.475*44/12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68.729249683517082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-1.7053025658242404E-13</v>
      </c>
      <c r="BZ98" s="14">
        <f>BY98*VLOOKUP('Données projet'!$B$12,Paramètres!$A$1:$I$88,3,0)*VLOOKUP('Données projet'!$B$12,Paramètres!$A$1:$I$88,5,0)</f>
        <v>-1.1173142411280423E-13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270.10151451661864</v>
      </c>
      <c r="CE98" s="62">
        <f t="shared" si="94"/>
        <v>294.47934482366804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projet'!$B$12,Paramètres!$A$1:$I$88,3,0)*0.475*44/12</f>
        <v>0</v>
      </c>
      <c r="CL98" s="23">
        <f>EXP(-LN(2)/25)*CL97+(1-EXP(-LN(2)/25))/(LN(2)/25)*Calculateur!CG98*Calculateur!CI98*VLOOKUP('Données projet'!$B$12,Paramètres!$A$1:$I$88,3,0)*0.475*44/12</f>
        <v>0</v>
      </c>
      <c r="CM98" s="23">
        <f>EXP(-LN(2)/2)*CM97+(1-EXP(-LN(2)/2))/(LN(2)/2)*CG98*CJ98*VLOOKUP('Données projet'!$B$12,Paramètres!$A$1:$I$88,3,0)*0.475*44/12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68.729249683517082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-1.7053025658242404E-13</v>
      </c>
      <c r="CU98" s="18">
        <f>CT98*VLOOKUP('Données projet'!$B$13,Paramètres!$A$1:$I$88,3,0)*VLOOKUP('Données projet'!$B$13,Paramètres!$A$1:$I$88,5,0)</f>
        <v>-1.1173142411280423E-13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270.10151451661864</v>
      </c>
      <c r="CZ98" s="62">
        <f t="shared" si="96"/>
        <v>294.47934482366804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projet'!$B$13,Paramètres!$A$1:$I$88,3,0)*0.475*44/12</f>
        <v>0</v>
      </c>
      <c r="DG98" s="23">
        <f>EXP(-LN(2)/25)*DG97+(1-EXP(-LN(2)/25))/(LN(2)/25)*Calculateur!DB98*Calculateur!DD98*VLOOKUP('Données projet'!$B$13,Paramètres!$A$1:$I$88,3,0)*0.475*44/12</f>
        <v>0</v>
      </c>
      <c r="DH98" s="23">
        <f>EXP(-LN(2)/2)*DH97+(1-EXP(-LN(2)/2))/(LN(2)/2)*DB98*DE98*VLOOKUP('Données projet'!$B$13,Paramètres!$A$1:$I$88,3,0)*0.475*44/12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68.729249683517082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projet'!$B$14,Paramètres!$A$1:$I$88,3,0)*0.475*44/12</f>
        <v>#N/A</v>
      </c>
      <c r="EB98" s="23" t="e">
        <f>EXP(-LN(2)/25)*EB97+(1-EXP(-LN(2)/25))/(LN(2)/25)*Calculateur!DW98*Calculateur!DY98*VLOOKUP('Données projet'!$B$14,Paramètres!$A$1:$I$88,3,0)*0.475*44/12</f>
        <v>#N/A</v>
      </c>
      <c r="EC98" s="23" t="e">
        <f>EXP(-LN(2)/2)*EC97+(1-EXP(-LN(2)/2))/(LN(2)/2)*DW98*DZ98*VLOOKUP('Données projet'!$B$14,Paramètres!$A$1:$I$88,3,0)*0.475*44/12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68.729249683517082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68.729249683517082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68.729249683517082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68.729249683517082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1.34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4.9133333333333331</v>
      </c>
      <c r="H99" s="70">
        <f t="shared" si="56"/>
        <v>237.01333333333332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68.751294360535951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4.7</v>
      </c>
      <c r="N99" s="14">
        <f>IF('Données projet'!$A$36&gt;35,N98+M99-V98,IF(A99&lt;'Données projet'!$A$36,$K$205^A99,IF(A99='Données projet'!$A$36,'Données projet'!$B$36,N98+M99-V98)))</f>
        <v>262.69999999999965</v>
      </c>
      <c r="O99" s="14">
        <f>N99*VLOOKUP('Données projet'!$B$9,Paramètres!$A$1:$I$88,3,0)*VLOOKUP('Données projet'!$B$9,Paramètres!$A$1:$I$88,5,0)</f>
        <v>266.37779999999964</v>
      </c>
      <c r="P99" s="14">
        <f t="shared" si="87"/>
        <v>64.079943804672666</v>
      </c>
      <c r="Q99" s="22">
        <f t="shared" ref="Q99:Q130" si="107">(O99+P99)*0.475*44/12</f>
        <v>575.54723712647092</v>
      </c>
      <c r="R99" s="62">
        <f t="shared" si="55"/>
        <v>864.30198311510276</v>
      </c>
      <c r="S99" s="62">
        <f ca="1">AVERAGE(OFFSET($R$3,0,0,'Données projet'!$E$9+1,1))-AVERAGE(OFFSET($H$3,0,0,'Données projet'!$E$9+1,1))</f>
        <v>488.16146816015231</v>
      </c>
      <c r="T99" s="62">
        <f t="shared" si="88"/>
        <v>259.37115195552127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0</v>
      </c>
      <c r="AA99" s="23">
        <f>EXP(-LN(2)/25)*AA98+(1-EXP(-LN(2)/25))/(LN(2)/25)*Calculateur!V99*Calculateur!X99*VLOOKUP('Données projet'!$B$9,Paramètres!$A$1:$I$88,3,0)*0.475*44/12</f>
        <v>0</v>
      </c>
      <c r="AB99" s="23">
        <f>EXP(-LN(2)/2)*AB98+(1-EXP(-LN(2)/2))/(LN(2)/2)*V99*Y99*VLOOKUP('Données projet'!$B$9,Paramètres!$A$1:$I$88,3,0)*0.475*44/12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68.751294360535951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4.7</v>
      </c>
      <c r="AI99" s="14">
        <f>IF('Données projet'!$A$62&gt;35,AI98+AH99-AQ98,IF(A99&lt;'Données projet'!$A$62,$AF$205^A99,IF(A99='Données projet'!$A$62,'Données projet'!$B$62,AI98+AH99-AQ98)))</f>
        <v>262.69999999999965</v>
      </c>
      <c r="AJ99" s="14">
        <f>AI99*VLOOKUP('Données projet'!$B$10,Paramètres!$A$1:$I$88,3,0)*VLOOKUP('Données projet'!$B$10,Paramètres!$A$1:$I$88,5,0)</f>
        <v>237.69095999999968</v>
      </c>
      <c r="AK99" s="14">
        <f t="shared" si="89"/>
        <v>57.942450096949344</v>
      </c>
      <c r="AL99" s="22">
        <f t="shared" si="58"/>
        <v>514.89485591885284</v>
      </c>
      <c r="AM99" s="62">
        <f t="shared" si="59"/>
        <v>803.64960190748468</v>
      </c>
      <c r="AN99" s="62">
        <f ca="1">AVERAGE(OFFSET($AM$3,0,0,'Données projet'!$E$10+1,1))-AVERAGE(OFFSET($H$3,0,0,'Données projet'!$E$10+1,1))</f>
        <v>441.34749554136755</v>
      </c>
      <c r="AO99" s="62">
        <f t="shared" si="90"/>
        <v>236.49038586666222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0</v>
      </c>
      <c r="AV99" s="23">
        <f>EXP(-LN(2)/25)*AV98+(1-EXP(-LN(2)/25))/(LN(2)/25)*Calculateur!AQ99*Calculateur!AS99*VLOOKUP('Données projet'!$B$10,Paramètres!$A$1:$I$88,3,0)*0.475*44/12</f>
        <v>0</v>
      </c>
      <c r="AW99" s="23">
        <f>EXP(-LN(2)/2)*AW98+(1-EXP(-LN(2)/2))/(LN(2)/2)*AQ99*AT99*VLOOKUP('Données projet'!$B$10,Paramètres!$A$1:$I$88,3,0)*0.475*44/12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68.751294360535951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4.7</v>
      </c>
      <c r="BD99" s="13">
        <f>IF('Données projet'!$A$88&gt;35,BD98+BC99-BL98,IF(A99&lt;'Données projet'!$A$88,$BA$205^A99,IF(A99='Données projet'!$A$88,'Données projet'!$B$88,BD98+BC99-BL98)))</f>
        <v>262.69999999999965</v>
      </c>
      <c r="BE99" s="14">
        <f>BD99*VLOOKUP('Données projet'!$B$11,Paramètres!$A$1:$I$88,3,0)*VLOOKUP('Données projet'!$B$11,Paramètres!$A$1:$I$88,5,0)</f>
        <v>282.77027999999962</v>
      </c>
      <c r="BF99" s="14">
        <f t="shared" si="91"/>
        <v>67.55211280655486</v>
      </c>
      <c r="BG99" s="22">
        <f t="shared" si="61"/>
        <v>610.14483413808227</v>
      </c>
      <c r="BH99" s="62">
        <f t="shared" si="62"/>
        <v>898.89958012671411</v>
      </c>
      <c r="BI99" s="62">
        <f ca="1">AVERAGE(OFFSET($BH$3,0,0,'Données projet'!$E$11+1,1))-AVERAGE(OFFSET($H$3,0,0,'Données projet'!$E$11+1,1))</f>
        <v>514.86487884889584</v>
      </c>
      <c r="BJ99" s="62">
        <f t="shared" si="92"/>
        <v>272.4206208356191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projet'!$B$11,Paramètres!$A$1:$I$88,3,0)*0.475*44/12</f>
        <v>0</v>
      </c>
      <c r="BQ99" s="23">
        <f>EXP(-LN(2)/25)*BQ98+(1-EXP(-LN(2)/25))/(LN(2)/25)*Calculateur!BL99*Calculateur!BN99*VLOOKUP('Données projet'!$B$11,Paramètres!$A$1:$I$88,3,0)*0.475*44/12</f>
        <v>0</v>
      </c>
      <c r="BR99" s="23">
        <f>EXP(-LN(2)/2)*BR98+(1-EXP(-LN(2)/2))/(LN(2)/2)*BL99*BO99*VLOOKUP('Données projet'!$B$11,Paramètres!$A$1:$I$88,3,0)*0.475*44/12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68.751294360535951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-1.7053025658242404E-13</v>
      </c>
      <c r="BZ99" s="14">
        <f>BY99*VLOOKUP('Données projet'!$B$12,Paramètres!$A$1:$I$88,3,0)*VLOOKUP('Données projet'!$B$12,Paramètres!$A$1:$I$88,5,0)</f>
        <v>-1.1173142411280423E-13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270.10151451661864</v>
      </c>
      <c r="CE99" s="62">
        <f t="shared" si="94"/>
        <v>294.47934482366804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projet'!$B$12,Paramètres!$A$1:$I$88,3,0)*0.475*44/12</f>
        <v>0</v>
      </c>
      <c r="CL99" s="23">
        <f>EXP(-LN(2)/25)*CL98+(1-EXP(-LN(2)/25))/(LN(2)/25)*Calculateur!CG99*Calculateur!CI99*VLOOKUP('Données projet'!$B$12,Paramètres!$A$1:$I$88,3,0)*0.475*44/12</f>
        <v>0</v>
      </c>
      <c r="CM99" s="23">
        <f>EXP(-LN(2)/2)*CM98+(1-EXP(-LN(2)/2))/(LN(2)/2)*CG99*CJ99*VLOOKUP('Données projet'!$B$12,Paramètres!$A$1:$I$88,3,0)*0.475*44/12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68.751294360535951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-1.7053025658242404E-13</v>
      </c>
      <c r="CU99" s="18">
        <f>CT99*VLOOKUP('Données projet'!$B$13,Paramètres!$A$1:$I$88,3,0)*VLOOKUP('Données projet'!$B$13,Paramètres!$A$1:$I$88,5,0)</f>
        <v>-1.1173142411280423E-13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270.10151451661864</v>
      </c>
      <c r="CZ99" s="62">
        <f t="shared" si="96"/>
        <v>294.47934482366804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projet'!$B$13,Paramètres!$A$1:$I$88,3,0)*0.475*44/12</f>
        <v>0</v>
      </c>
      <c r="DG99" s="23">
        <f>EXP(-LN(2)/25)*DG98+(1-EXP(-LN(2)/25))/(LN(2)/25)*Calculateur!DB99*Calculateur!DD99*VLOOKUP('Données projet'!$B$13,Paramètres!$A$1:$I$88,3,0)*0.475*44/12</f>
        <v>0</v>
      </c>
      <c r="DH99" s="23">
        <f>EXP(-LN(2)/2)*DH98+(1-EXP(-LN(2)/2))/(LN(2)/2)*DB99*DE99*VLOOKUP('Données projet'!$B$13,Paramètres!$A$1:$I$88,3,0)*0.475*44/12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68.751294360535951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projet'!$B$14,Paramètres!$A$1:$I$88,3,0)*0.475*44/12</f>
        <v>#N/A</v>
      </c>
      <c r="EB99" s="23" t="e">
        <f>EXP(-LN(2)/25)*EB98+(1-EXP(-LN(2)/25))/(LN(2)/25)*Calculateur!DW99*Calculateur!DY99*VLOOKUP('Données projet'!$B$14,Paramètres!$A$1:$I$88,3,0)*0.475*44/12</f>
        <v>#N/A</v>
      </c>
      <c r="EC99" s="23" t="e">
        <f>EXP(-LN(2)/2)*EC98+(1-EXP(-LN(2)/2))/(LN(2)/2)*DW99*DZ99*VLOOKUP('Données projet'!$B$14,Paramètres!$A$1:$I$88,3,0)*0.475*44/12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68.751294360535951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68.751294360535951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68.751294360535951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68.751294360535951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1.34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4.9133333333333331</v>
      </c>
      <c r="H100" s="70">
        <f t="shared" si="56"/>
        <v>237.01333333333332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68.772956611693076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4.7</v>
      </c>
      <c r="N100" s="14">
        <f>IF('Données projet'!$A$36&gt;35,N99+M100-V99,IF(A100&lt;'Données projet'!$A$36,$K$205^A100,IF(A100='Données projet'!$A$36,'Données projet'!$B$36,N99+M100-V99)))</f>
        <v>267.39999999999964</v>
      </c>
      <c r="O100" s="14">
        <f>N100*VLOOKUP('Données projet'!$B$9,Paramètres!$A$1:$I$88,3,0)*VLOOKUP('Données projet'!$B$9,Paramètres!$A$1:$I$88,5,0)</f>
        <v>271.14359999999965</v>
      </c>
      <c r="P100" s="14">
        <f t="shared" si="87"/>
        <v>65.091910336447413</v>
      </c>
      <c r="Q100" s="22">
        <f t="shared" si="107"/>
        <v>585.61018050264533</v>
      </c>
      <c r="R100" s="62">
        <f t="shared" si="55"/>
        <v>874.44435474551995</v>
      </c>
      <c r="S100" s="62">
        <f ca="1">AVERAGE(OFFSET($R$3,0,0,'Données projet'!$E$9+1,1))-AVERAGE(OFFSET($H$3,0,0,'Données projet'!$E$9+1,1))</f>
        <v>488.16146816015231</v>
      </c>
      <c r="T100" s="62">
        <f t="shared" si="88"/>
        <v>259.37115195552127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0</v>
      </c>
      <c r="AA100" s="23">
        <f>EXP(-LN(2)/25)*AA99+(1-EXP(-LN(2)/25))/(LN(2)/25)*Calculateur!V100*Calculateur!X100*VLOOKUP('Données projet'!$B$9,Paramètres!$A$1:$I$88,3,0)*0.475*44/12</f>
        <v>0</v>
      </c>
      <c r="AB100" s="23">
        <f>EXP(-LN(2)/2)*AB99+(1-EXP(-LN(2)/2))/(LN(2)/2)*V100*Y100*VLOOKUP('Données projet'!$B$9,Paramètres!$A$1:$I$88,3,0)*0.475*44/12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68.772956611693076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4.7</v>
      </c>
      <c r="AI100" s="14">
        <f>IF('Données projet'!$A$62&gt;35,AI99+AH100-AQ99,IF(A100&lt;'Données projet'!$A$62,$AF$205^A100,IF(A100='Données projet'!$A$62,'Données projet'!$B$62,AI99+AH100-AQ99)))</f>
        <v>267.39999999999964</v>
      </c>
      <c r="AJ100" s="14">
        <f>AI100*VLOOKUP('Données projet'!$B$10,Paramètres!$A$1:$I$88,3,0)*VLOOKUP('Données projet'!$B$10,Paramètres!$A$1:$I$88,5,0)</f>
        <v>241.94351999999967</v>
      </c>
      <c r="AK100" s="14">
        <f t="shared" si="89"/>
        <v>58.857491789961337</v>
      </c>
      <c r="AL100" s="22">
        <f t="shared" si="58"/>
        <v>523.89509553418213</v>
      </c>
      <c r="AM100" s="62">
        <f t="shared" si="59"/>
        <v>812.72926977705674</v>
      </c>
      <c r="AN100" s="62">
        <f ca="1">AVERAGE(OFFSET($AM$3,0,0,'Données projet'!$E$10+1,1))-AVERAGE(OFFSET($H$3,0,0,'Données projet'!$E$10+1,1))</f>
        <v>441.34749554136755</v>
      </c>
      <c r="AO100" s="62">
        <f t="shared" si="90"/>
        <v>236.49038586666222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0</v>
      </c>
      <c r="AV100" s="23">
        <f>EXP(-LN(2)/25)*AV99+(1-EXP(-LN(2)/25))/(LN(2)/25)*Calculateur!AQ100*Calculateur!AS100*VLOOKUP('Données projet'!$B$10,Paramètres!$A$1:$I$88,3,0)*0.475*44/12</f>
        <v>0</v>
      </c>
      <c r="AW100" s="23">
        <f>EXP(-LN(2)/2)*AW99+(1-EXP(-LN(2)/2))/(LN(2)/2)*AQ100*AT100*VLOOKUP('Données projet'!$B$10,Paramètres!$A$1:$I$88,3,0)*0.475*44/12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68.772956611693076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4.7</v>
      </c>
      <c r="BD100" s="13">
        <f>IF('Données projet'!$A$88&gt;35,BD99+BC100-BL99,IF(A100&lt;'Données projet'!$A$88,$BA$205^A100,IF(A100='Données projet'!$A$88,'Données projet'!$B$88,BD99+BC100-BL99)))</f>
        <v>267.39999999999964</v>
      </c>
      <c r="BE100" s="14">
        <f>BD100*VLOOKUP('Données projet'!$B$11,Paramètres!$A$1:$I$88,3,0)*VLOOKUP('Données projet'!$B$11,Paramètres!$A$1:$I$88,5,0)</f>
        <v>287.82935999999961</v>
      </c>
      <c r="BF100" s="14">
        <f t="shared" si="91"/>
        <v>68.61891270137501</v>
      </c>
      <c r="BG100" s="22">
        <f t="shared" si="61"/>
        <v>620.81407495489407</v>
      </c>
      <c r="BH100" s="62">
        <f t="shared" si="62"/>
        <v>909.64824919776868</v>
      </c>
      <c r="BI100" s="62">
        <f ca="1">AVERAGE(OFFSET($BH$3,0,0,'Données projet'!$E$11+1,1))-AVERAGE(OFFSET($H$3,0,0,'Données projet'!$E$11+1,1))</f>
        <v>514.86487884889584</v>
      </c>
      <c r="BJ100" s="62">
        <f t="shared" si="92"/>
        <v>272.4206208356191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projet'!$B$11,Paramètres!$A$1:$I$88,3,0)*0.475*44/12</f>
        <v>0</v>
      </c>
      <c r="BQ100" s="23">
        <f>EXP(-LN(2)/25)*BQ99+(1-EXP(-LN(2)/25))/(LN(2)/25)*Calculateur!BL100*Calculateur!BN100*VLOOKUP('Données projet'!$B$11,Paramètres!$A$1:$I$88,3,0)*0.475*44/12</f>
        <v>0</v>
      </c>
      <c r="BR100" s="23">
        <f>EXP(-LN(2)/2)*BR99+(1-EXP(-LN(2)/2))/(LN(2)/2)*BL100*BO100*VLOOKUP('Données projet'!$B$11,Paramètres!$A$1:$I$88,3,0)*0.475*44/12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68.772956611693076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-1.7053025658242404E-13</v>
      </c>
      <c r="BZ100" s="14">
        <f>BY100*VLOOKUP('Données projet'!$B$12,Paramètres!$A$1:$I$88,3,0)*VLOOKUP('Données projet'!$B$12,Paramètres!$A$1:$I$88,5,0)</f>
        <v>-1.1173142411280423E-13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270.10151451661864</v>
      </c>
      <c r="CE100" s="62">
        <f t="shared" si="94"/>
        <v>294.47934482366804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projet'!$B$12,Paramètres!$A$1:$I$88,3,0)*0.475*44/12</f>
        <v>0</v>
      </c>
      <c r="CL100" s="23">
        <f>EXP(-LN(2)/25)*CL99+(1-EXP(-LN(2)/25))/(LN(2)/25)*Calculateur!CG100*Calculateur!CI100*VLOOKUP('Données projet'!$B$12,Paramètres!$A$1:$I$88,3,0)*0.475*44/12</f>
        <v>0</v>
      </c>
      <c r="CM100" s="23">
        <f>EXP(-LN(2)/2)*CM99+(1-EXP(-LN(2)/2))/(LN(2)/2)*CG100*CJ100*VLOOKUP('Données projet'!$B$12,Paramètres!$A$1:$I$88,3,0)*0.475*44/12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68.772956611693076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-1.7053025658242404E-13</v>
      </c>
      <c r="CU100" s="18">
        <f>CT100*VLOOKUP('Données projet'!$B$13,Paramètres!$A$1:$I$88,3,0)*VLOOKUP('Données projet'!$B$13,Paramètres!$A$1:$I$88,5,0)</f>
        <v>-1.1173142411280423E-13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270.10151451661864</v>
      </c>
      <c r="CZ100" s="62">
        <f t="shared" si="96"/>
        <v>294.47934482366804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projet'!$B$13,Paramètres!$A$1:$I$88,3,0)*0.475*44/12</f>
        <v>0</v>
      </c>
      <c r="DG100" s="23">
        <f>EXP(-LN(2)/25)*DG99+(1-EXP(-LN(2)/25))/(LN(2)/25)*Calculateur!DB100*Calculateur!DD100*VLOOKUP('Données projet'!$B$13,Paramètres!$A$1:$I$88,3,0)*0.475*44/12</f>
        <v>0</v>
      </c>
      <c r="DH100" s="23">
        <f>EXP(-LN(2)/2)*DH99+(1-EXP(-LN(2)/2))/(LN(2)/2)*DB100*DE100*VLOOKUP('Données projet'!$B$13,Paramètres!$A$1:$I$88,3,0)*0.475*44/12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68.772956611693076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projet'!$B$14,Paramètres!$A$1:$I$88,3,0)*0.475*44/12</f>
        <v>#N/A</v>
      </c>
      <c r="EB100" s="23" t="e">
        <f>EXP(-LN(2)/25)*EB99+(1-EXP(-LN(2)/25))/(LN(2)/25)*Calculateur!DW100*Calculateur!DY100*VLOOKUP('Données projet'!$B$14,Paramètres!$A$1:$I$88,3,0)*0.475*44/12</f>
        <v>#N/A</v>
      </c>
      <c r="EC100" s="23" t="e">
        <f>EXP(-LN(2)/2)*EC99+(1-EXP(-LN(2)/2))/(LN(2)/2)*DW100*DZ100*VLOOKUP('Données projet'!$B$14,Paramètres!$A$1:$I$88,3,0)*0.475*44/12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68.772956611693076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68.772956611693076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68.772956611693076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68.772956611693076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1.34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4.9133333333333331</v>
      </c>
      <c r="H101" s="70">
        <f t="shared" si="56"/>
        <v>237.01333333333332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68.794243071222155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4.7</v>
      </c>
      <c r="N101" s="14">
        <f>IF('Données projet'!$A$36&gt;35,N100+M101-V100,IF(A101&lt;'Données projet'!$A$36,$K$205^A101,IF(A101='Données projet'!$A$36,'Données projet'!$B$36,N100+M101-V100)))</f>
        <v>272.09999999999962</v>
      </c>
      <c r="O101" s="14">
        <f>N101*VLOOKUP('Données projet'!$B$9,Paramètres!$A$1:$I$88,3,0)*VLOOKUP('Données projet'!$B$9,Paramètres!$A$1:$I$88,5,0)</f>
        <v>275.90939999999961</v>
      </c>
      <c r="P101" s="14">
        <f t="shared" si="87"/>
        <v>66.101808465810961</v>
      </c>
      <c r="Q101" s="22">
        <f t="shared" si="107"/>
        <v>595.66952141128684</v>
      </c>
      <c r="R101" s="62">
        <f t="shared" si="55"/>
        <v>884.58174600576808</v>
      </c>
      <c r="S101" s="62">
        <f ca="1">AVERAGE(OFFSET($R$3,0,0,'Données projet'!$E$9+1,1))-AVERAGE(OFFSET($H$3,0,0,'Données projet'!$E$9+1,1))</f>
        <v>488.16146816015231</v>
      </c>
      <c r="T101" s="62">
        <f t="shared" si="88"/>
        <v>259.37115195552127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0</v>
      </c>
      <c r="AA101" s="23">
        <f>EXP(-LN(2)/25)*AA100+(1-EXP(-LN(2)/25))/(LN(2)/25)*Calculateur!V101*Calculateur!X101*VLOOKUP('Données projet'!$B$9,Paramètres!$A$1:$I$88,3,0)*0.475*44/12</f>
        <v>0</v>
      </c>
      <c r="AB101" s="23">
        <f>EXP(-LN(2)/2)*AB100+(1-EXP(-LN(2)/2))/(LN(2)/2)*V101*Y101*VLOOKUP('Données projet'!$B$9,Paramètres!$A$1:$I$88,3,0)*0.475*44/12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68.794243071222155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4.7</v>
      </c>
      <c r="AI101" s="14">
        <f>IF('Données projet'!$A$62&gt;35,AI100+AH101-AQ100,IF(A101&lt;'Données projet'!$A$62,$AF$205^A101,IF(A101='Données projet'!$A$62,'Données projet'!$B$62,AI100+AH101-AQ100)))</f>
        <v>272.09999999999962</v>
      </c>
      <c r="AJ101" s="14">
        <f>AI101*VLOOKUP('Données projet'!$B$10,Paramètres!$A$1:$I$88,3,0)*VLOOKUP('Données projet'!$B$10,Paramètres!$A$1:$I$88,5,0)</f>
        <v>246.19607999999968</v>
      </c>
      <c r="AK101" s="14">
        <f t="shared" si="89"/>
        <v>59.770663189456016</v>
      </c>
      <c r="AL101" s="22">
        <f t="shared" si="58"/>
        <v>532.89207772163536</v>
      </c>
      <c r="AM101" s="62">
        <f t="shared" si="59"/>
        <v>821.8043023161166</v>
      </c>
      <c r="AN101" s="62">
        <f ca="1">AVERAGE(OFFSET($AM$3,0,0,'Données projet'!$E$10+1,1))-AVERAGE(OFFSET($H$3,0,0,'Données projet'!$E$10+1,1))</f>
        <v>441.34749554136755</v>
      </c>
      <c r="AO101" s="62">
        <f t="shared" si="90"/>
        <v>236.49038586666222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0</v>
      </c>
      <c r="AV101" s="23">
        <f>EXP(-LN(2)/25)*AV100+(1-EXP(-LN(2)/25))/(LN(2)/25)*Calculateur!AQ101*Calculateur!AS101*VLOOKUP('Données projet'!$B$10,Paramètres!$A$1:$I$88,3,0)*0.475*44/12</f>
        <v>0</v>
      </c>
      <c r="AW101" s="23">
        <f>EXP(-LN(2)/2)*AW100+(1-EXP(-LN(2)/2))/(LN(2)/2)*AQ101*AT101*VLOOKUP('Données projet'!$B$10,Paramètres!$A$1:$I$88,3,0)*0.475*44/12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68.794243071222155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4.7</v>
      </c>
      <c r="BD101" s="13">
        <f>IF('Données projet'!$A$88&gt;35,BD100+BC101-BL100,IF(A101&lt;'Données projet'!$A$88,$BA$205^A101,IF(A101='Données projet'!$A$88,'Données projet'!$B$88,BD100+BC101-BL100)))</f>
        <v>272.09999999999962</v>
      </c>
      <c r="BE101" s="14">
        <f>BD101*VLOOKUP('Données projet'!$B$11,Paramètres!$A$1:$I$88,3,0)*VLOOKUP('Données projet'!$B$11,Paramètres!$A$1:$I$88,5,0)</f>
        <v>292.8884399999996</v>
      </c>
      <c r="BF101" s="14">
        <f t="shared" si="91"/>
        <v>69.68353211748817</v>
      </c>
      <c r="BG101" s="22">
        <f t="shared" si="61"/>
        <v>631.47951810462462</v>
      </c>
      <c r="BH101" s="62">
        <f t="shared" si="62"/>
        <v>920.39174269910586</v>
      </c>
      <c r="BI101" s="62">
        <f ca="1">AVERAGE(OFFSET($BH$3,0,0,'Données projet'!$E$11+1,1))-AVERAGE(OFFSET($H$3,0,0,'Données projet'!$E$11+1,1))</f>
        <v>514.86487884889584</v>
      </c>
      <c r="BJ101" s="62">
        <f t="shared" si="92"/>
        <v>272.4206208356191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projet'!$B$11,Paramètres!$A$1:$I$88,3,0)*0.475*44/12</f>
        <v>0</v>
      </c>
      <c r="BQ101" s="23">
        <f>EXP(-LN(2)/25)*BQ100+(1-EXP(-LN(2)/25))/(LN(2)/25)*Calculateur!BL101*Calculateur!BN101*VLOOKUP('Données projet'!$B$11,Paramètres!$A$1:$I$88,3,0)*0.475*44/12</f>
        <v>0</v>
      </c>
      <c r="BR101" s="23">
        <f>EXP(-LN(2)/2)*BR100+(1-EXP(-LN(2)/2))/(LN(2)/2)*BL101*BO101*VLOOKUP('Données projet'!$B$11,Paramètres!$A$1:$I$88,3,0)*0.475*44/12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68.794243071222155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-1.7053025658242404E-13</v>
      </c>
      <c r="BZ101" s="14">
        <f>BY101*VLOOKUP('Données projet'!$B$12,Paramètres!$A$1:$I$88,3,0)*VLOOKUP('Données projet'!$B$12,Paramètres!$A$1:$I$88,5,0)</f>
        <v>-1.1173142411280423E-13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270.10151451661864</v>
      </c>
      <c r="CE101" s="62">
        <f t="shared" si="94"/>
        <v>294.47934482366804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projet'!$B$12,Paramètres!$A$1:$I$88,3,0)*0.475*44/12</f>
        <v>0</v>
      </c>
      <c r="CL101" s="23">
        <f>EXP(-LN(2)/25)*CL100+(1-EXP(-LN(2)/25))/(LN(2)/25)*Calculateur!CG101*Calculateur!CI101*VLOOKUP('Données projet'!$B$12,Paramètres!$A$1:$I$88,3,0)*0.475*44/12</f>
        <v>0</v>
      </c>
      <c r="CM101" s="23">
        <f>EXP(-LN(2)/2)*CM100+(1-EXP(-LN(2)/2))/(LN(2)/2)*CG101*CJ101*VLOOKUP('Données projet'!$B$12,Paramètres!$A$1:$I$88,3,0)*0.475*44/12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68.794243071222155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-1.7053025658242404E-13</v>
      </c>
      <c r="CU101" s="18">
        <f>CT101*VLOOKUP('Données projet'!$B$13,Paramètres!$A$1:$I$88,3,0)*VLOOKUP('Données projet'!$B$13,Paramètres!$A$1:$I$88,5,0)</f>
        <v>-1.1173142411280423E-13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270.10151451661864</v>
      </c>
      <c r="CZ101" s="62">
        <f t="shared" si="96"/>
        <v>294.47934482366804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projet'!$B$13,Paramètres!$A$1:$I$88,3,0)*0.475*44/12</f>
        <v>0</v>
      </c>
      <c r="DG101" s="23">
        <f>EXP(-LN(2)/25)*DG100+(1-EXP(-LN(2)/25))/(LN(2)/25)*Calculateur!DB101*Calculateur!DD101*VLOOKUP('Données projet'!$B$13,Paramètres!$A$1:$I$88,3,0)*0.475*44/12</f>
        <v>0</v>
      </c>
      <c r="DH101" s="23">
        <f>EXP(-LN(2)/2)*DH100+(1-EXP(-LN(2)/2))/(LN(2)/2)*DB101*DE101*VLOOKUP('Données projet'!$B$13,Paramètres!$A$1:$I$88,3,0)*0.475*44/12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68.794243071222155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projet'!$B$14,Paramètres!$A$1:$I$88,3,0)*0.475*44/12</f>
        <v>#N/A</v>
      </c>
      <c r="EB101" s="23" t="e">
        <f>EXP(-LN(2)/25)*EB100+(1-EXP(-LN(2)/25))/(LN(2)/25)*Calculateur!DW101*Calculateur!DY101*VLOOKUP('Données projet'!$B$14,Paramètres!$A$1:$I$88,3,0)*0.475*44/12</f>
        <v>#N/A</v>
      </c>
      <c r="EC101" s="23" t="e">
        <f>EXP(-LN(2)/2)*EC100+(1-EXP(-LN(2)/2))/(LN(2)/2)*DW101*DZ101*VLOOKUP('Données projet'!$B$14,Paramètres!$A$1:$I$88,3,0)*0.475*44/12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68.794243071222155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68.794243071222155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68.794243071222155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68.794243071222155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1.34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4.9133333333333331</v>
      </c>
      <c r="H102" s="70">
        <f t="shared" si="56"/>
        <v>237.01333333333332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68.815160258267795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4.7</v>
      </c>
      <c r="N102" s="14">
        <f>IF('Données projet'!$A$36&gt;35,N101+M102-V101,IF(A102&lt;'Données projet'!$A$36,$K$205^A102,IF(A102='Données projet'!$A$36,'Données projet'!$B$36,N101+M102-V101)))</f>
        <v>276.79999999999961</v>
      </c>
      <c r="O102" s="14">
        <f>N102*VLOOKUP('Données projet'!$B$9,Paramètres!$A$1:$I$88,3,0)*VLOOKUP('Données projet'!$B$9,Paramètres!$A$1:$I$88,5,0)</f>
        <v>280.67519999999962</v>
      </c>
      <c r="P102" s="14">
        <f t="shared" si="87"/>
        <v>67.109678043026435</v>
      </c>
      <c r="Q102" s="22">
        <f t="shared" si="107"/>
        <v>605.72532925827045</v>
      </c>
      <c r="R102" s="62">
        <f t="shared" si="55"/>
        <v>894.71425020525237</v>
      </c>
      <c r="S102" s="62">
        <f ca="1">AVERAGE(OFFSET($R$3,0,0,'Données projet'!$E$9+1,1))-AVERAGE(OFFSET($H$3,0,0,'Données projet'!$E$9+1,1))</f>
        <v>488.16146816015231</v>
      </c>
      <c r="T102" s="62">
        <f t="shared" si="88"/>
        <v>259.37115195552127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0</v>
      </c>
      <c r="AA102" s="23">
        <f>EXP(-LN(2)/25)*AA101+(1-EXP(-LN(2)/25))/(LN(2)/25)*Calculateur!V102*Calculateur!X102*VLOOKUP('Données projet'!$B$9,Paramètres!$A$1:$I$88,3,0)*0.475*44/12</f>
        <v>0</v>
      </c>
      <c r="AB102" s="23">
        <f>EXP(-LN(2)/2)*AB101+(1-EXP(-LN(2)/2))/(LN(2)/2)*V102*Y102*VLOOKUP('Données projet'!$B$9,Paramètres!$A$1:$I$88,3,0)*0.475*44/12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68.815160258267795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4.7</v>
      </c>
      <c r="AI102" s="14">
        <f>IF('Données projet'!$A$62&gt;35,AI101+AH102-AQ101,IF(A102&lt;'Données projet'!$A$62,$AF$205^A102,IF(A102='Données projet'!$A$62,'Données projet'!$B$62,AI101+AH102-AQ101)))</f>
        <v>276.79999999999961</v>
      </c>
      <c r="AJ102" s="14">
        <f>AI102*VLOOKUP('Données projet'!$B$10,Paramètres!$A$1:$I$88,3,0)*VLOOKUP('Données projet'!$B$10,Paramètres!$A$1:$I$88,5,0)</f>
        <v>250.44863999999961</v>
      </c>
      <c r="AK102" s="14">
        <f t="shared" si="89"/>
        <v>60.682000328889949</v>
      </c>
      <c r="AL102" s="22">
        <f t="shared" si="58"/>
        <v>541.88586523948277</v>
      </c>
      <c r="AM102" s="62">
        <f t="shared" si="59"/>
        <v>830.87478618646469</v>
      </c>
      <c r="AN102" s="62">
        <f ca="1">AVERAGE(OFFSET($AM$3,0,0,'Données projet'!$E$10+1,1))-AVERAGE(OFFSET($H$3,0,0,'Données projet'!$E$10+1,1))</f>
        <v>441.34749554136755</v>
      </c>
      <c r="AO102" s="62">
        <f t="shared" si="90"/>
        <v>236.49038586666222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0</v>
      </c>
      <c r="AV102" s="23">
        <f>EXP(-LN(2)/25)*AV101+(1-EXP(-LN(2)/25))/(LN(2)/25)*Calculateur!AQ102*Calculateur!AS102*VLOOKUP('Données projet'!$B$10,Paramètres!$A$1:$I$88,3,0)*0.475*44/12</f>
        <v>0</v>
      </c>
      <c r="AW102" s="23">
        <f>EXP(-LN(2)/2)*AW101+(1-EXP(-LN(2)/2))/(LN(2)/2)*AQ102*AT102*VLOOKUP('Données projet'!$B$10,Paramètres!$A$1:$I$88,3,0)*0.475*44/12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68.815160258267795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4.7</v>
      </c>
      <c r="BD102" s="13">
        <f>IF('Données projet'!$A$88&gt;35,BD101+BC102-BL101,IF(A102&lt;'Données projet'!$A$88,$BA$205^A102,IF(A102='Données projet'!$A$88,'Données projet'!$B$88,BD101+BC102-BL101)))</f>
        <v>276.79999999999961</v>
      </c>
      <c r="BE102" s="14">
        <f>BD102*VLOOKUP('Données projet'!$B$11,Paramètres!$A$1:$I$88,3,0)*VLOOKUP('Données projet'!$B$11,Paramètres!$A$1:$I$88,5,0)</f>
        <v>297.94751999999954</v>
      </c>
      <c r="BF102" s="14">
        <f t="shared" si="91"/>
        <v>70.746013064442209</v>
      </c>
      <c r="BG102" s="22">
        <f t="shared" si="61"/>
        <v>642.14123675390272</v>
      </c>
      <c r="BH102" s="62">
        <f t="shared" si="62"/>
        <v>931.13015770088464</v>
      </c>
      <c r="BI102" s="62">
        <f ca="1">AVERAGE(OFFSET($BH$3,0,0,'Données projet'!$E$11+1,1))-AVERAGE(OFFSET($H$3,0,0,'Données projet'!$E$11+1,1))</f>
        <v>514.86487884889584</v>
      </c>
      <c r="BJ102" s="62">
        <f t="shared" si="92"/>
        <v>272.4206208356191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projet'!$B$11,Paramètres!$A$1:$I$88,3,0)*0.475*44/12</f>
        <v>0</v>
      </c>
      <c r="BQ102" s="23">
        <f>EXP(-LN(2)/25)*BQ101+(1-EXP(-LN(2)/25))/(LN(2)/25)*Calculateur!BL102*Calculateur!BN102*VLOOKUP('Données projet'!$B$11,Paramètres!$A$1:$I$88,3,0)*0.475*44/12</f>
        <v>0</v>
      </c>
      <c r="BR102" s="23">
        <f>EXP(-LN(2)/2)*BR101+(1-EXP(-LN(2)/2))/(LN(2)/2)*BL102*BO102*VLOOKUP('Données projet'!$B$11,Paramètres!$A$1:$I$88,3,0)*0.475*44/12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68.815160258267795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-1.7053025658242404E-13</v>
      </c>
      <c r="BZ102" s="14">
        <f>BY102*VLOOKUP('Données projet'!$B$12,Paramètres!$A$1:$I$88,3,0)*VLOOKUP('Données projet'!$B$12,Paramètres!$A$1:$I$88,5,0)</f>
        <v>-1.1173142411280423E-13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270.10151451661864</v>
      </c>
      <c r="CE102" s="62">
        <f t="shared" si="94"/>
        <v>294.47934482366804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projet'!$B$12,Paramètres!$A$1:$I$88,3,0)*0.475*44/12</f>
        <v>0</v>
      </c>
      <c r="CL102" s="23">
        <f>EXP(-LN(2)/25)*CL101+(1-EXP(-LN(2)/25))/(LN(2)/25)*Calculateur!CG102*Calculateur!CI102*VLOOKUP('Données projet'!$B$12,Paramètres!$A$1:$I$88,3,0)*0.475*44/12</f>
        <v>0</v>
      </c>
      <c r="CM102" s="23">
        <f>EXP(-LN(2)/2)*CM101+(1-EXP(-LN(2)/2))/(LN(2)/2)*CG102*CJ102*VLOOKUP('Données projet'!$B$12,Paramètres!$A$1:$I$88,3,0)*0.475*44/12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68.815160258267795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-1.7053025658242404E-13</v>
      </c>
      <c r="CU102" s="18">
        <f>CT102*VLOOKUP('Données projet'!$B$13,Paramètres!$A$1:$I$88,3,0)*VLOOKUP('Données projet'!$B$13,Paramètres!$A$1:$I$88,5,0)</f>
        <v>-1.1173142411280423E-13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270.10151451661864</v>
      </c>
      <c r="CZ102" s="62">
        <f t="shared" si="96"/>
        <v>294.47934482366804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projet'!$B$13,Paramètres!$A$1:$I$88,3,0)*0.475*44/12</f>
        <v>0</v>
      </c>
      <c r="DG102" s="23">
        <f>EXP(-LN(2)/25)*DG101+(1-EXP(-LN(2)/25))/(LN(2)/25)*Calculateur!DB102*Calculateur!DD102*VLOOKUP('Données projet'!$B$13,Paramètres!$A$1:$I$88,3,0)*0.475*44/12</f>
        <v>0</v>
      </c>
      <c r="DH102" s="23">
        <f>EXP(-LN(2)/2)*DH101+(1-EXP(-LN(2)/2))/(LN(2)/2)*DB102*DE102*VLOOKUP('Données projet'!$B$13,Paramètres!$A$1:$I$88,3,0)*0.475*44/12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68.815160258267795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projet'!$B$14,Paramètres!$A$1:$I$88,3,0)*0.475*44/12</f>
        <v>#N/A</v>
      </c>
      <c r="EB102" s="23" t="e">
        <f>EXP(-LN(2)/25)*EB101+(1-EXP(-LN(2)/25))/(LN(2)/25)*Calculateur!DW102*Calculateur!DY102*VLOOKUP('Données projet'!$B$14,Paramètres!$A$1:$I$88,3,0)*0.475*44/12</f>
        <v>#N/A</v>
      </c>
      <c r="EC102" s="23" t="e">
        <f>EXP(-LN(2)/2)*EC101+(1-EXP(-LN(2)/2))/(LN(2)/2)*DW102*DZ102*VLOOKUP('Données projet'!$B$14,Paramètres!$A$1:$I$88,3,0)*0.475*44/12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68.815160258267795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68.815160258267795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68.815160258267795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68.815160258267795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1.34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4.9133333333333331</v>
      </c>
      <c r="H103" s="70">
        <f t="shared" si="56"/>
        <v>237.01333333333332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68.835714578882019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4.7</v>
      </c>
      <c r="N103" s="14">
        <f>IF('Données projet'!$A$36&gt;35,N102+M103-V102,IF(A103&lt;'Données projet'!$A$36,$K$205^A103,IF(A103='Données projet'!$A$36,'Données projet'!$B$36,N102+M103-V102)))</f>
        <v>281.4999999999996</v>
      </c>
      <c r="O103" s="14">
        <f>N103*VLOOKUP('Données projet'!$B$9,Paramètres!$A$1:$I$88,3,0)*VLOOKUP('Données projet'!$B$9,Paramètres!$A$1:$I$88,5,0)</f>
        <v>285.44099999999958</v>
      </c>
      <c r="P103" s="14">
        <f t="shared" si="87"/>
        <v>68.115557487507047</v>
      </c>
      <c r="Q103" s="22">
        <f t="shared" si="107"/>
        <v>615.77767095740739</v>
      </c>
      <c r="R103" s="62">
        <f t="shared" si="55"/>
        <v>904.84195774664147</v>
      </c>
      <c r="S103" s="62">
        <f ca="1">AVERAGE(OFFSET($R$3,0,0,'Données projet'!$E$9+1,1))-AVERAGE(OFFSET($H$3,0,0,'Données projet'!$E$9+1,1))</f>
        <v>488.16146816015231</v>
      </c>
      <c r="T103" s="62">
        <f t="shared" si="88"/>
        <v>259.37115195552127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0</v>
      </c>
      <c r="AA103" s="23">
        <f>EXP(-LN(2)/25)*AA102+(1-EXP(-LN(2)/25))/(LN(2)/25)*Calculateur!V103*Calculateur!X103*VLOOKUP('Données projet'!$B$9,Paramètres!$A$1:$I$88,3,0)*0.475*44/12</f>
        <v>0</v>
      </c>
      <c r="AB103" s="23">
        <f>EXP(-LN(2)/2)*AB102+(1-EXP(-LN(2)/2))/(LN(2)/2)*V103*Y103*VLOOKUP('Données projet'!$B$9,Paramètres!$A$1:$I$88,3,0)*0.475*44/12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68.835714578882019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4.7</v>
      </c>
      <c r="AI103" s="14">
        <f>IF('Données projet'!$A$62&gt;35,AI102+AH103-AQ102,IF(A103&lt;'Données projet'!$A$62,$AF$205^A103,IF(A103='Données projet'!$A$62,'Données projet'!$B$62,AI102+AH103-AQ102)))</f>
        <v>281.4999999999996</v>
      </c>
      <c r="AJ103" s="14">
        <f>AI103*VLOOKUP('Données projet'!$B$10,Paramètres!$A$1:$I$88,3,0)*VLOOKUP('Données projet'!$B$10,Paramètres!$A$1:$I$88,5,0)</f>
        <v>254.70119999999963</v>
      </c>
      <c r="AK103" s="14">
        <f t="shared" si="89"/>
        <v>61.591537947915114</v>
      </c>
      <c r="AL103" s="22">
        <f t="shared" si="58"/>
        <v>550.87651859261814</v>
      </c>
      <c r="AM103" s="62">
        <f t="shared" si="59"/>
        <v>839.94080538185221</v>
      </c>
      <c r="AN103" s="62">
        <f ca="1">AVERAGE(OFFSET($AM$3,0,0,'Données projet'!$E$10+1,1))-AVERAGE(OFFSET($H$3,0,0,'Données projet'!$E$10+1,1))</f>
        <v>441.34749554136755</v>
      </c>
      <c r="AO103" s="62">
        <f t="shared" si="90"/>
        <v>236.49038586666222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0</v>
      </c>
      <c r="AV103" s="23">
        <f>EXP(-LN(2)/25)*AV102+(1-EXP(-LN(2)/25))/(LN(2)/25)*Calculateur!AQ103*Calculateur!AS103*VLOOKUP('Données projet'!$B$10,Paramètres!$A$1:$I$88,3,0)*0.475*44/12</f>
        <v>0</v>
      </c>
      <c r="AW103" s="23">
        <f>EXP(-LN(2)/2)*AW102+(1-EXP(-LN(2)/2))/(LN(2)/2)*AQ103*AT103*VLOOKUP('Données projet'!$B$10,Paramètres!$A$1:$I$88,3,0)*0.475*44/12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68.835714578882019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4.7</v>
      </c>
      <c r="BD103" s="13">
        <f>IF('Données projet'!$A$88&gt;35,BD102+BC103-BL102,IF(A103&lt;'Données projet'!$A$88,$BA$205^A103,IF(A103='Données projet'!$A$88,'Données projet'!$B$88,BD102+BC103-BL102)))</f>
        <v>281.4999999999996</v>
      </c>
      <c r="BE103" s="14">
        <f>BD103*VLOOKUP('Données projet'!$B$11,Paramètres!$A$1:$I$88,3,0)*VLOOKUP('Données projet'!$B$11,Paramètres!$A$1:$I$88,5,0)</f>
        <v>303.00659999999954</v>
      </c>
      <c r="BF103" s="14">
        <f t="shared" si="91"/>
        <v>71.806396043404845</v>
      </c>
      <c r="BG103" s="22">
        <f t="shared" si="61"/>
        <v>652.79930144226262</v>
      </c>
      <c r="BH103" s="62">
        <f t="shared" si="62"/>
        <v>941.86358823149669</v>
      </c>
      <c r="BI103" s="62">
        <f ca="1">AVERAGE(OFFSET($BH$3,0,0,'Données projet'!$E$11+1,1))-AVERAGE(OFFSET($H$3,0,0,'Données projet'!$E$11+1,1))</f>
        <v>514.86487884889584</v>
      </c>
      <c r="BJ103" s="62">
        <f t="shared" si="92"/>
        <v>272.4206208356191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projet'!$B$11,Paramètres!$A$1:$I$88,3,0)*0.475*44/12</f>
        <v>0</v>
      </c>
      <c r="BQ103" s="23">
        <f>EXP(-LN(2)/25)*BQ102+(1-EXP(-LN(2)/25))/(LN(2)/25)*Calculateur!BL103*Calculateur!BN103*VLOOKUP('Données projet'!$B$11,Paramètres!$A$1:$I$88,3,0)*0.475*44/12</f>
        <v>0</v>
      </c>
      <c r="BR103" s="23">
        <f>EXP(-LN(2)/2)*BR102+(1-EXP(-LN(2)/2))/(LN(2)/2)*BL103*BO103*VLOOKUP('Données projet'!$B$11,Paramètres!$A$1:$I$88,3,0)*0.475*44/12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68.835714578882019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-1.7053025658242404E-13</v>
      </c>
      <c r="BZ103" s="14">
        <f>BY103*VLOOKUP('Données projet'!$B$12,Paramètres!$A$1:$I$88,3,0)*VLOOKUP('Données projet'!$B$12,Paramètres!$A$1:$I$88,5,0)</f>
        <v>-1.1173142411280423E-13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270.10151451661864</v>
      </c>
      <c r="CE103" s="62">
        <f t="shared" si="94"/>
        <v>294.47934482366804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projet'!$B$12,Paramètres!$A$1:$I$88,3,0)*0.475*44/12</f>
        <v>0</v>
      </c>
      <c r="CL103" s="23">
        <f>EXP(-LN(2)/25)*CL102+(1-EXP(-LN(2)/25))/(LN(2)/25)*Calculateur!CG103*Calculateur!CI103*VLOOKUP('Données projet'!$B$12,Paramètres!$A$1:$I$88,3,0)*0.475*44/12</f>
        <v>0</v>
      </c>
      <c r="CM103" s="23">
        <f>EXP(-LN(2)/2)*CM102+(1-EXP(-LN(2)/2))/(LN(2)/2)*CG103*CJ103*VLOOKUP('Données projet'!$B$12,Paramètres!$A$1:$I$88,3,0)*0.475*44/12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68.835714578882019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-1.7053025658242404E-13</v>
      </c>
      <c r="CU103" s="18">
        <f>CT103*VLOOKUP('Données projet'!$B$13,Paramètres!$A$1:$I$88,3,0)*VLOOKUP('Données projet'!$B$13,Paramètres!$A$1:$I$88,5,0)</f>
        <v>-1.1173142411280423E-13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270.10151451661864</v>
      </c>
      <c r="CZ103" s="62">
        <f t="shared" si="96"/>
        <v>294.47934482366804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projet'!$B$13,Paramètres!$A$1:$I$88,3,0)*0.475*44/12</f>
        <v>0</v>
      </c>
      <c r="DG103" s="23">
        <f>EXP(-LN(2)/25)*DG102+(1-EXP(-LN(2)/25))/(LN(2)/25)*Calculateur!DB103*Calculateur!DD103*VLOOKUP('Données projet'!$B$13,Paramètres!$A$1:$I$88,3,0)*0.475*44/12</f>
        <v>0</v>
      </c>
      <c r="DH103" s="23">
        <f>EXP(-LN(2)/2)*DH102+(1-EXP(-LN(2)/2))/(LN(2)/2)*DB103*DE103*VLOOKUP('Données projet'!$B$13,Paramètres!$A$1:$I$88,3,0)*0.475*44/12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68.835714578882019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projet'!$B$14,Paramètres!$A$1:$I$88,3,0)*0.475*44/12</f>
        <v>#N/A</v>
      </c>
      <c r="EB103" s="23" t="e">
        <f>EXP(-LN(2)/25)*EB102+(1-EXP(-LN(2)/25))/(LN(2)/25)*Calculateur!DW103*Calculateur!DY103*VLOOKUP('Données projet'!$B$14,Paramètres!$A$1:$I$88,3,0)*0.475*44/12</f>
        <v>#N/A</v>
      </c>
      <c r="EC103" s="23" t="e">
        <f>EXP(-LN(2)/2)*EC102+(1-EXP(-LN(2)/2))/(LN(2)/2)*DW103*DZ103*VLOOKUP('Données projet'!$B$14,Paramètres!$A$1:$I$88,3,0)*0.475*44/12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68.835714578882019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68.835714578882019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68.835714578882019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68.835714578882019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1.34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4.9133333333333331</v>
      </c>
      <c r="H104" s="70">
        <f t="shared" si="56"/>
        <v>237.01333333333332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68.855912327986175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4.7</v>
      </c>
      <c r="N104" s="14">
        <f>IF('Données projet'!$A$36&gt;35,N103+M104-V103,IF(A104&lt;'Données projet'!$A$36,$K$205^A104,IF(A104='Données projet'!$A$36,'Données projet'!$B$36,N103+M104-V103)))</f>
        <v>286.19999999999959</v>
      </c>
      <c r="O104" s="14">
        <f>N104*VLOOKUP('Données projet'!$B$9,Paramètres!$A$1:$I$88,3,0)*VLOOKUP('Données projet'!$B$9,Paramètres!$A$1:$I$88,5,0)</f>
        <v>290.20679999999959</v>
      </c>
      <c r="P104" s="14">
        <f t="shared" si="87"/>
        <v>69.119483862208341</v>
      </c>
      <c r="Q104" s="22">
        <f t="shared" si="107"/>
        <v>625.82661106001206</v>
      </c>
      <c r="R104" s="62">
        <f t="shared" si="55"/>
        <v>914.96495626262799</v>
      </c>
      <c r="S104" s="62">
        <f ca="1">AVERAGE(OFFSET($R$3,0,0,'Données projet'!$E$9+1,1))-AVERAGE(OFFSET($H$3,0,0,'Données projet'!$E$9+1,1))</f>
        <v>488.16146816015231</v>
      </c>
      <c r="T104" s="62">
        <f t="shared" si="88"/>
        <v>259.37115195552127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0</v>
      </c>
      <c r="AA104" s="23">
        <f>EXP(-LN(2)/25)*AA103+(1-EXP(-LN(2)/25))/(LN(2)/25)*Calculateur!V104*Calculateur!X104*VLOOKUP('Données projet'!$B$9,Paramètres!$A$1:$I$88,3,0)*0.475*44/12</f>
        <v>0</v>
      </c>
      <c r="AB104" s="23">
        <f>EXP(-LN(2)/2)*AB103+(1-EXP(-LN(2)/2))/(LN(2)/2)*V104*Y104*VLOOKUP('Données projet'!$B$9,Paramètres!$A$1:$I$88,3,0)*0.475*44/12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68.855912327986175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4.7</v>
      </c>
      <c r="AI104" s="14">
        <f>IF('Données projet'!$A$62&gt;35,AI103+AH104-AQ103,IF(A104&lt;'Données projet'!$A$62,$AF$205^A104,IF(A104='Données projet'!$A$62,'Données projet'!$B$62,AI103+AH104-AQ103)))</f>
        <v>286.19999999999959</v>
      </c>
      <c r="AJ104" s="14">
        <f>AI104*VLOOKUP('Données projet'!$B$10,Paramètres!$A$1:$I$88,3,0)*VLOOKUP('Données projet'!$B$10,Paramètres!$A$1:$I$88,5,0)</f>
        <v>258.95375999999965</v>
      </c>
      <c r="AK104" s="14">
        <f t="shared" si="89"/>
        <v>62.499309559645205</v>
      </c>
      <c r="AL104" s="22">
        <f t="shared" si="58"/>
        <v>559.86409614971478</v>
      </c>
      <c r="AM104" s="62">
        <f t="shared" si="59"/>
        <v>849.00244135233083</v>
      </c>
      <c r="AN104" s="62">
        <f ca="1">AVERAGE(OFFSET($AM$3,0,0,'Données projet'!$E$10+1,1))-AVERAGE(OFFSET($H$3,0,0,'Données projet'!$E$10+1,1))</f>
        <v>441.34749554136755</v>
      </c>
      <c r="AO104" s="62">
        <f t="shared" si="90"/>
        <v>236.49038586666222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0</v>
      </c>
      <c r="AV104" s="23">
        <f>EXP(-LN(2)/25)*AV103+(1-EXP(-LN(2)/25))/(LN(2)/25)*Calculateur!AQ104*Calculateur!AS104*VLOOKUP('Données projet'!$B$10,Paramètres!$A$1:$I$88,3,0)*0.475*44/12</f>
        <v>0</v>
      </c>
      <c r="AW104" s="23">
        <f>EXP(-LN(2)/2)*AW103+(1-EXP(-LN(2)/2))/(LN(2)/2)*AQ104*AT104*VLOOKUP('Données projet'!$B$10,Paramètres!$A$1:$I$88,3,0)*0.475*44/12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68.855912327986175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4.7</v>
      </c>
      <c r="BD104" s="13">
        <f>IF('Données projet'!$A$88&gt;35,BD103+BC104-BL103,IF(A104&lt;'Données projet'!$A$88,$BA$205^A104,IF(A104='Données projet'!$A$88,'Données projet'!$B$88,BD103+BC104-BL103)))</f>
        <v>286.19999999999959</v>
      </c>
      <c r="BE104" s="14">
        <f>BD104*VLOOKUP('Données projet'!$B$11,Paramètres!$A$1:$I$88,3,0)*VLOOKUP('Données projet'!$B$11,Paramètres!$A$1:$I$88,5,0)</f>
        <v>308.06567999999953</v>
      </c>
      <c r="BF104" s="14">
        <f t="shared" si="91"/>
        <v>72.864720125585904</v>
      </c>
      <c r="BG104" s="22">
        <f t="shared" si="61"/>
        <v>663.45378021872796</v>
      </c>
      <c r="BH104" s="62">
        <f t="shared" si="62"/>
        <v>952.59212542134401</v>
      </c>
      <c r="BI104" s="62">
        <f ca="1">AVERAGE(OFFSET($BH$3,0,0,'Données projet'!$E$11+1,1))-AVERAGE(OFFSET($H$3,0,0,'Données projet'!$E$11+1,1))</f>
        <v>514.86487884889584</v>
      </c>
      <c r="BJ104" s="62">
        <f t="shared" si="92"/>
        <v>272.4206208356191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projet'!$B$11,Paramètres!$A$1:$I$88,3,0)*0.475*44/12</f>
        <v>0</v>
      </c>
      <c r="BQ104" s="23">
        <f>EXP(-LN(2)/25)*BQ103+(1-EXP(-LN(2)/25))/(LN(2)/25)*Calculateur!BL104*Calculateur!BN104*VLOOKUP('Données projet'!$B$11,Paramètres!$A$1:$I$88,3,0)*0.475*44/12</f>
        <v>0</v>
      </c>
      <c r="BR104" s="23">
        <f>EXP(-LN(2)/2)*BR103+(1-EXP(-LN(2)/2))/(LN(2)/2)*BL104*BO104*VLOOKUP('Données projet'!$B$11,Paramètres!$A$1:$I$88,3,0)*0.475*44/12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68.855912327986175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-1.7053025658242404E-13</v>
      </c>
      <c r="BZ104" s="14">
        <f>BY104*VLOOKUP('Données projet'!$B$12,Paramètres!$A$1:$I$88,3,0)*VLOOKUP('Données projet'!$B$12,Paramètres!$A$1:$I$88,5,0)</f>
        <v>-1.1173142411280423E-13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270.10151451661864</v>
      </c>
      <c r="CE104" s="62">
        <f t="shared" si="94"/>
        <v>294.47934482366804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projet'!$B$12,Paramètres!$A$1:$I$88,3,0)*0.475*44/12</f>
        <v>0</v>
      </c>
      <c r="CL104" s="23">
        <f>EXP(-LN(2)/25)*CL103+(1-EXP(-LN(2)/25))/(LN(2)/25)*Calculateur!CG104*Calculateur!CI104*VLOOKUP('Données projet'!$B$12,Paramètres!$A$1:$I$88,3,0)*0.475*44/12</f>
        <v>0</v>
      </c>
      <c r="CM104" s="23">
        <f>EXP(-LN(2)/2)*CM103+(1-EXP(-LN(2)/2))/(LN(2)/2)*CG104*CJ104*VLOOKUP('Données projet'!$B$12,Paramètres!$A$1:$I$88,3,0)*0.475*44/12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68.855912327986175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-1.7053025658242404E-13</v>
      </c>
      <c r="CU104" s="18">
        <f>CT104*VLOOKUP('Données projet'!$B$13,Paramètres!$A$1:$I$88,3,0)*VLOOKUP('Données projet'!$B$13,Paramètres!$A$1:$I$88,5,0)</f>
        <v>-1.1173142411280423E-13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270.10151451661864</v>
      </c>
      <c r="CZ104" s="62">
        <f t="shared" si="96"/>
        <v>294.47934482366804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projet'!$B$13,Paramètres!$A$1:$I$88,3,0)*0.475*44/12</f>
        <v>0</v>
      </c>
      <c r="DG104" s="23">
        <f>EXP(-LN(2)/25)*DG103+(1-EXP(-LN(2)/25))/(LN(2)/25)*Calculateur!DB104*Calculateur!DD104*VLOOKUP('Données projet'!$B$13,Paramètres!$A$1:$I$88,3,0)*0.475*44/12</f>
        <v>0</v>
      </c>
      <c r="DH104" s="23">
        <f>EXP(-LN(2)/2)*DH103+(1-EXP(-LN(2)/2))/(LN(2)/2)*DB104*DE104*VLOOKUP('Données projet'!$B$13,Paramètres!$A$1:$I$88,3,0)*0.475*44/12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68.855912327986175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projet'!$B$14,Paramètres!$A$1:$I$88,3,0)*0.475*44/12</f>
        <v>#N/A</v>
      </c>
      <c r="EB104" s="23" t="e">
        <f>EXP(-LN(2)/25)*EB103+(1-EXP(-LN(2)/25))/(LN(2)/25)*Calculateur!DW104*Calculateur!DY104*VLOOKUP('Données projet'!$B$14,Paramètres!$A$1:$I$88,3,0)*0.475*44/12</f>
        <v>#N/A</v>
      </c>
      <c r="EC104" s="23" t="e">
        <f>EXP(-LN(2)/2)*EC103+(1-EXP(-LN(2)/2))/(LN(2)/2)*DW104*DZ104*VLOOKUP('Données projet'!$B$14,Paramètres!$A$1:$I$88,3,0)*0.475*44/12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68.855912327986175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68.855912327986175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68.855912327986175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68.855912327986175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1.34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4.9133333333333331</v>
      </c>
      <c r="H105" s="70">
        <f t="shared" si="56"/>
        <v>237.01333333333332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68.875759691298754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4.7</v>
      </c>
      <c r="N105" s="14">
        <f>IF('Données projet'!$A$36&gt;35,N104+M105-V104,IF(A105&lt;'Données projet'!$A$36,$K$205^A105,IF(A105='Données projet'!$A$36,'Données projet'!$B$36,N104+M105-V104)))</f>
        <v>290.89999999999958</v>
      </c>
      <c r="O105" s="14">
        <f>N105*VLOOKUP('Données projet'!$B$9,Paramètres!$A$1:$I$88,3,0)*VLOOKUP('Données projet'!$B$9,Paramètres!$A$1:$I$88,5,0)</f>
        <v>294.9725999999996</v>
      </c>
      <c r="P105" s="14">
        <f t="shared" si="87"/>
        <v>70.121492942994351</v>
      </c>
      <c r="Q105" s="22">
        <f t="shared" si="107"/>
        <v>635.87221187571447</v>
      </c>
      <c r="R105" s="62">
        <f t="shared" si="55"/>
        <v>925.08333074380994</v>
      </c>
      <c r="S105" s="62">
        <f ca="1">AVERAGE(OFFSET($R$3,0,0,'Données projet'!$E$9+1,1))-AVERAGE(OFFSET($H$3,0,0,'Données projet'!$E$9+1,1))</f>
        <v>488.16146816015231</v>
      </c>
      <c r="T105" s="62">
        <f t="shared" si="88"/>
        <v>259.37115195552127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0</v>
      </c>
      <c r="AA105" s="23">
        <f>EXP(-LN(2)/25)*AA104+(1-EXP(-LN(2)/25))/(LN(2)/25)*Calculateur!V105*Calculateur!X105*VLOOKUP('Données projet'!$B$9,Paramètres!$A$1:$I$88,3,0)*0.475*44/12</f>
        <v>0</v>
      </c>
      <c r="AB105" s="23">
        <f>EXP(-LN(2)/2)*AB104+(1-EXP(-LN(2)/2))/(LN(2)/2)*V105*Y105*VLOOKUP('Données projet'!$B$9,Paramètres!$A$1:$I$88,3,0)*0.475*44/12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68.875759691298754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4.7</v>
      </c>
      <c r="AI105" s="14">
        <f>IF('Données projet'!$A$62&gt;35,AI104+AH105-AQ104,IF(A105&lt;'Données projet'!$A$62,$AF$205^A105,IF(A105='Données projet'!$A$62,'Données projet'!$B$62,AI104+AH105-AQ104)))</f>
        <v>290.89999999999958</v>
      </c>
      <c r="AJ105" s="14">
        <f>AI105*VLOOKUP('Données projet'!$B$10,Paramètres!$A$1:$I$88,3,0)*VLOOKUP('Données projet'!$B$10,Paramètres!$A$1:$I$88,5,0)</f>
        <v>263.20631999999961</v>
      </c>
      <c r="AK105" s="14">
        <f t="shared" si="89"/>
        <v>63.405347513378558</v>
      </c>
      <c r="AL105" s="22">
        <f t="shared" si="58"/>
        <v>568.84865425246687</v>
      </c>
      <c r="AM105" s="62">
        <f t="shared" si="59"/>
        <v>858.05977312056234</v>
      </c>
      <c r="AN105" s="62">
        <f ca="1">AVERAGE(OFFSET($AM$3,0,0,'Données projet'!$E$10+1,1))-AVERAGE(OFFSET($H$3,0,0,'Données projet'!$E$10+1,1))</f>
        <v>441.34749554136755</v>
      </c>
      <c r="AO105" s="62">
        <f t="shared" si="90"/>
        <v>236.49038586666222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0</v>
      </c>
      <c r="AV105" s="23">
        <f>EXP(-LN(2)/25)*AV104+(1-EXP(-LN(2)/25))/(LN(2)/25)*Calculateur!AQ105*Calculateur!AS105*VLOOKUP('Données projet'!$B$10,Paramètres!$A$1:$I$88,3,0)*0.475*44/12</f>
        <v>0</v>
      </c>
      <c r="AW105" s="23">
        <f>EXP(-LN(2)/2)*AW104+(1-EXP(-LN(2)/2))/(LN(2)/2)*AQ105*AT105*VLOOKUP('Données projet'!$B$10,Paramètres!$A$1:$I$88,3,0)*0.475*44/12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68.875759691298754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4.7</v>
      </c>
      <c r="BD105" s="13">
        <f>IF('Données projet'!$A$88&gt;35,BD104+BC105-BL104,IF(A105&lt;'Données projet'!$A$88,$BA$205^A105,IF(A105='Données projet'!$A$88,'Données projet'!$B$88,BD104+BC105-BL104)))</f>
        <v>290.89999999999958</v>
      </c>
      <c r="BE105" s="14">
        <f>BD105*VLOOKUP('Données projet'!$B$11,Paramètres!$A$1:$I$88,3,0)*VLOOKUP('Données projet'!$B$11,Paramètres!$A$1:$I$88,5,0)</f>
        <v>313.12475999999953</v>
      </c>
      <c r="BF105" s="14">
        <f t="shared" si="91"/>
        <v>73.921023025363311</v>
      </c>
      <c r="BG105" s="22">
        <f t="shared" si="61"/>
        <v>674.10473876917354</v>
      </c>
      <c r="BH105" s="62">
        <f t="shared" si="62"/>
        <v>963.31585763726889</v>
      </c>
      <c r="BI105" s="62">
        <f ca="1">AVERAGE(OFFSET($BH$3,0,0,'Données projet'!$E$11+1,1))-AVERAGE(OFFSET($H$3,0,0,'Données projet'!$E$11+1,1))</f>
        <v>514.86487884889584</v>
      </c>
      <c r="BJ105" s="62">
        <f t="shared" si="92"/>
        <v>272.4206208356191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projet'!$B$11,Paramètres!$A$1:$I$88,3,0)*0.475*44/12</f>
        <v>0</v>
      </c>
      <c r="BQ105" s="23">
        <f>EXP(-LN(2)/25)*BQ104+(1-EXP(-LN(2)/25))/(LN(2)/25)*Calculateur!BL105*Calculateur!BN105*VLOOKUP('Données projet'!$B$11,Paramètres!$A$1:$I$88,3,0)*0.475*44/12</f>
        <v>0</v>
      </c>
      <c r="BR105" s="23">
        <f>EXP(-LN(2)/2)*BR104+(1-EXP(-LN(2)/2))/(LN(2)/2)*BL105*BO105*VLOOKUP('Données projet'!$B$11,Paramètres!$A$1:$I$88,3,0)*0.475*44/12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68.875759691298754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-1.7053025658242404E-13</v>
      </c>
      <c r="BZ105" s="14">
        <f>BY105*VLOOKUP('Données projet'!$B$12,Paramètres!$A$1:$I$88,3,0)*VLOOKUP('Données projet'!$B$12,Paramètres!$A$1:$I$88,5,0)</f>
        <v>-1.1173142411280423E-13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270.10151451661864</v>
      </c>
      <c r="CE105" s="62">
        <f t="shared" si="94"/>
        <v>294.47934482366804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projet'!$B$12,Paramètres!$A$1:$I$88,3,0)*0.475*44/12</f>
        <v>0</v>
      </c>
      <c r="CL105" s="23">
        <f>EXP(-LN(2)/25)*CL104+(1-EXP(-LN(2)/25))/(LN(2)/25)*Calculateur!CG105*Calculateur!CI105*VLOOKUP('Données projet'!$B$12,Paramètres!$A$1:$I$88,3,0)*0.475*44/12</f>
        <v>0</v>
      </c>
      <c r="CM105" s="23">
        <f>EXP(-LN(2)/2)*CM104+(1-EXP(-LN(2)/2))/(LN(2)/2)*CG105*CJ105*VLOOKUP('Données projet'!$B$12,Paramètres!$A$1:$I$88,3,0)*0.475*44/12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68.875759691298754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-1.7053025658242404E-13</v>
      </c>
      <c r="CU105" s="18">
        <f>CT105*VLOOKUP('Données projet'!$B$13,Paramètres!$A$1:$I$88,3,0)*VLOOKUP('Données projet'!$B$13,Paramètres!$A$1:$I$88,5,0)</f>
        <v>-1.1173142411280423E-13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270.10151451661864</v>
      </c>
      <c r="CZ105" s="62">
        <f t="shared" si="96"/>
        <v>294.47934482366804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projet'!$B$13,Paramètres!$A$1:$I$88,3,0)*0.475*44/12</f>
        <v>0</v>
      </c>
      <c r="DG105" s="23">
        <f>EXP(-LN(2)/25)*DG104+(1-EXP(-LN(2)/25))/(LN(2)/25)*Calculateur!DB105*Calculateur!DD105*VLOOKUP('Données projet'!$B$13,Paramètres!$A$1:$I$88,3,0)*0.475*44/12</f>
        <v>0</v>
      </c>
      <c r="DH105" s="23">
        <f>EXP(-LN(2)/2)*DH104+(1-EXP(-LN(2)/2))/(LN(2)/2)*DB105*DE105*VLOOKUP('Données projet'!$B$13,Paramètres!$A$1:$I$88,3,0)*0.475*44/12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68.875759691298754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projet'!$B$14,Paramètres!$A$1:$I$88,3,0)*0.475*44/12</f>
        <v>#N/A</v>
      </c>
      <c r="EB105" s="23" t="e">
        <f>EXP(-LN(2)/25)*EB104+(1-EXP(-LN(2)/25))/(LN(2)/25)*Calculateur!DW105*Calculateur!DY105*VLOOKUP('Données projet'!$B$14,Paramètres!$A$1:$I$88,3,0)*0.475*44/12</f>
        <v>#N/A</v>
      </c>
      <c r="EC105" s="23" t="e">
        <f>EXP(-LN(2)/2)*EC104+(1-EXP(-LN(2)/2))/(LN(2)/2)*DW105*DZ105*VLOOKUP('Données projet'!$B$14,Paramètres!$A$1:$I$88,3,0)*0.475*44/12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68.875759691298754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68.875759691298754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68.875759691298754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68.875759691298754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1.34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4.9133333333333331</v>
      </c>
      <c r="H106" s="70">
        <f t="shared" si="56"/>
        <v>237.01333333333332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68.895262747229935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4.7</v>
      </c>
      <c r="N106" s="14">
        <f>IF('Données projet'!$A$36&gt;35,N105+M106-V105,IF(A106&lt;'Données projet'!$A$36,$K$205^A106,IF(A106='Données projet'!$A$36,'Données projet'!$B$36,N105+M106-V105)))</f>
        <v>295.59999999999957</v>
      </c>
      <c r="O106" s="14">
        <f>N106*VLOOKUP('Données projet'!$B$9,Paramètres!$A$1:$I$88,3,0)*VLOOKUP('Données projet'!$B$9,Paramètres!$A$1:$I$88,5,0)</f>
        <v>299.73839999999961</v>
      </c>
      <c r="P106" s="14">
        <f t="shared" si="87"/>
        <v>71.121619283394352</v>
      </c>
      <c r="Q106" s="22">
        <f t="shared" si="107"/>
        <v>645.91453358524438</v>
      </c>
      <c r="R106" s="62">
        <f t="shared" si="55"/>
        <v>935.19716365842078</v>
      </c>
      <c r="S106" s="62">
        <f ca="1">AVERAGE(OFFSET($R$3,0,0,'Données projet'!$E$9+1,1))-AVERAGE(OFFSET($H$3,0,0,'Données projet'!$E$9+1,1))</f>
        <v>488.16146816015231</v>
      </c>
      <c r="T106" s="62">
        <f t="shared" si="88"/>
        <v>259.37115195552127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0</v>
      </c>
      <c r="AA106" s="23">
        <f>EXP(-LN(2)/25)*AA105+(1-EXP(-LN(2)/25))/(LN(2)/25)*Calculateur!V106*Calculateur!X106*VLOOKUP('Données projet'!$B$9,Paramètres!$A$1:$I$88,3,0)*0.475*44/12</f>
        <v>0</v>
      </c>
      <c r="AB106" s="23">
        <f>EXP(-LN(2)/2)*AB105+(1-EXP(-LN(2)/2))/(LN(2)/2)*V106*Y106*VLOOKUP('Données projet'!$B$9,Paramètres!$A$1:$I$88,3,0)*0.475*44/12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68.895262747229935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4.7</v>
      </c>
      <c r="AI106" s="14">
        <f>IF('Données projet'!$A$62&gt;35,AI105+AH106-AQ105,IF(A106&lt;'Données projet'!$A$62,$AF$205^A106,IF(A106='Données projet'!$A$62,'Données projet'!$B$62,AI105+AH106-AQ105)))</f>
        <v>295.59999999999957</v>
      </c>
      <c r="AJ106" s="14">
        <f>AI106*VLOOKUP('Données projet'!$B$10,Paramètres!$A$1:$I$88,3,0)*VLOOKUP('Données projet'!$B$10,Paramètres!$A$1:$I$88,5,0)</f>
        <v>267.45887999999962</v>
      </c>
      <c r="AK106" s="14">
        <f t="shared" si="89"/>
        <v>64.309683053152327</v>
      </c>
      <c r="AL106" s="22">
        <f t="shared" si="58"/>
        <v>577.83024731757303</v>
      </c>
      <c r="AM106" s="62">
        <f t="shared" si="59"/>
        <v>867.11287739074942</v>
      </c>
      <c r="AN106" s="62">
        <f ca="1">AVERAGE(OFFSET($AM$3,0,0,'Données projet'!$E$10+1,1))-AVERAGE(OFFSET($H$3,0,0,'Données projet'!$E$10+1,1))</f>
        <v>441.34749554136755</v>
      </c>
      <c r="AO106" s="62">
        <f t="shared" si="90"/>
        <v>236.49038586666222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0</v>
      </c>
      <c r="AV106" s="23">
        <f>EXP(-LN(2)/25)*AV105+(1-EXP(-LN(2)/25))/(LN(2)/25)*Calculateur!AQ106*Calculateur!AS106*VLOOKUP('Données projet'!$B$10,Paramètres!$A$1:$I$88,3,0)*0.475*44/12</f>
        <v>0</v>
      </c>
      <c r="AW106" s="23">
        <f>EXP(-LN(2)/2)*AW105+(1-EXP(-LN(2)/2))/(LN(2)/2)*AQ106*AT106*VLOOKUP('Données projet'!$B$10,Paramètres!$A$1:$I$88,3,0)*0.475*44/12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68.895262747229935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4.7</v>
      </c>
      <c r="BD106" s="13">
        <f>IF('Données projet'!$A$88&gt;35,BD105+BC106-BL105,IF(A106&lt;'Données projet'!$A$88,$BA$205^A106,IF(A106='Données projet'!$A$88,'Données projet'!$B$88,BD105+BC106-BL105)))</f>
        <v>295.59999999999957</v>
      </c>
      <c r="BE106" s="14">
        <f>BD106*VLOOKUP('Données projet'!$B$11,Paramètres!$A$1:$I$88,3,0)*VLOOKUP('Données projet'!$B$11,Paramètres!$A$1:$I$88,5,0)</f>
        <v>318.18383999999952</v>
      </c>
      <c r="BF106" s="14">
        <f t="shared" si="91"/>
        <v>74.975341168547786</v>
      </c>
      <c r="BG106" s="22">
        <f t="shared" si="61"/>
        <v>684.75224053521981</v>
      </c>
      <c r="BH106" s="62">
        <f t="shared" si="62"/>
        <v>974.0348706083962</v>
      </c>
      <c r="BI106" s="62">
        <f ca="1">AVERAGE(OFFSET($BH$3,0,0,'Données projet'!$E$11+1,1))-AVERAGE(OFFSET($H$3,0,0,'Données projet'!$E$11+1,1))</f>
        <v>514.86487884889584</v>
      </c>
      <c r="BJ106" s="62">
        <f t="shared" si="92"/>
        <v>272.4206208356191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projet'!$B$11,Paramètres!$A$1:$I$88,3,0)*0.475*44/12</f>
        <v>0</v>
      </c>
      <c r="BQ106" s="23">
        <f>EXP(-LN(2)/25)*BQ105+(1-EXP(-LN(2)/25))/(LN(2)/25)*Calculateur!BL106*Calculateur!BN106*VLOOKUP('Données projet'!$B$11,Paramètres!$A$1:$I$88,3,0)*0.475*44/12</f>
        <v>0</v>
      </c>
      <c r="BR106" s="23">
        <f>EXP(-LN(2)/2)*BR105+(1-EXP(-LN(2)/2))/(LN(2)/2)*BL106*BO106*VLOOKUP('Données projet'!$B$11,Paramètres!$A$1:$I$88,3,0)*0.475*44/12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68.895262747229935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-1.7053025658242404E-13</v>
      </c>
      <c r="BZ106" s="14">
        <f>BY106*VLOOKUP('Données projet'!$B$12,Paramètres!$A$1:$I$88,3,0)*VLOOKUP('Données projet'!$B$12,Paramètres!$A$1:$I$88,5,0)</f>
        <v>-1.1173142411280423E-13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270.10151451661864</v>
      </c>
      <c r="CE106" s="62">
        <f t="shared" si="94"/>
        <v>294.47934482366804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projet'!$B$12,Paramètres!$A$1:$I$88,3,0)*0.475*44/12</f>
        <v>0</v>
      </c>
      <c r="CL106" s="23">
        <f>EXP(-LN(2)/25)*CL105+(1-EXP(-LN(2)/25))/(LN(2)/25)*Calculateur!CG106*Calculateur!CI106*VLOOKUP('Données projet'!$B$12,Paramètres!$A$1:$I$88,3,0)*0.475*44/12</f>
        <v>0</v>
      </c>
      <c r="CM106" s="23">
        <f>EXP(-LN(2)/2)*CM105+(1-EXP(-LN(2)/2))/(LN(2)/2)*CG106*CJ106*VLOOKUP('Données projet'!$B$12,Paramètres!$A$1:$I$88,3,0)*0.475*44/12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68.895262747229935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-1.7053025658242404E-13</v>
      </c>
      <c r="CU106" s="18">
        <f>CT106*VLOOKUP('Données projet'!$B$13,Paramètres!$A$1:$I$88,3,0)*VLOOKUP('Données projet'!$B$13,Paramètres!$A$1:$I$88,5,0)</f>
        <v>-1.1173142411280423E-13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270.10151451661864</v>
      </c>
      <c r="CZ106" s="62">
        <f t="shared" si="96"/>
        <v>294.47934482366804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projet'!$B$13,Paramètres!$A$1:$I$88,3,0)*0.475*44/12</f>
        <v>0</v>
      </c>
      <c r="DG106" s="23">
        <f>EXP(-LN(2)/25)*DG105+(1-EXP(-LN(2)/25))/(LN(2)/25)*Calculateur!DB106*Calculateur!DD106*VLOOKUP('Données projet'!$B$13,Paramètres!$A$1:$I$88,3,0)*0.475*44/12</f>
        <v>0</v>
      </c>
      <c r="DH106" s="23">
        <f>EXP(-LN(2)/2)*DH105+(1-EXP(-LN(2)/2))/(LN(2)/2)*DB106*DE106*VLOOKUP('Données projet'!$B$13,Paramètres!$A$1:$I$88,3,0)*0.475*44/12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68.895262747229935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projet'!$B$14,Paramètres!$A$1:$I$88,3,0)*0.475*44/12</f>
        <v>#N/A</v>
      </c>
      <c r="EB106" s="23" t="e">
        <f>EXP(-LN(2)/25)*EB105+(1-EXP(-LN(2)/25))/(LN(2)/25)*Calculateur!DW106*Calculateur!DY106*VLOOKUP('Données projet'!$B$14,Paramètres!$A$1:$I$88,3,0)*0.475*44/12</f>
        <v>#N/A</v>
      </c>
      <c r="EC106" s="23" t="e">
        <f>EXP(-LN(2)/2)*EC105+(1-EXP(-LN(2)/2))/(LN(2)/2)*DW106*DZ106*VLOOKUP('Données projet'!$B$14,Paramètres!$A$1:$I$88,3,0)*0.475*44/12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68.895262747229935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68.895262747229935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68.895262747229935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68.895262747229935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1.34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4.9133333333333331</v>
      </c>
      <c r="H107" s="70">
        <f t="shared" si="56"/>
        <v>237.01333333333332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68.914427468743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4.7</v>
      </c>
      <c r="N107" s="14">
        <f>IF('Données projet'!$A$36&gt;35,N106+M107-V106,IF(A107&lt;'Données projet'!$A$36,$K$205^A107,IF(A107='Données projet'!$A$36,'Données projet'!$B$36,N106+M107-V106)))</f>
        <v>300.29999999999956</v>
      </c>
      <c r="O107" s="14">
        <f>N107*VLOOKUP('Données projet'!$B$9,Paramètres!$A$1:$I$88,3,0)*VLOOKUP('Données projet'!$B$9,Paramètres!$A$1:$I$88,5,0)</f>
        <v>304.50419999999957</v>
      </c>
      <c r="P107" s="14">
        <f t="shared" si="87"/>
        <v>72.11989627512429</v>
      </c>
      <c r="Q107" s="22">
        <f t="shared" si="107"/>
        <v>655.95363434584067</v>
      </c>
      <c r="R107" s="62">
        <f t="shared" si="55"/>
        <v>945.30653506456497</v>
      </c>
      <c r="S107" s="62">
        <f ca="1">AVERAGE(OFFSET($R$3,0,0,'Données projet'!$E$9+1,1))-AVERAGE(OFFSET($H$3,0,0,'Données projet'!$E$9+1,1))</f>
        <v>488.16146816015231</v>
      </c>
      <c r="T107" s="62">
        <f t="shared" si="88"/>
        <v>259.37115195552127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0</v>
      </c>
      <c r="AA107" s="23">
        <f>EXP(-LN(2)/25)*AA106+(1-EXP(-LN(2)/25))/(LN(2)/25)*Calculateur!V107*Calculateur!X107*VLOOKUP('Données projet'!$B$9,Paramètres!$A$1:$I$88,3,0)*0.475*44/12</f>
        <v>0</v>
      </c>
      <c r="AB107" s="23">
        <f>EXP(-LN(2)/2)*AB106+(1-EXP(-LN(2)/2))/(LN(2)/2)*V107*Y107*VLOOKUP('Données projet'!$B$9,Paramètres!$A$1:$I$88,3,0)*0.475*44/12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68.914427468743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4.7</v>
      </c>
      <c r="AI107" s="14">
        <f>IF('Données projet'!$A$62&gt;35,AI106+AH107-AQ106,IF(A107&lt;'Données projet'!$A$62,$AF$205^A107,IF(A107='Données projet'!$A$62,'Données projet'!$B$62,AI106+AH107-AQ106)))</f>
        <v>300.29999999999956</v>
      </c>
      <c r="AJ107" s="14">
        <f>AI107*VLOOKUP('Données projet'!$B$10,Paramètres!$A$1:$I$88,3,0)*VLOOKUP('Données projet'!$B$10,Paramètres!$A$1:$I$88,5,0)</f>
        <v>271.71143999999958</v>
      </c>
      <c r="AK107" s="14">
        <f t="shared" si="89"/>
        <v>65.212346372467266</v>
      </c>
      <c r="AL107" s="22">
        <f t="shared" si="58"/>
        <v>586.80892793204634</v>
      </c>
      <c r="AM107" s="62">
        <f t="shared" si="59"/>
        <v>876.16182865077076</v>
      </c>
      <c r="AN107" s="62">
        <f ca="1">AVERAGE(OFFSET($AM$3,0,0,'Données projet'!$E$10+1,1))-AVERAGE(OFFSET($H$3,0,0,'Données projet'!$E$10+1,1))</f>
        <v>441.34749554136755</v>
      </c>
      <c r="AO107" s="62">
        <f t="shared" si="90"/>
        <v>236.49038586666222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0</v>
      </c>
      <c r="AV107" s="23">
        <f>EXP(-LN(2)/25)*AV106+(1-EXP(-LN(2)/25))/(LN(2)/25)*Calculateur!AQ107*Calculateur!AS107*VLOOKUP('Données projet'!$B$10,Paramètres!$A$1:$I$88,3,0)*0.475*44/12</f>
        <v>0</v>
      </c>
      <c r="AW107" s="23">
        <f>EXP(-LN(2)/2)*AW106+(1-EXP(-LN(2)/2))/(LN(2)/2)*AQ107*AT107*VLOOKUP('Données projet'!$B$10,Paramètres!$A$1:$I$88,3,0)*0.475*44/12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68.914427468743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4.7</v>
      </c>
      <c r="BD107" s="13">
        <f>IF('Données projet'!$A$88&gt;35,BD106+BC107-BL106,IF(A107&lt;'Données projet'!$A$88,$BA$205^A107,IF(A107='Données projet'!$A$88,'Données projet'!$B$88,BD106+BC107-BL106)))</f>
        <v>300.29999999999956</v>
      </c>
      <c r="BE107" s="14">
        <f>BD107*VLOOKUP('Données projet'!$B$11,Paramètres!$A$1:$I$88,3,0)*VLOOKUP('Données projet'!$B$11,Paramètres!$A$1:$I$88,5,0)</f>
        <v>323.24291999999951</v>
      </c>
      <c r="BF107" s="14">
        <f t="shared" si="91"/>
        <v>76.027709756183881</v>
      </c>
      <c r="BG107" s="22">
        <f t="shared" si="61"/>
        <v>695.39634682535268</v>
      </c>
      <c r="BH107" s="62">
        <f t="shared" si="62"/>
        <v>984.74924754407698</v>
      </c>
      <c r="BI107" s="62">
        <f ca="1">AVERAGE(OFFSET($BH$3,0,0,'Données projet'!$E$11+1,1))-AVERAGE(OFFSET($H$3,0,0,'Données projet'!$E$11+1,1))</f>
        <v>514.86487884889584</v>
      </c>
      <c r="BJ107" s="62">
        <f t="shared" si="92"/>
        <v>272.4206208356191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projet'!$B$11,Paramètres!$A$1:$I$88,3,0)*0.475*44/12</f>
        <v>0</v>
      </c>
      <c r="BQ107" s="23">
        <f>EXP(-LN(2)/25)*BQ106+(1-EXP(-LN(2)/25))/(LN(2)/25)*Calculateur!BL107*Calculateur!BN107*VLOOKUP('Données projet'!$B$11,Paramètres!$A$1:$I$88,3,0)*0.475*44/12</f>
        <v>0</v>
      </c>
      <c r="BR107" s="23">
        <f>EXP(-LN(2)/2)*BR106+(1-EXP(-LN(2)/2))/(LN(2)/2)*BL107*BO107*VLOOKUP('Données projet'!$B$11,Paramètres!$A$1:$I$88,3,0)*0.475*44/12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68.914427468743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-1.7053025658242404E-13</v>
      </c>
      <c r="BZ107" s="14">
        <f>BY107*VLOOKUP('Données projet'!$B$12,Paramètres!$A$1:$I$88,3,0)*VLOOKUP('Données projet'!$B$12,Paramètres!$A$1:$I$88,5,0)</f>
        <v>-1.1173142411280423E-13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270.10151451661864</v>
      </c>
      <c r="CE107" s="62">
        <f t="shared" si="94"/>
        <v>294.47934482366804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projet'!$B$12,Paramètres!$A$1:$I$88,3,0)*0.475*44/12</f>
        <v>0</v>
      </c>
      <c r="CL107" s="23">
        <f>EXP(-LN(2)/25)*CL106+(1-EXP(-LN(2)/25))/(LN(2)/25)*Calculateur!CG107*Calculateur!CI107*VLOOKUP('Données projet'!$B$12,Paramètres!$A$1:$I$88,3,0)*0.475*44/12</f>
        <v>0</v>
      </c>
      <c r="CM107" s="23">
        <f>EXP(-LN(2)/2)*CM106+(1-EXP(-LN(2)/2))/(LN(2)/2)*CG107*CJ107*VLOOKUP('Données projet'!$B$12,Paramètres!$A$1:$I$88,3,0)*0.475*44/12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68.914427468743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-1.7053025658242404E-13</v>
      </c>
      <c r="CU107" s="18">
        <f>CT107*VLOOKUP('Données projet'!$B$13,Paramètres!$A$1:$I$88,3,0)*VLOOKUP('Données projet'!$B$13,Paramètres!$A$1:$I$88,5,0)</f>
        <v>-1.1173142411280423E-13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270.10151451661864</v>
      </c>
      <c r="CZ107" s="62">
        <f t="shared" si="96"/>
        <v>294.47934482366804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projet'!$B$13,Paramètres!$A$1:$I$88,3,0)*0.475*44/12</f>
        <v>0</v>
      </c>
      <c r="DG107" s="23">
        <f>EXP(-LN(2)/25)*DG106+(1-EXP(-LN(2)/25))/(LN(2)/25)*Calculateur!DB107*Calculateur!DD107*VLOOKUP('Données projet'!$B$13,Paramètres!$A$1:$I$88,3,0)*0.475*44/12</f>
        <v>0</v>
      </c>
      <c r="DH107" s="23">
        <f>EXP(-LN(2)/2)*DH106+(1-EXP(-LN(2)/2))/(LN(2)/2)*DB107*DE107*VLOOKUP('Données projet'!$B$13,Paramètres!$A$1:$I$88,3,0)*0.475*44/12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68.914427468743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projet'!$B$14,Paramètres!$A$1:$I$88,3,0)*0.475*44/12</f>
        <v>#N/A</v>
      </c>
      <c r="EB107" s="23" t="e">
        <f>EXP(-LN(2)/25)*EB106+(1-EXP(-LN(2)/25))/(LN(2)/25)*Calculateur!DW107*Calculateur!DY107*VLOOKUP('Données projet'!$B$14,Paramètres!$A$1:$I$88,3,0)*0.475*44/12</f>
        <v>#N/A</v>
      </c>
      <c r="EC107" s="23" t="e">
        <f>EXP(-LN(2)/2)*EC106+(1-EXP(-LN(2)/2))/(LN(2)/2)*DW107*DZ107*VLOOKUP('Données projet'!$B$14,Paramètres!$A$1:$I$88,3,0)*0.475*44/12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68.914427468743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68.914427468743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68.914427468743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68.914427468743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1.34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4.9133333333333331</v>
      </c>
      <c r="H108" s="70">
        <f t="shared" si="56"/>
        <v>237.01333333333332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68.933259725183717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305</v>
      </c>
      <c r="L108" s="13">
        <f>VLOOKUP(A108,'Données projet'!$A$35:$I$55,9,0)</f>
        <v>4.7</v>
      </c>
      <c r="M108" s="13">
        <f t="array" ref="M108">INDEX(L:L,MIN(IF(ISNUMBER(L108:L304),ROW(L108:L304),"")))</f>
        <v>4.7</v>
      </c>
      <c r="N108" s="14">
        <f>IF('Données projet'!$A$36&gt;35,N107+M108-V107,IF(A108&lt;'Données projet'!$A$36,$K$205^A108,IF(A108='Données projet'!$A$36,'Données projet'!$B$36,N107+M108-V107)))</f>
        <v>304.99999999999955</v>
      </c>
      <c r="O108" s="14">
        <f>N108*VLOOKUP('Données projet'!$B$9,Paramètres!$A$1:$I$88,3,0)*VLOOKUP('Données projet'!$B$9,Paramètres!$A$1:$I$88,5,0)</f>
        <v>309.26999999999958</v>
      </c>
      <c r="P108" s="14">
        <f t="shared" si="87"/>
        <v>73.116356204710968</v>
      </c>
      <c r="Q108" s="22">
        <f t="shared" si="107"/>
        <v>665.98957038987078</v>
      </c>
      <c r="R108" s="62">
        <f t="shared" si="55"/>
        <v>955.41152271554438</v>
      </c>
      <c r="S108" s="62">
        <f ca="1">AVERAGE(OFFSET($R$3,0,0,'Données projet'!$E$9+1,1))-AVERAGE(OFFSET($H$3,0,0,'Données projet'!$E$9+1,1))</f>
        <v>488.16146816015231</v>
      </c>
      <c r="T108" s="62">
        <f t="shared" si="88"/>
        <v>259.37115195552127</v>
      </c>
      <c r="U108" s="16">
        <f>IF(ISNA(VLOOKUP(A108,'Données projet'!$A$35:$I$55,3,0)),0,VLOOKUP(A108,'Données projet'!$A$35:$I$55,3,0))</f>
        <v>9</v>
      </c>
      <c r="V108" s="16">
        <f>IF(ISNA(VLOOKUP(A108,'Données projet'!$A$35:$I$55,4,0)),0,VLOOKUP(A108,'Données projet'!$A$35:$I$55,4,0))</f>
        <v>41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0</v>
      </c>
      <c r="AA108" s="23">
        <f>EXP(-LN(2)/25)*AA107+(1-EXP(-LN(2)/25))/(LN(2)/25)*Calculateur!V108*Calculateur!X108*VLOOKUP('Données projet'!$B$9,Paramètres!$A$1:$I$88,3,0)*0.475*44/12</f>
        <v>0</v>
      </c>
      <c r="AB108" s="23">
        <f>EXP(-LN(2)/2)*AB107+(1-EXP(-LN(2)/2))/(LN(2)/2)*V108*Y108*VLOOKUP('Données projet'!$B$9,Paramètres!$A$1:$I$88,3,0)*0.475*44/12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68.933259725183717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305</v>
      </c>
      <c r="AG108" s="13">
        <f>VLOOKUP(A108,'Données projet'!$A$61:$I$81,9,0)</f>
        <v>4.7</v>
      </c>
      <c r="AH108" s="13">
        <f t="array" ref="AH108">INDEX(AG:AG,MIN(IF(ISNUMBER(AG108:AG304),ROW(AG108:AG304),"")))</f>
        <v>4.7</v>
      </c>
      <c r="AI108" s="14">
        <f>IF('Données projet'!$A$62&gt;35,AI107+AH108-AQ107,IF(A108&lt;'Données projet'!$A$62,$AF$205^A108,IF(A108='Données projet'!$A$62,'Données projet'!$B$62,AI107+AH108-AQ107)))</f>
        <v>304.99999999999955</v>
      </c>
      <c r="AJ108" s="14">
        <f>AI108*VLOOKUP('Données projet'!$B$10,Paramètres!$A$1:$I$88,3,0)*VLOOKUP('Données projet'!$B$10,Paramètres!$A$1:$I$88,5,0)</f>
        <v>275.9639999999996</v>
      </c>
      <c r="AK108" s="14">
        <f t="shared" si="89"/>
        <v>66.113366665488797</v>
      </c>
      <c r="AL108" s="22">
        <f t="shared" si="58"/>
        <v>595.7847469423923</v>
      </c>
      <c r="AM108" s="62">
        <f t="shared" si="59"/>
        <v>885.2066992680659</v>
      </c>
      <c r="AN108" s="62">
        <f ca="1">AVERAGE(OFFSET($AM$3,0,0,'Données projet'!$E$10+1,1))-AVERAGE(OFFSET($H$3,0,0,'Données projet'!$E$10+1,1))</f>
        <v>441.34749554136755</v>
      </c>
      <c r="AO108" s="62">
        <f t="shared" si="90"/>
        <v>236.49038586666222</v>
      </c>
      <c r="AP108" s="16">
        <f>IF(ISNA(VLOOKUP(A108,'Données projet'!$A$61:$I$81,3,0)),0,VLOOKUP(A108,'Données projet'!$A$61:$I$81,3,0))</f>
        <v>9</v>
      </c>
      <c r="AQ108" s="16">
        <f>IF(ISNA(VLOOKUP(A108,'Données projet'!$A$61:$I$81,4,0)),0,VLOOKUP(A108,'Données projet'!$A$61:$I$81,4,0))</f>
        <v>41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0</v>
      </c>
      <c r="AV108" s="23">
        <f>EXP(-LN(2)/25)*AV107+(1-EXP(-LN(2)/25))/(LN(2)/25)*Calculateur!AQ108*Calculateur!AS108*VLOOKUP('Données projet'!$B$10,Paramètres!$A$1:$I$88,3,0)*0.475*44/12</f>
        <v>0</v>
      </c>
      <c r="AW108" s="23">
        <f>EXP(-LN(2)/2)*AW107+(1-EXP(-LN(2)/2))/(LN(2)/2)*AQ108*AT108*VLOOKUP('Données projet'!$B$10,Paramètres!$A$1:$I$88,3,0)*0.475*44/12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68.933259725183717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305</v>
      </c>
      <c r="BB108" s="13">
        <f>VLOOKUP(A108,'Données projet'!$A$87:$I$107,9,0)</f>
        <v>4.7</v>
      </c>
      <c r="BC108" s="13">
        <f t="array" ref="BC108">INDEX(BB:BB,MIN(IF(ISNUMBER(BB108:BB304),ROW(BB108:BB304),"")))</f>
        <v>4.7</v>
      </c>
      <c r="BD108" s="13">
        <f>IF('Données projet'!$A$88&gt;35,BD107+BC108-BL107,IF(A108&lt;'Données projet'!$A$88,$BA$205^A108,IF(A108='Données projet'!$A$88,'Données projet'!$B$88,BD107+BC108-BL107)))</f>
        <v>304.99999999999955</v>
      </c>
      <c r="BE108" s="14">
        <f>BD108*VLOOKUP('Données projet'!$B$11,Paramètres!$A$1:$I$88,3,0)*VLOOKUP('Données projet'!$B$11,Paramètres!$A$1:$I$88,5,0)</f>
        <v>328.30199999999951</v>
      </c>
      <c r="BF108" s="14">
        <f t="shared" si="91"/>
        <v>77.078162824242781</v>
      </c>
      <c r="BG108" s="22">
        <f t="shared" si="61"/>
        <v>706.03711691888873</v>
      </c>
      <c r="BH108" s="62">
        <f t="shared" si="62"/>
        <v>995.45906924456244</v>
      </c>
      <c r="BI108" s="62">
        <f ca="1">AVERAGE(OFFSET($BH$3,0,0,'Données projet'!$E$11+1,1))-AVERAGE(OFFSET($H$3,0,0,'Données projet'!$E$11+1,1))</f>
        <v>514.86487884889584</v>
      </c>
      <c r="BJ108" s="62">
        <f t="shared" si="92"/>
        <v>272.4206208356191</v>
      </c>
      <c r="BK108" s="16">
        <f>IF(ISNA(VLOOKUP(A108,'Données projet'!$A$87:$I$107,3,0)),0,VLOOKUP(A108,'Données projet'!$A$87:$I$107,3,0))</f>
        <v>9</v>
      </c>
      <c r="BL108" s="16">
        <f>IF(ISNA(VLOOKUP(A108,'Données projet'!$A$87:$I$107,4,0)),0,VLOOKUP(A108,'Données projet'!$A$87:$I$107,4,0))</f>
        <v>41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projet'!$B$11,Paramètres!$A$1:$I$88,3,0)*0.475*44/12</f>
        <v>0</v>
      </c>
      <c r="BQ108" s="23">
        <f>EXP(-LN(2)/25)*BQ107+(1-EXP(-LN(2)/25))/(LN(2)/25)*Calculateur!BL108*Calculateur!BN108*VLOOKUP('Données projet'!$B$11,Paramètres!$A$1:$I$88,3,0)*0.475*44/12</f>
        <v>0</v>
      </c>
      <c r="BR108" s="23">
        <f>EXP(-LN(2)/2)*BR107+(1-EXP(-LN(2)/2))/(LN(2)/2)*BL108*BO108*VLOOKUP('Données projet'!$B$11,Paramètres!$A$1:$I$88,3,0)*0.475*44/12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68.933259725183717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-1.7053025658242404E-13</v>
      </c>
      <c r="BZ108" s="14">
        <f>BY108*VLOOKUP('Données projet'!$B$12,Paramètres!$A$1:$I$88,3,0)*VLOOKUP('Données projet'!$B$12,Paramètres!$A$1:$I$88,5,0)</f>
        <v>-1.1173142411280423E-13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270.10151451661864</v>
      </c>
      <c r="CE108" s="62">
        <f t="shared" si="94"/>
        <v>294.47934482366804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projet'!$B$12,Paramètres!$A$1:$I$88,3,0)*0.475*44/12</f>
        <v>0</v>
      </c>
      <c r="CL108" s="23">
        <f>EXP(-LN(2)/25)*CL107+(1-EXP(-LN(2)/25))/(LN(2)/25)*Calculateur!CG108*Calculateur!CI108*VLOOKUP('Données projet'!$B$12,Paramètres!$A$1:$I$88,3,0)*0.475*44/12</f>
        <v>0</v>
      </c>
      <c r="CM108" s="23">
        <f>EXP(-LN(2)/2)*CM107+(1-EXP(-LN(2)/2))/(LN(2)/2)*CG108*CJ108*VLOOKUP('Données projet'!$B$12,Paramètres!$A$1:$I$88,3,0)*0.475*44/12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68.933259725183717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-1.7053025658242404E-13</v>
      </c>
      <c r="CU108" s="18">
        <f>CT108*VLOOKUP('Données projet'!$B$13,Paramètres!$A$1:$I$88,3,0)*VLOOKUP('Données projet'!$B$13,Paramètres!$A$1:$I$88,5,0)</f>
        <v>-1.1173142411280423E-13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270.10151451661864</v>
      </c>
      <c r="CZ108" s="62">
        <f t="shared" si="96"/>
        <v>294.47934482366804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projet'!$B$13,Paramètres!$A$1:$I$88,3,0)*0.475*44/12</f>
        <v>0</v>
      </c>
      <c r="DG108" s="23">
        <f>EXP(-LN(2)/25)*DG107+(1-EXP(-LN(2)/25))/(LN(2)/25)*Calculateur!DB108*Calculateur!DD108*VLOOKUP('Données projet'!$B$13,Paramètres!$A$1:$I$88,3,0)*0.475*44/12</f>
        <v>0</v>
      </c>
      <c r="DH108" s="23">
        <f>EXP(-LN(2)/2)*DH107+(1-EXP(-LN(2)/2))/(LN(2)/2)*DB108*DE108*VLOOKUP('Données projet'!$B$13,Paramètres!$A$1:$I$88,3,0)*0.475*44/12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68.933259725183717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projet'!$B$14,Paramètres!$A$1:$I$88,3,0)*0.475*44/12</f>
        <v>#N/A</v>
      </c>
      <c r="EB108" s="23" t="e">
        <f>EXP(-LN(2)/25)*EB107+(1-EXP(-LN(2)/25))/(LN(2)/25)*Calculateur!DW108*Calculateur!DY108*VLOOKUP('Données projet'!$B$14,Paramètres!$A$1:$I$88,3,0)*0.475*44/12</f>
        <v>#N/A</v>
      </c>
      <c r="EC108" s="23" t="e">
        <f>EXP(-LN(2)/2)*EC107+(1-EXP(-LN(2)/2))/(LN(2)/2)*DW108*DZ108*VLOOKUP('Données projet'!$B$14,Paramètres!$A$1:$I$88,3,0)*0.475*44/12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68.933259725183717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68.933259725183717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68.933259725183717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68.933259725183717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1.34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4.9133333333333331</v>
      </c>
      <c r="H109" s="70">
        <f t="shared" si="56"/>
        <v>237.01333333333332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68.951765284077808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</v>
      </c>
      <c r="N109" s="14">
        <f>IF('Données projet'!$A$36&gt;35,N108+M109-V108,IF(A109&lt;'Données projet'!$A$36,$K$205^A109,IF(A109='Données projet'!$A$36,'Données projet'!$B$36,N108+M109-V108)))</f>
        <v>267.99999999999955</v>
      </c>
      <c r="O109" s="14">
        <f>N109*VLOOKUP('Données projet'!$B$9,Paramètres!$A$1:$I$88,3,0)*VLOOKUP('Données projet'!$B$9,Paramètres!$A$1:$I$88,5,0)</f>
        <v>271.75199999999955</v>
      </c>
      <c r="P109" s="14">
        <f t="shared" si="87"/>
        <v>65.22094782472486</v>
      </c>
      <c r="Q109" s="22">
        <f t="shared" si="107"/>
        <v>586.89455079472839</v>
      </c>
      <c r="R109" s="62">
        <f t="shared" si="55"/>
        <v>876.38435683634702</v>
      </c>
      <c r="S109" s="62">
        <f ca="1">AVERAGE(OFFSET($R$3,0,0,'Données projet'!$E$9+1,1))-AVERAGE(OFFSET($H$3,0,0,'Données projet'!$E$9+1,1))</f>
        <v>488.16146816015231</v>
      </c>
      <c r="T109" s="62">
        <f t="shared" si="88"/>
        <v>259.37115195552127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0</v>
      </c>
      <c r="AA109" s="23">
        <f>EXP(-LN(2)/25)*AA108+(1-EXP(-LN(2)/25))/(LN(2)/25)*Calculateur!V109*Calculateur!X109*VLOOKUP('Données projet'!$B$9,Paramètres!$A$1:$I$88,3,0)*0.475*44/12</f>
        <v>0</v>
      </c>
      <c r="AB109" s="23">
        <f>EXP(-LN(2)/2)*AB108+(1-EXP(-LN(2)/2))/(LN(2)/2)*V109*Y109*VLOOKUP('Données projet'!$B$9,Paramètres!$A$1:$I$88,3,0)*0.475*44/12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68.951765284077808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</v>
      </c>
      <c r="AI109" s="14">
        <f>IF('Données projet'!$A$62&gt;35,AI108+AH109-AQ108,IF(A109&lt;'Données projet'!$A$62,$AF$205^A109,IF(A109='Données projet'!$A$62,'Données projet'!$B$62,AI108+AH109-AQ108)))</f>
        <v>267.99999999999955</v>
      </c>
      <c r="AJ109" s="14">
        <f>AI109*VLOOKUP('Données projet'!$B$10,Paramètres!$A$1:$I$88,3,0)*VLOOKUP('Données projet'!$B$10,Paramètres!$A$1:$I$88,5,0)</f>
        <v>242.48639999999955</v>
      </c>
      <c r="AK109" s="14">
        <f t="shared" si="89"/>
        <v>58.97417023537232</v>
      </c>
      <c r="AL109" s="22">
        <f t="shared" si="58"/>
        <v>525.0438264932726</v>
      </c>
      <c r="AM109" s="62">
        <f t="shared" si="59"/>
        <v>814.53363253489124</v>
      </c>
      <c r="AN109" s="62">
        <f ca="1">AVERAGE(OFFSET($AM$3,0,0,'Données projet'!$E$10+1,1))-AVERAGE(OFFSET($H$3,0,0,'Données projet'!$E$10+1,1))</f>
        <v>441.34749554136755</v>
      </c>
      <c r="AO109" s="62">
        <f t="shared" si="90"/>
        <v>236.49038586666222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0</v>
      </c>
      <c r="AV109" s="23">
        <f>EXP(-LN(2)/25)*AV108+(1-EXP(-LN(2)/25))/(LN(2)/25)*Calculateur!AQ109*Calculateur!AS109*VLOOKUP('Données projet'!$B$10,Paramètres!$A$1:$I$88,3,0)*0.475*44/12</f>
        <v>0</v>
      </c>
      <c r="AW109" s="23">
        <f>EXP(-LN(2)/2)*AW108+(1-EXP(-LN(2)/2))/(LN(2)/2)*AQ109*AT109*VLOOKUP('Données projet'!$B$10,Paramètres!$A$1:$I$88,3,0)*0.475*44/12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68.951765284077808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</v>
      </c>
      <c r="BD109" s="13">
        <f>IF('Données projet'!$A$88&gt;35,BD108+BC109-BL108,IF(A109&lt;'Données projet'!$A$88,$BA$205^A109,IF(A109='Données projet'!$A$88,'Données projet'!$B$88,BD108+BC109-BL108)))</f>
        <v>267.99999999999955</v>
      </c>
      <c r="BE109" s="14">
        <f>BD109*VLOOKUP('Données projet'!$B$11,Paramètres!$A$1:$I$88,3,0)*VLOOKUP('Données projet'!$B$11,Paramètres!$A$1:$I$88,5,0)</f>
        <v>288.47519999999952</v>
      </c>
      <c r="BF109" s="14">
        <f t="shared" si="91"/>
        <v>68.754942080410729</v>
      </c>
      <c r="BG109" s="22">
        <f t="shared" si="61"/>
        <v>622.17583079004783</v>
      </c>
      <c r="BH109" s="62">
        <f t="shared" si="62"/>
        <v>911.66563683166646</v>
      </c>
      <c r="BI109" s="62">
        <f ca="1">AVERAGE(OFFSET($BH$3,0,0,'Données projet'!$E$11+1,1))-AVERAGE(OFFSET($H$3,0,0,'Données projet'!$E$11+1,1))</f>
        <v>514.86487884889584</v>
      </c>
      <c r="BJ109" s="62">
        <f t="shared" si="92"/>
        <v>272.4206208356191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projet'!$B$11,Paramètres!$A$1:$I$88,3,0)*0.475*44/12</f>
        <v>0</v>
      </c>
      <c r="BQ109" s="23">
        <f>EXP(-LN(2)/25)*BQ108+(1-EXP(-LN(2)/25))/(LN(2)/25)*Calculateur!BL109*Calculateur!BN109*VLOOKUP('Données projet'!$B$11,Paramètres!$A$1:$I$88,3,0)*0.475*44/12</f>
        <v>0</v>
      </c>
      <c r="BR109" s="23">
        <f>EXP(-LN(2)/2)*BR108+(1-EXP(-LN(2)/2))/(LN(2)/2)*BL109*BO109*VLOOKUP('Données projet'!$B$11,Paramètres!$A$1:$I$88,3,0)*0.475*44/12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68.951765284077808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-1.7053025658242404E-13</v>
      </c>
      <c r="BZ109" s="14">
        <f>BY109*VLOOKUP('Données projet'!$B$12,Paramètres!$A$1:$I$88,3,0)*VLOOKUP('Données projet'!$B$12,Paramètres!$A$1:$I$88,5,0)</f>
        <v>-1.1173142411280423E-13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270.10151451661864</v>
      </c>
      <c r="CE109" s="62">
        <f t="shared" si="94"/>
        <v>294.47934482366804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projet'!$B$12,Paramètres!$A$1:$I$88,3,0)*0.475*44/12</f>
        <v>0</v>
      </c>
      <c r="CL109" s="23">
        <f>EXP(-LN(2)/25)*CL108+(1-EXP(-LN(2)/25))/(LN(2)/25)*Calculateur!CG109*Calculateur!CI109*VLOOKUP('Données projet'!$B$12,Paramètres!$A$1:$I$88,3,0)*0.475*44/12</f>
        <v>0</v>
      </c>
      <c r="CM109" s="23">
        <f>EXP(-LN(2)/2)*CM108+(1-EXP(-LN(2)/2))/(LN(2)/2)*CG109*CJ109*VLOOKUP('Données projet'!$B$12,Paramètres!$A$1:$I$88,3,0)*0.475*44/12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68.951765284077808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-1.7053025658242404E-13</v>
      </c>
      <c r="CU109" s="18">
        <f>CT109*VLOOKUP('Données projet'!$B$13,Paramètres!$A$1:$I$88,3,0)*VLOOKUP('Données projet'!$B$13,Paramètres!$A$1:$I$88,5,0)</f>
        <v>-1.1173142411280423E-13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270.10151451661864</v>
      </c>
      <c r="CZ109" s="62">
        <f t="shared" si="96"/>
        <v>294.47934482366804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projet'!$B$13,Paramètres!$A$1:$I$88,3,0)*0.475*44/12</f>
        <v>0</v>
      </c>
      <c r="DG109" s="23">
        <f>EXP(-LN(2)/25)*DG108+(1-EXP(-LN(2)/25))/(LN(2)/25)*Calculateur!DB109*Calculateur!DD109*VLOOKUP('Données projet'!$B$13,Paramètres!$A$1:$I$88,3,0)*0.475*44/12</f>
        <v>0</v>
      </c>
      <c r="DH109" s="23">
        <f>EXP(-LN(2)/2)*DH108+(1-EXP(-LN(2)/2))/(LN(2)/2)*DB109*DE109*VLOOKUP('Données projet'!$B$13,Paramètres!$A$1:$I$88,3,0)*0.475*44/12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68.951765284077808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projet'!$B$14,Paramètres!$A$1:$I$88,3,0)*0.475*44/12</f>
        <v>#N/A</v>
      </c>
      <c r="EB109" s="23" t="e">
        <f>EXP(-LN(2)/25)*EB108+(1-EXP(-LN(2)/25))/(LN(2)/25)*Calculateur!DW109*Calculateur!DY109*VLOOKUP('Données projet'!$B$14,Paramètres!$A$1:$I$88,3,0)*0.475*44/12</f>
        <v>#N/A</v>
      </c>
      <c r="EC109" s="23" t="e">
        <f>EXP(-LN(2)/2)*EC108+(1-EXP(-LN(2)/2))/(LN(2)/2)*DW109*DZ109*VLOOKUP('Données projet'!$B$14,Paramètres!$A$1:$I$88,3,0)*0.475*44/12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68.951765284077808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68.951765284077808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68.951765284077808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68.951765284077808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1.34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4.9133333333333331</v>
      </c>
      <c r="H110" s="70">
        <f t="shared" si="56"/>
        <v>237.01333333333332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68.969949812897312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</v>
      </c>
      <c r="N110" s="14">
        <f>IF('Données projet'!$A$36&gt;35,N109+M110-V109,IF(A110&lt;'Données projet'!$A$36,$K$205^A110,IF(A110='Données projet'!$A$36,'Données projet'!$B$36,N109+M110-V109)))</f>
        <v>271.99999999999955</v>
      </c>
      <c r="O110" s="14">
        <f>N110*VLOOKUP('Données projet'!$B$9,Paramètres!$A$1:$I$88,3,0)*VLOOKUP('Données projet'!$B$9,Paramètres!$A$1:$I$88,5,0)</f>
        <v>275.80799999999954</v>
      </c>
      <c r="P110" s="14">
        <f t="shared" si="87"/>
        <v>66.080342531440536</v>
      </c>
      <c r="Q110" s="22">
        <f t="shared" si="107"/>
        <v>595.45552990892475</v>
      </c>
      <c r="R110" s="62">
        <f t="shared" si="55"/>
        <v>885.01201255621481</v>
      </c>
      <c r="S110" s="62">
        <f ca="1">AVERAGE(OFFSET($R$3,0,0,'Données projet'!$E$9+1,1))-AVERAGE(OFFSET($H$3,0,0,'Données projet'!$E$9+1,1))</f>
        <v>488.16146816015231</v>
      </c>
      <c r="T110" s="62">
        <f t="shared" si="88"/>
        <v>259.37115195552127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0</v>
      </c>
      <c r="AA110" s="23">
        <f>EXP(-LN(2)/25)*AA109+(1-EXP(-LN(2)/25))/(LN(2)/25)*Calculateur!V110*Calculateur!X110*VLOOKUP('Données projet'!$B$9,Paramètres!$A$1:$I$88,3,0)*0.475*44/12</f>
        <v>0</v>
      </c>
      <c r="AB110" s="23">
        <f>EXP(-LN(2)/2)*AB109+(1-EXP(-LN(2)/2))/(LN(2)/2)*V110*Y110*VLOOKUP('Données projet'!$B$9,Paramètres!$A$1:$I$88,3,0)*0.475*44/12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68.969949812897312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</v>
      </c>
      <c r="AI110" s="14">
        <f>IF('Données projet'!$A$62&gt;35,AI109+AH110-AQ109,IF(A110&lt;'Données projet'!$A$62,$AF$205^A110,IF(A110='Données projet'!$A$62,'Données projet'!$B$62,AI109+AH110-AQ109)))</f>
        <v>271.99999999999955</v>
      </c>
      <c r="AJ110" s="14">
        <f>AI110*VLOOKUP('Données projet'!$B$10,Paramètres!$A$1:$I$88,3,0)*VLOOKUP('Données projet'!$B$10,Paramètres!$A$1:$I$88,5,0)</f>
        <v>246.10559999999958</v>
      </c>
      <c r="AK110" s="14">
        <f t="shared" si="89"/>
        <v>59.751253234371873</v>
      </c>
      <c r="AL110" s="22">
        <f t="shared" si="58"/>
        <v>532.70068604986363</v>
      </c>
      <c r="AM110" s="62">
        <f t="shared" si="59"/>
        <v>822.2571686971537</v>
      </c>
      <c r="AN110" s="62">
        <f ca="1">AVERAGE(OFFSET($AM$3,0,0,'Données projet'!$E$10+1,1))-AVERAGE(OFFSET($H$3,0,0,'Données projet'!$E$10+1,1))</f>
        <v>441.34749554136755</v>
      </c>
      <c r="AO110" s="62">
        <f t="shared" si="90"/>
        <v>236.49038586666222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0</v>
      </c>
      <c r="AV110" s="23">
        <f>EXP(-LN(2)/25)*AV109+(1-EXP(-LN(2)/25))/(LN(2)/25)*Calculateur!AQ110*Calculateur!AS110*VLOOKUP('Données projet'!$B$10,Paramètres!$A$1:$I$88,3,0)*0.475*44/12</f>
        <v>0</v>
      </c>
      <c r="AW110" s="23">
        <f>EXP(-LN(2)/2)*AW109+(1-EXP(-LN(2)/2))/(LN(2)/2)*AQ110*AT110*VLOOKUP('Données projet'!$B$10,Paramètres!$A$1:$I$88,3,0)*0.475*44/12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68.969949812897312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</v>
      </c>
      <c r="BD110" s="13">
        <f>IF('Données projet'!$A$88&gt;35,BD109+BC110-BL109,IF(A110&lt;'Données projet'!$A$88,$BA$205^A110,IF(A110='Données projet'!$A$88,'Données projet'!$B$88,BD109+BC110-BL109)))</f>
        <v>271.99999999999955</v>
      </c>
      <c r="BE110" s="14">
        <f>BD110*VLOOKUP('Données projet'!$B$11,Paramètres!$A$1:$I$88,3,0)*VLOOKUP('Données projet'!$B$11,Paramètres!$A$1:$I$88,5,0)</f>
        <v>292.78079999999949</v>
      </c>
      <c r="BF110" s="14">
        <f t="shared" si="91"/>
        <v>69.660903052386161</v>
      </c>
      <c r="BG110" s="22">
        <f t="shared" si="61"/>
        <v>631.25263281623836</v>
      </c>
      <c r="BH110" s="62">
        <f t="shared" si="62"/>
        <v>920.80911546352854</v>
      </c>
      <c r="BI110" s="62">
        <f ca="1">AVERAGE(OFFSET($BH$3,0,0,'Données projet'!$E$11+1,1))-AVERAGE(OFFSET($H$3,0,0,'Données projet'!$E$11+1,1))</f>
        <v>514.86487884889584</v>
      </c>
      <c r="BJ110" s="62">
        <f t="shared" si="92"/>
        <v>272.4206208356191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projet'!$B$11,Paramètres!$A$1:$I$88,3,0)*0.475*44/12</f>
        <v>0</v>
      </c>
      <c r="BQ110" s="23">
        <f>EXP(-LN(2)/25)*BQ109+(1-EXP(-LN(2)/25))/(LN(2)/25)*Calculateur!BL110*Calculateur!BN110*VLOOKUP('Données projet'!$B$11,Paramètres!$A$1:$I$88,3,0)*0.475*44/12</f>
        <v>0</v>
      </c>
      <c r="BR110" s="23">
        <f>EXP(-LN(2)/2)*BR109+(1-EXP(-LN(2)/2))/(LN(2)/2)*BL110*BO110*VLOOKUP('Données projet'!$B$11,Paramètres!$A$1:$I$88,3,0)*0.475*44/12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68.969949812897312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-1.7053025658242404E-13</v>
      </c>
      <c r="BZ110" s="14">
        <f>BY110*VLOOKUP('Données projet'!$B$12,Paramètres!$A$1:$I$88,3,0)*VLOOKUP('Données projet'!$B$12,Paramètres!$A$1:$I$88,5,0)</f>
        <v>-1.1173142411280423E-13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270.10151451661864</v>
      </c>
      <c r="CE110" s="62">
        <f t="shared" si="94"/>
        <v>294.47934482366804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projet'!$B$12,Paramètres!$A$1:$I$88,3,0)*0.475*44/12</f>
        <v>0</v>
      </c>
      <c r="CL110" s="23">
        <f>EXP(-LN(2)/25)*CL109+(1-EXP(-LN(2)/25))/(LN(2)/25)*Calculateur!CG110*Calculateur!CI110*VLOOKUP('Données projet'!$B$12,Paramètres!$A$1:$I$88,3,0)*0.475*44/12</f>
        <v>0</v>
      </c>
      <c r="CM110" s="23">
        <f>EXP(-LN(2)/2)*CM109+(1-EXP(-LN(2)/2))/(LN(2)/2)*CG110*CJ110*VLOOKUP('Données projet'!$B$12,Paramètres!$A$1:$I$88,3,0)*0.475*44/12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68.969949812897312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-1.7053025658242404E-13</v>
      </c>
      <c r="CU110" s="18">
        <f>CT110*VLOOKUP('Données projet'!$B$13,Paramètres!$A$1:$I$88,3,0)*VLOOKUP('Données projet'!$B$13,Paramètres!$A$1:$I$88,5,0)</f>
        <v>-1.1173142411280423E-13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270.10151451661864</v>
      </c>
      <c r="CZ110" s="62">
        <f t="shared" si="96"/>
        <v>294.47934482366804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projet'!$B$13,Paramètres!$A$1:$I$88,3,0)*0.475*44/12</f>
        <v>0</v>
      </c>
      <c r="DG110" s="23">
        <f>EXP(-LN(2)/25)*DG109+(1-EXP(-LN(2)/25))/(LN(2)/25)*Calculateur!DB110*Calculateur!DD110*VLOOKUP('Données projet'!$B$13,Paramètres!$A$1:$I$88,3,0)*0.475*44/12</f>
        <v>0</v>
      </c>
      <c r="DH110" s="23">
        <f>EXP(-LN(2)/2)*DH109+(1-EXP(-LN(2)/2))/(LN(2)/2)*DB110*DE110*VLOOKUP('Données projet'!$B$13,Paramètres!$A$1:$I$88,3,0)*0.475*44/12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68.969949812897312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projet'!$B$14,Paramètres!$A$1:$I$88,3,0)*0.475*44/12</f>
        <v>#N/A</v>
      </c>
      <c r="EB110" s="23" t="e">
        <f>EXP(-LN(2)/25)*EB109+(1-EXP(-LN(2)/25))/(LN(2)/25)*Calculateur!DW110*Calculateur!DY110*VLOOKUP('Données projet'!$B$14,Paramètres!$A$1:$I$88,3,0)*0.475*44/12</f>
        <v>#N/A</v>
      </c>
      <c r="EC110" s="23" t="e">
        <f>EXP(-LN(2)/2)*EC109+(1-EXP(-LN(2)/2))/(LN(2)/2)*DW110*DZ110*VLOOKUP('Données projet'!$B$14,Paramètres!$A$1:$I$88,3,0)*0.475*44/12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68.969949812897312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68.969949812897312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68.969949812897312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68.969949812897312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1.34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4.9133333333333331</v>
      </c>
      <c r="H111" s="70">
        <f t="shared" si="56"/>
        <v>237.01333333333332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68.987818880796326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</v>
      </c>
      <c r="N111" s="14">
        <f>IF('Données projet'!$A$36&gt;35,N110+M111-V110,IF(A111&lt;'Données projet'!$A$36,$K$205^A111,IF(A111='Données projet'!$A$36,'Données projet'!$B$36,N110+M111-V110)))</f>
        <v>275.99999999999955</v>
      </c>
      <c r="O111" s="14">
        <f>N111*VLOOKUP('Données projet'!$B$9,Paramètres!$A$1:$I$88,3,0)*VLOOKUP('Données projet'!$B$9,Paramètres!$A$1:$I$88,5,0)</f>
        <v>279.86399999999958</v>
      </c>
      <c r="P111" s="14">
        <f t="shared" si="87"/>
        <v>66.93826735896495</v>
      </c>
      <c r="Q111" s="22">
        <f t="shared" si="107"/>
        <v>604.01394898352987</v>
      </c>
      <c r="R111" s="62">
        <f t="shared" si="55"/>
        <v>893.63595154644975</v>
      </c>
      <c r="S111" s="62">
        <f ca="1">AVERAGE(OFFSET($R$3,0,0,'Données projet'!$E$9+1,1))-AVERAGE(OFFSET($H$3,0,0,'Données projet'!$E$9+1,1))</f>
        <v>488.16146816015231</v>
      </c>
      <c r="T111" s="62">
        <f t="shared" si="88"/>
        <v>259.37115195552127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0</v>
      </c>
      <c r="AA111" s="23">
        <f>EXP(-LN(2)/25)*AA110+(1-EXP(-LN(2)/25))/(LN(2)/25)*Calculateur!V111*Calculateur!X111*VLOOKUP('Données projet'!$B$9,Paramètres!$A$1:$I$88,3,0)*0.475*44/12</f>
        <v>0</v>
      </c>
      <c r="AB111" s="23">
        <f>EXP(-LN(2)/2)*AB110+(1-EXP(-LN(2)/2))/(LN(2)/2)*V111*Y111*VLOOKUP('Données projet'!$B$9,Paramètres!$A$1:$I$88,3,0)*0.475*44/12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68.987818880796326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</v>
      </c>
      <c r="AI111" s="14">
        <f>IF('Données projet'!$A$62&gt;35,AI110+AH111-AQ110,IF(A111&lt;'Données projet'!$A$62,$AF$205^A111,IF(A111='Données projet'!$A$62,'Données projet'!$B$62,AI110+AH111-AQ110)))</f>
        <v>275.99999999999955</v>
      </c>
      <c r="AJ111" s="14">
        <f>AI111*VLOOKUP('Données projet'!$B$10,Paramètres!$A$1:$I$88,3,0)*VLOOKUP('Données projet'!$B$10,Paramètres!$A$1:$I$88,5,0)</f>
        <v>249.72479999999959</v>
      </c>
      <c r="AK111" s="14">
        <f t="shared" si="89"/>
        <v>60.527007137298092</v>
      </c>
      <c r="AL111" s="22">
        <f t="shared" si="58"/>
        <v>540.35523076412676</v>
      </c>
      <c r="AM111" s="62">
        <f t="shared" si="59"/>
        <v>829.97723332704663</v>
      </c>
      <c r="AN111" s="62">
        <f ca="1">AVERAGE(OFFSET($AM$3,0,0,'Données projet'!$E$10+1,1))-AVERAGE(OFFSET($H$3,0,0,'Données projet'!$E$10+1,1))</f>
        <v>441.34749554136755</v>
      </c>
      <c r="AO111" s="62">
        <f t="shared" si="90"/>
        <v>236.49038586666222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0</v>
      </c>
      <c r="AV111" s="23">
        <f>EXP(-LN(2)/25)*AV110+(1-EXP(-LN(2)/25))/(LN(2)/25)*Calculateur!AQ111*Calculateur!AS111*VLOOKUP('Données projet'!$B$10,Paramètres!$A$1:$I$88,3,0)*0.475*44/12</f>
        <v>0</v>
      </c>
      <c r="AW111" s="23">
        <f>EXP(-LN(2)/2)*AW110+(1-EXP(-LN(2)/2))/(LN(2)/2)*AQ111*AT111*VLOOKUP('Données projet'!$B$10,Paramètres!$A$1:$I$88,3,0)*0.475*44/12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68.987818880796326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</v>
      </c>
      <c r="BD111" s="13">
        <f>IF('Données projet'!$A$88&gt;35,BD110+BC111-BL110,IF(A111&lt;'Données projet'!$A$88,$BA$205^A111,IF(A111='Données projet'!$A$88,'Données projet'!$B$88,BD110+BC111-BL110)))</f>
        <v>275.99999999999955</v>
      </c>
      <c r="BE111" s="14">
        <f>BD111*VLOOKUP('Données projet'!$B$11,Paramètres!$A$1:$I$88,3,0)*VLOOKUP('Données projet'!$B$11,Paramètres!$A$1:$I$88,5,0)</f>
        <v>297.08639999999951</v>
      </c>
      <c r="BF111" s="14">
        <f t="shared" si="91"/>
        <v>70.565314499829526</v>
      </c>
      <c r="BG111" s="22">
        <f t="shared" si="61"/>
        <v>640.32673608720222</v>
      </c>
      <c r="BH111" s="62">
        <f t="shared" si="62"/>
        <v>929.9487386501221</v>
      </c>
      <c r="BI111" s="62">
        <f ca="1">AVERAGE(OFFSET($BH$3,0,0,'Données projet'!$E$11+1,1))-AVERAGE(OFFSET($H$3,0,0,'Données projet'!$E$11+1,1))</f>
        <v>514.86487884889584</v>
      </c>
      <c r="BJ111" s="62">
        <f t="shared" si="92"/>
        <v>272.4206208356191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projet'!$B$11,Paramètres!$A$1:$I$88,3,0)*0.475*44/12</f>
        <v>0</v>
      </c>
      <c r="BQ111" s="23">
        <f>EXP(-LN(2)/25)*BQ110+(1-EXP(-LN(2)/25))/(LN(2)/25)*Calculateur!BL111*Calculateur!BN111*VLOOKUP('Données projet'!$B$11,Paramètres!$A$1:$I$88,3,0)*0.475*44/12</f>
        <v>0</v>
      </c>
      <c r="BR111" s="23">
        <f>EXP(-LN(2)/2)*BR110+(1-EXP(-LN(2)/2))/(LN(2)/2)*BL111*BO111*VLOOKUP('Données projet'!$B$11,Paramètres!$A$1:$I$88,3,0)*0.475*44/12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68.987818880796326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-1.7053025658242404E-13</v>
      </c>
      <c r="BZ111" s="14">
        <f>BY111*VLOOKUP('Données projet'!$B$12,Paramètres!$A$1:$I$88,3,0)*VLOOKUP('Données projet'!$B$12,Paramètres!$A$1:$I$88,5,0)</f>
        <v>-1.1173142411280423E-13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270.10151451661864</v>
      </c>
      <c r="CE111" s="62">
        <f t="shared" si="94"/>
        <v>294.47934482366804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projet'!$B$12,Paramètres!$A$1:$I$88,3,0)*0.475*44/12</f>
        <v>0</v>
      </c>
      <c r="CL111" s="23">
        <f>EXP(-LN(2)/25)*CL110+(1-EXP(-LN(2)/25))/(LN(2)/25)*Calculateur!CG111*Calculateur!CI111*VLOOKUP('Données projet'!$B$12,Paramètres!$A$1:$I$88,3,0)*0.475*44/12</f>
        <v>0</v>
      </c>
      <c r="CM111" s="23">
        <f>EXP(-LN(2)/2)*CM110+(1-EXP(-LN(2)/2))/(LN(2)/2)*CG111*CJ111*VLOOKUP('Données projet'!$B$12,Paramètres!$A$1:$I$88,3,0)*0.475*44/12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68.987818880796326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-1.7053025658242404E-13</v>
      </c>
      <c r="CU111" s="18">
        <f>CT111*VLOOKUP('Données projet'!$B$13,Paramètres!$A$1:$I$88,3,0)*VLOOKUP('Données projet'!$B$13,Paramètres!$A$1:$I$88,5,0)</f>
        <v>-1.1173142411280423E-13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270.10151451661864</v>
      </c>
      <c r="CZ111" s="62">
        <f t="shared" si="96"/>
        <v>294.47934482366804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projet'!$B$13,Paramètres!$A$1:$I$88,3,0)*0.475*44/12</f>
        <v>0</v>
      </c>
      <c r="DG111" s="23">
        <f>EXP(-LN(2)/25)*DG110+(1-EXP(-LN(2)/25))/(LN(2)/25)*Calculateur!DB111*Calculateur!DD111*VLOOKUP('Données projet'!$B$13,Paramètres!$A$1:$I$88,3,0)*0.475*44/12</f>
        <v>0</v>
      </c>
      <c r="DH111" s="23">
        <f>EXP(-LN(2)/2)*DH110+(1-EXP(-LN(2)/2))/(LN(2)/2)*DB111*DE111*VLOOKUP('Données projet'!$B$13,Paramètres!$A$1:$I$88,3,0)*0.475*44/12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68.987818880796326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projet'!$B$14,Paramètres!$A$1:$I$88,3,0)*0.475*44/12</f>
        <v>#N/A</v>
      </c>
      <c r="EB111" s="23" t="e">
        <f>EXP(-LN(2)/25)*EB110+(1-EXP(-LN(2)/25))/(LN(2)/25)*Calculateur!DW111*Calculateur!DY111*VLOOKUP('Données projet'!$B$14,Paramètres!$A$1:$I$88,3,0)*0.475*44/12</f>
        <v>#N/A</v>
      </c>
      <c r="EC111" s="23" t="e">
        <f>EXP(-LN(2)/2)*EC110+(1-EXP(-LN(2)/2))/(LN(2)/2)*DW111*DZ111*VLOOKUP('Données projet'!$B$14,Paramètres!$A$1:$I$88,3,0)*0.475*44/12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68.987818880796326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68.987818880796326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68.987818880796326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68.987818880796326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1.34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4.9133333333333331</v>
      </c>
      <c r="H112" s="70">
        <f t="shared" si="56"/>
        <v>237.01333333333332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69.005377960316522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</v>
      </c>
      <c r="N112" s="14">
        <f>IF('Données projet'!$A$36&gt;35,N111+M112-V111,IF(A112&lt;'Données projet'!$A$36,$K$205^A112,IF(A112='Données projet'!$A$36,'Données projet'!$B$36,N111+M112-V111)))</f>
        <v>279.99999999999955</v>
      </c>
      <c r="O112" s="14">
        <f>N112*VLOOKUP('Données projet'!$B$9,Paramètres!$A$1:$I$88,3,0)*VLOOKUP('Données projet'!$B$9,Paramètres!$A$1:$I$88,5,0)</f>
        <v>283.91999999999956</v>
      </c>
      <c r="P112" s="14">
        <f t="shared" si="87"/>
        <v>67.794746071143507</v>
      </c>
      <c r="Q112" s="22">
        <f t="shared" si="107"/>
        <v>612.56984940724078</v>
      </c>
      <c r="R112" s="62">
        <f t="shared" si="55"/>
        <v>902.25623526173467</v>
      </c>
      <c r="S112" s="62">
        <f ca="1">AVERAGE(OFFSET($R$3,0,0,'Données projet'!$E$9+1,1))-AVERAGE(OFFSET($H$3,0,0,'Données projet'!$E$9+1,1))</f>
        <v>488.16146816015231</v>
      </c>
      <c r="T112" s="62">
        <f t="shared" si="88"/>
        <v>259.37115195552127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0</v>
      </c>
      <c r="AA112" s="23">
        <f>EXP(-LN(2)/25)*AA111+(1-EXP(-LN(2)/25))/(LN(2)/25)*Calculateur!V112*Calculateur!X112*VLOOKUP('Données projet'!$B$9,Paramètres!$A$1:$I$88,3,0)*0.475*44/12</f>
        <v>0</v>
      </c>
      <c r="AB112" s="23">
        <f>EXP(-LN(2)/2)*AB111+(1-EXP(-LN(2)/2))/(LN(2)/2)*V112*Y112*VLOOKUP('Données projet'!$B$9,Paramètres!$A$1:$I$88,3,0)*0.475*44/12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69.005377960316522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</v>
      </c>
      <c r="AI112" s="14">
        <f>IF('Données projet'!$A$62&gt;35,AI111+AH112-AQ111,IF(A112&lt;'Données projet'!$A$62,$AF$205^A112,IF(A112='Données projet'!$A$62,'Données projet'!$B$62,AI111+AH112-AQ111)))</f>
        <v>279.99999999999955</v>
      </c>
      <c r="AJ112" s="14">
        <f>AI112*VLOOKUP('Données projet'!$B$10,Paramètres!$A$1:$I$88,3,0)*VLOOKUP('Données projet'!$B$10,Paramètres!$A$1:$I$88,5,0)</f>
        <v>253.34399999999957</v>
      </c>
      <c r="AK112" s="14">
        <f t="shared" si="89"/>
        <v>61.301453431926198</v>
      </c>
      <c r="AL112" s="22">
        <f t="shared" si="58"/>
        <v>548.00749806060401</v>
      </c>
      <c r="AM112" s="62">
        <f t="shared" si="59"/>
        <v>837.69388391509801</v>
      </c>
      <c r="AN112" s="62">
        <f ca="1">AVERAGE(OFFSET($AM$3,0,0,'Données projet'!$E$10+1,1))-AVERAGE(OFFSET($H$3,0,0,'Données projet'!$E$10+1,1))</f>
        <v>441.34749554136755</v>
      </c>
      <c r="AO112" s="62">
        <f t="shared" si="90"/>
        <v>236.49038586666222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0</v>
      </c>
      <c r="AV112" s="23">
        <f>EXP(-LN(2)/25)*AV111+(1-EXP(-LN(2)/25))/(LN(2)/25)*Calculateur!AQ112*Calculateur!AS112*VLOOKUP('Données projet'!$B$10,Paramètres!$A$1:$I$88,3,0)*0.475*44/12</f>
        <v>0</v>
      </c>
      <c r="AW112" s="23">
        <f>EXP(-LN(2)/2)*AW111+(1-EXP(-LN(2)/2))/(LN(2)/2)*AQ112*AT112*VLOOKUP('Données projet'!$B$10,Paramètres!$A$1:$I$88,3,0)*0.475*44/12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69.005377960316522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</v>
      </c>
      <c r="BD112" s="13">
        <f>IF('Données projet'!$A$88&gt;35,BD111+BC112-BL111,IF(A112&lt;'Données projet'!$A$88,$BA$205^A112,IF(A112='Données projet'!$A$88,'Données projet'!$B$88,BD111+BC112-BL111)))</f>
        <v>279.99999999999955</v>
      </c>
      <c r="BE112" s="14">
        <f>BD112*VLOOKUP('Données projet'!$B$11,Paramètres!$A$1:$I$88,3,0)*VLOOKUP('Données projet'!$B$11,Paramètres!$A$1:$I$88,5,0)</f>
        <v>301.39199999999948</v>
      </c>
      <c r="BF112" s="14">
        <f t="shared" si="91"/>
        <v>71.468201474229161</v>
      </c>
      <c r="BG112" s="22">
        <f t="shared" si="61"/>
        <v>649.39818423428153</v>
      </c>
      <c r="BH112" s="62">
        <f t="shared" si="62"/>
        <v>939.08457008877554</v>
      </c>
      <c r="BI112" s="62">
        <f ca="1">AVERAGE(OFFSET($BH$3,0,0,'Données projet'!$E$11+1,1))-AVERAGE(OFFSET($H$3,0,0,'Données projet'!$E$11+1,1))</f>
        <v>514.86487884889584</v>
      </c>
      <c r="BJ112" s="62">
        <f t="shared" si="92"/>
        <v>272.4206208356191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projet'!$B$11,Paramètres!$A$1:$I$88,3,0)*0.475*44/12</f>
        <v>0</v>
      </c>
      <c r="BQ112" s="23">
        <f>EXP(-LN(2)/25)*BQ111+(1-EXP(-LN(2)/25))/(LN(2)/25)*Calculateur!BL112*Calculateur!BN112*VLOOKUP('Données projet'!$B$11,Paramètres!$A$1:$I$88,3,0)*0.475*44/12</f>
        <v>0</v>
      </c>
      <c r="BR112" s="23">
        <f>EXP(-LN(2)/2)*BR111+(1-EXP(-LN(2)/2))/(LN(2)/2)*BL112*BO112*VLOOKUP('Données projet'!$B$11,Paramètres!$A$1:$I$88,3,0)*0.475*44/12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69.005377960316522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-1.7053025658242404E-13</v>
      </c>
      <c r="BZ112" s="14">
        <f>BY112*VLOOKUP('Données projet'!$B$12,Paramètres!$A$1:$I$88,3,0)*VLOOKUP('Données projet'!$B$12,Paramètres!$A$1:$I$88,5,0)</f>
        <v>-1.1173142411280423E-13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270.10151451661864</v>
      </c>
      <c r="CE112" s="62">
        <f t="shared" si="94"/>
        <v>294.47934482366804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projet'!$B$12,Paramètres!$A$1:$I$88,3,0)*0.475*44/12</f>
        <v>0</v>
      </c>
      <c r="CL112" s="23">
        <f>EXP(-LN(2)/25)*CL111+(1-EXP(-LN(2)/25))/(LN(2)/25)*Calculateur!CG112*Calculateur!CI112*VLOOKUP('Données projet'!$B$12,Paramètres!$A$1:$I$88,3,0)*0.475*44/12</f>
        <v>0</v>
      </c>
      <c r="CM112" s="23">
        <f>EXP(-LN(2)/2)*CM111+(1-EXP(-LN(2)/2))/(LN(2)/2)*CG112*CJ112*VLOOKUP('Données projet'!$B$12,Paramètres!$A$1:$I$88,3,0)*0.475*44/12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69.005377960316522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-1.7053025658242404E-13</v>
      </c>
      <c r="CU112" s="18">
        <f>CT112*VLOOKUP('Données projet'!$B$13,Paramètres!$A$1:$I$88,3,0)*VLOOKUP('Données projet'!$B$13,Paramètres!$A$1:$I$88,5,0)</f>
        <v>-1.1173142411280423E-13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270.10151451661864</v>
      </c>
      <c r="CZ112" s="62">
        <f t="shared" si="96"/>
        <v>294.47934482366804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projet'!$B$13,Paramètres!$A$1:$I$88,3,0)*0.475*44/12</f>
        <v>0</v>
      </c>
      <c r="DG112" s="23">
        <f>EXP(-LN(2)/25)*DG111+(1-EXP(-LN(2)/25))/(LN(2)/25)*Calculateur!DB112*Calculateur!DD112*VLOOKUP('Données projet'!$B$13,Paramètres!$A$1:$I$88,3,0)*0.475*44/12</f>
        <v>0</v>
      </c>
      <c r="DH112" s="23">
        <f>EXP(-LN(2)/2)*DH111+(1-EXP(-LN(2)/2))/(LN(2)/2)*DB112*DE112*VLOOKUP('Données projet'!$B$13,Paramètres!$A$1:$I$88,3,0)*0.475*44/12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69.005377960316522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projet'!$B$14,Paramètres!$A$1:$I$88,3,0)*0.475*44/12</f>
        <v>#N/A</v>
      </c>
      <c r="EB112" s="23" t="e">
        <f>EXP(-LN(2)/25)*EB111+(1-EXP(-LN(2)/25))/(LN(2)/25)*Calculateur!DW112*Calculateur!DY112*VLOOKUP('Données projet'!$B$14,Paramètres!$A$1:$I$88,3,0)*0.475*44/12</f>
        <v>#N/A</v>
      </c>
      <c r="EC112" s="23" t="e">
        <f>EXP(-LN(2)/2)*EC111+(1-EXP(-LN(2)/2))/(LN(2)/2)*DW112*DZ112*VLOOKUP('Données projet'!$B$14,Paramètres!$A$1:$I$88,3,0)*0.475*44/12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69.005377960316522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69.005377960316522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69.005377960316522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69.005377960316522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1.34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4.9133333333333331</v>
      </c>
      <c r="H113" s="70">
        <f t="shared" si="56"/>
        <v>237.01333333333332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69.022632429063279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</v>
      </c>
      <c r="N113" s="14">
        <f>IF('Données projet'!$A$36&gt;35,N112+M113-V112,IF(A113&lt;'Données projet'!$A$36,$K$205^A113,IF(A113='Données projet'!$A$36,'Données projet'!$B$36,N112+M113-V112)))</f>
        <v>283.99999999999955</v>
      </c>
      <c r="O113" s="14">
        <f>N113*VLOOKUP('Données projet'!$B$9,Paramètres!$A$1:$I$88,3,0)*VLOOKUP('Données projet'!$B$9,Paramètres!$A$1:$I$88,5,0)</f>
        <v>287.97599999999954</v>
      </c>
      <c r="P113" s="14">
        <f t="shared" si="87"/>
        <v>68.649801713863027</v>
      </c>
      <c r="Q113" s="22">
        <f t="shared" si="107"/>
        <v>621.12327131831069</v>
      </c>
      <c r="R113" s="62">
        <f t="shared" si="55"/>
        <v>910.87292355820932</v>
      </c>
      <c r="S113" s="62">
        <f ca="1">AVERAGE(OFFSET($R$3,0,0,'Données projet'!$E$9+1,1))-AVERAGE(OFFSET($H$3,0,0,'Données projet'!$E$9+1,1))</f>
        <v>488.16146816015231</v>
      </c>
      <c r="T113" s="62">
        <f t="shared" si="88"/>
        <v>259.37115195552127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0</v>
      </c>
      <c r="AA113" s="23">
        <f>EXP(-LN(2)/25)*AA112+(1-EXP(-LN(2)/25))/(LN(2)/25)*Calculateur!V113*Calculateur!X113*VLOOKUP('Données projet'!$B$9,Paramètres!$A$1:$I$88,3,0)*0.475*44/12</f>
        <v>0</v>
      </c>
      <c r="AB113" s="23">
        <f>EXP(-LN(2)/2)*AB112+(1-EXP(-LN(2)/2))/(LN(2)/2)*V113*Y113*VLOOKUP('Données projet'!$B$9,Paramètres!$A$1:$I$88,3,0)*0.475*44/12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69.022632429063279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4</v>
      </c>
      <c r="AI113" s="14">
        <f>IF('Données projet'!$A$62&gt;35,AI112+AH113-AQ112,IF(A113&lt;'Données projet'!$A$62,$AF$205^A113,IF(A113='Données projet'!$A$62,'Données projet'!$B$62,AI112+AH113-AQ112)))</f>
        <v>283.99999999999955</v>
      </c>
      <c r="AJ113" s="14">
        <f>AI113*VLOOKUP('Données projet'!$B$10,Paramètres!$A$1:$I$88,3,0)*VLOOKUP('Données projet'!$B$10,Paramètres!$A$1:$I$88,5,0)</f>
        <v>256.96319999999957</v>
      </c>
      <c r="AK113" s="14">
        <f t="shared" si="89"/>
        <v>62.07461295683791</v>
      </c>
      <c r="AL113" s="22">
        <f t="shared" si="58"/>
        <v>555.6575242331586</v>
      </c>
      <c r="AM113" s="62">
        <f t="shared" si="59"/>
        <v>845.40717647305723</v>
      </c>
      <c r="AN113" s="62">
        <f ca="1">AVERAGE(OFFSET($AM$3,0,0,'Données projet'!$E$10+1,1))-AVERAGE(OFFSET($H$3,0,0,'Données projet'!$E$10+1,1))</f>
        <v>441.34749554136755</v>
      </c>
      <c r="AO113" s="62">
        <f t="shared" si="90"/>
        <v>236.49038586666222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0</v>
      </c>
      <c r="AV113" s="23">
        <f>EXP(-LN(2)/25)*AV112+(1-EXP(-LN(2)/25))/(LN(2)/25)*Calculateur!AQ113*Calculateur!AS113*VLOOKUP('Données projet'!$B$10,Paramètres!$A$1:$I$88,3,0)*0.475*44/12</f>
        <v>0</v>
      </c>
      <c r="AW113" s="23">
        <f>EXP(-LN(2)/2)*AW112+(1-EXP(-LN(2)/2))/(LN(2)/2)*AQ113*AT113*VLOOKUP('Données projet'!$B$10,Paramètres!$A$1:$I$88,3,0)*0.475*44/12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69.022632429063279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4</v>
      </c>
      <c r="BD113" s="13">
        <f>IF('Données projet'!$A$88&gt;35,BD112+BC113-BL112,IF(A113&lt;'Données projet'!$A$88,$BA$205^A113,IF(A113='Données projet'!$A$88,'Données projet'!$B$88,BD112+BC113-BL112)))</f>
        <v>283.99999999999955</v>
      </c>
      <c r="BE113" s="14">
        <f>BD113*VLOOKUP('Données projet'!$B$11,Paramètres!$A$1:$I$88,3,0)*VLOOKUP('Données projet'!$B$11,Paramètres!$A$1:$I$88,5,0)</f>
        <v>305.69759999999951</v>
      </c>
      <c r="BF113" s="14">
        <f t="shared" si="91"/>
        <v>72.36958827021229</v>
      </c>
      <c r="BG113" s="22">
        <f t="shared" si="61"/>
        <v>658.46701957061885</v>
      </c>
      <c r="BH113" s="62">
        <f t="shared" si="62"/>
        <v>948.21667181051748</v>
      </c>
      <c r="BI113" s="62">
        <f ca="1">AVERAGE(OFFSET($BH$3,0,0,'Données projet'!$E$11+1,1))-AVERAGE(OFFSET($H$3,0,0,'Données projet'!$E$11+1,1))</f>
        <v>514.86487884889584</v>
      </c>
      <c r="BJ113" s="62">
        <f t="shared" si="92"/>
        <v>272.4206208356191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projet'!$B$11,Paramètres!$A$1:$I$88,3,0)*0.475*44/12</f>
        <v>0</v>
      </c>
      <c r="BQ113" s="23">
        <f>EXP(-LN(2)/25)*BQ112+(1-EXP(-LN(2)/25))/(LN(2)/25)*Calculateur!BL113*Calculateur!BN113*VLOOKUP('Données projet'!$B$11,Paramètres!$A$1:$I$88,3,0)*0.475*44/12</f>
        <v>0</v>
      </c>
      <c r="BR113" s="23">
        <f>EXP(-LN(2)/2)*BR112+(1-EXP(-LN(2)/2))/(LN(2)/2)*BL113*BO113*VLOOKUP('Données projet'!$B$11,Paramètres!$A$1:$I$88,3,0)*0.475*44/12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69.022632429063279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-1.7053025658242404E-13</v>
      </c>
      <c r="BZ113" s="14">
        <f>BY113*VLOOKUP('Données projet'!$B$12,Paramètres!$A$1:$I$88,3,0)*VLOOKUP('Données projet'!$B$12,Paramètres!$A$1:$I$88,5,0)</f>
        <v>-1.1173142411280423E-13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270.10151451661864</v>
      </c>
      <c r="CE113" s="62">
        <f t="shared" si="94"/>
        <v>294.47934482366804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projet'!$B$12,Paramètres!$A$1:$I$88,3,0)*0.475*44/12</f>
        <v>0</v>
      </c>
      <c r="CL113" s="23">
        <f>EXP(-LN(2)/25)*CL112+(1-EXP(-LN(2)/25))/(LN(2)/25)*Calculateur!CG113*Calculateur!CI113*VLOOKUP('Données projet'!$B$12,Paramètres!$A$1:$I$88,3,0)*0.475*44/12</f>
        <v>0</v>
      </c>
      <c r="CM113" s="23">
        <f>EXP(-LN(2)/2)*CM112+(1-EXP(-LN(2)/2))/(LN(2)/2)*CG113*CJ113*VLOOKUP('Données projet'!$B$12,Paramètres!$A$1:$I$88,3,0)*0.475*44/12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69.022632429063279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-1.7053025658242404E-13</v>
      </c>
      <c r="CU113" s="18">
        <f>CT113*VLOOKUP('Données projet'!$B$13,Paramètres!$A$1:$I$88,3,0)*VLOOKUP('Données projet'!$B$13,Paramètres!$A$1:$I$88,5,0)</f>
        <v>-1.1173142411280423E-13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270.10151451661864</v>
      </c>
      <c r="CZ113" s="62">
        <f t="shared" si="96"/>
        <v>294.47934482366804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projet'!$B$13,Paramètres!$A$1:$I$88,3,0)*0.475*44/12</f>
        <v>0</v>
      </c>
      <c r="DG113" s="23">
        <f>EXP(-LN(2)/25)*DG112+(1-EXP(-LN(2)/25))/(LN(2)/25)*Calculateur!DB113*Calculateur!DD113*VLOOKUP('Données projet'!$B$13,Paramètres!$A$1:$I$88,3,0)*0.475*44/12</f>
        <v>0</v>
      </c>
      <c r="DH113" s="23">
        <f>EXP(-LN(2)/2)*DH112+(1-EXP(-LN(2)/2))/(LN(2)/2)*DB113*DE113*VLOOKUP('Données projet'!$B$13,Paramètres!$A$1:$I$88,3,0)*0.475*44/12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69.022632429063279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projet'!$B$14,Paramètres!$A$1:$I$88,3,0)*0.475*44/12</f>
        <v>#N/A</v>
      </c>
      <c r="EB113" s="23" t="e">
        <f>EXP(-LN(2)/25)*EB112+(1-EXP(-LN(2)/25))/(LN(2)/25)*Calculateur!DW113*Calculateur!DY113*VLOOKUP('Données projet'!$B$14,Paramètres!$A$1:$I$88,3,0)*0.475*44/12</f>
        <v>#N/A</v>
      </c>
      <c r="EC113" s="23" t="e">
        <f>EXP(-LN(2)/2)*EC112+(1-EXP(-LN(2)/2))/(LN(2)/2)*DW113*DZ113*VLOOKUP('Données projet'!$B$14,Paramètres!$A$1:$I$88,3,0)*0.475*44/12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69.022632429063279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69.022632429063279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69.022632429063279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69.022632429063279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1.34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4.9133333333333331</v>
      </c>
      <c r="H114" s="70">
        <f t="shared" si="56"/>
        <v>237.01333333333332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69.039587571352484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</v>
      </c>
      <c r="N114" s="14">
        <f>IF('Données projet'!$A$36&gt;35,N113+M114-V113,IF(A114&lt;'Données projet'!$A$36,$K$205^A114,IF(A114='Données projet'!$A$36,'Données projet'!$B$36,N113+M114-V113)))</f>
        <v>287.99999999999955</v>
      </c>
      <c r="O114" s="14">
        <f>N114*VLOOKUP('Données projet'!$B$9,Paramètres!$A$1:$I$88,3,0)*VLOOKUP('Données projet'!$B$9,Paramètres!$A$1:$I$88,5,0)</f>
        <v>292.03199999999953</v>
      </c>
      <c r="P114" s="14">
        <f t="shared" si="87"/>
        <v>69.503456646543185</v>
      </c>
      <c r="Q114" s="22">
        <f t="shared" si="107"/>
        <v>629.67425365939516</v>
      </c>
      <c r="R114" s="62">
        <f t="shared" si="55"/>
        <v>919.48607475435426</v>
      </c>
      <c r="S114" s="62">
        <f ca="1">AVERAGE(OFFSET($R$3,0,0,'Données projet'!$E$9+1,1))-AVERAGE(OFFSET($H$3,0,0,'Données projet'!$E$9+1,1))</f>
        <v>488.16146816015231</v>
      </c>
      <c r="T114" s="62">
        <f t="shared" si="88"/>
        <v>259.37115195552127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0</v>
      </c>
      <c r="AA114" s="23">
        <f>EXP(-LN(2)/25)*AA113+(1-EXP(-LN(2)/25))/(LN(2)/25)*Calculateur!V114*Calculateur!X114*VLOOKUP('Données projet'!$B$9,Paramètres!$A$1:$I$88,3,0)*0.475*44/12</f>
        <v>0</v>
      </c>
      <c r="AB114" s="23">
        <f>EXP(-LN(2)/2)*AB113+(1-EXP(-LN(2)/2))/(LN(2)/2)*V114*Y114*VLOOKUP('Données projet'!$B$9,Paramètres!$A$1:$I$88,3,0)*0.475*44/12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69.039587571352484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</v>
      </c>
      <c r="AI114" s="14">
        <f>IF('Données projet'!$A$62&gt;35,AI113+AH114-AQ113,IF(A114&lt;'Données projet'!$A$62,$AF$205^A114,IF(A114='Données projet'!$A$62,'Données projet'!$B$62,AI113+AH114-AQ113)))</f>
        <v>287.99999999999955</v>
      </c>
      <c r="AJ114" s="14">
        <f>AI114*VLOOKUP('Données projet'!$B$10,Paramètres!$A$1:$I$88,3,0)*VLOOKUP('Données projet'!$B$10,Paramètres!$A$1:$I$88,5,0)</f>
        <v>260.58239999999961</v>
      </c>
      <c r="AK114" s="14">
        <f t="shared" si="89"/>
        <v>62.846505929896793</v>
      </c>
      <c r="AL114" s="22">
        <f t="shared" si="58"/>
        <v>563.30534449456957</v>
      </c>
      <c r="AM114" s="62">
        <f t="shared" si="59"/>
        <v>853.11716558952867</v>
      </c>
      <c r="AN114" s="62">
        <f ca="1">AVERAGE(OFFSET($AM$3,0,0,'Données projet'!$E$10+1,1))-AVERAGE(OFFSET($H$3,0,0,'Données projet'!$E$10+1,1))</f>
        <v>441.34749554136755</v>
      </c>
      <c r="AO114" s="62">
        <f t="shared" si="90"/>
        <v>236.49038586666222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0</v>
      </c>
      <c r="AV114" s="23">
        <f>EXP(-LN(2)/25)*AV113+(1-EXP(-LN(2)/25))/(LN(2)/25)*Calculateur!AQ114*Calculateur!AS114*VLOOKUP('Données projet'!$B$10,Paramètres!$A$1:$I$88,3,0)*0.475*44/12</f>
        <v>0</v>
      </c>
      <c r="AW114" s="23">
        <f>EXP(-LN(2)/2)*AW113+(1-EXP(-LN(2)/2))/(LN(2)/2)*AQ114*AT114*VLOOKUP('Données projet'!$B$10,Paramètres!$A$1:$I$88,3,0)*0.475*44/12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69.039587571352484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</v>
      </c>
      <c r="BD114" s="13">
        <f>IF('Données projet'!$A$88&gt;35,BD113+BC114-BL113,IF(A114&lt;'Données projet'!$A$88,$BA$205^A114,IF(A114='Données projet'!$A$88,'Données projet'!$B$88,BD113+BC114-BL113)))</f>
        <v>287.99999999999955</v>
      </c>
      <c r="BE114" s="14">
        <f>BD114*VLOOKUP('Données projet'!$B$11,Paramètres!$A$1:$I$88,3,0)*VLOOKUP('Données projet'!$B$11,Paramètres!$A$1:$I$88,5,0)</f>
        <v>310.00319999999948</v>
      </c>
      <c r="BF114" s="14">
        <f t="shared" si="91"/>
        <v>73.269498458742731</v>
      </c>
      <c r="BG114" s="22">
        <f t="shared" si="61"/>
        <v>667.5332831489759</v>
      </c>
      <c r="BH114" s="62">
        <f t="shared" si="62"/>
        <v>957.345104243935</v>
      </c>
      <c r="BI114" s="62">
        <f ca="1">AVERAGE(OFFSET($BH$3,0,0,'Données projet'!$E$11+1,1))-AVERAGE(OFFSET($H$3,0,0,'Données projet'!$E$11+1,1))</f>
        <v>514.86487884889584</v>
      </c>
      <c r="BJ114" s="62">
        <f t="shared" si="92"/>
        <v>272.4206208356191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projet'!$B$11,Paramètres!$A$1:$I$88,3,0)*0.475*44/12</f>
        <v>0</v>
      </c>
      <c r="BQ114" s="23">
        <f>EXP(-LN(2)/25)*BQ113+(1-EXP(-LN(2)/25))/(LN(2)/25)*Calculateur!BL114*Calculateur!BN114*VLOOKUP('Données projet'!$B$11,Paramètres!$A$1:$I$88,3,0)*0.475*44/12</f>
        <v>0</v>
      </c>
      <c r="BR114" s="23">
        <f>EXP(-LN(2)/2)*BR113+(1-EXP(-LN(2)/2))/(LN(2)/2)*BL114*BO114*VLOOKUP('Données projet'!$B$11,Paramètres!$A$1:$I$88,3,0)*0.475*44/12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69.039587571352484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-1.7053025658242404E-13</v>
      </c>
      <c r="BZ114" s="14">
        <f>BY114*VLOOKUP('Données projet'!$B$12,Paramètres!$A$1:$I$88,3,0)*VLOOKUP('Données projet'!$B$12,Paramètres!$A$1:$I$88,5,0)</f>
        <v>-1.1173142411280423E-13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270.10151451661864</v>
      </c>
      <c r="CE114" s="62">
        <f t="shared" si="94"/>
        <v>294.47934482366804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projet'!$B$12,Paramètres!$A$1:$I$88,3,0)*0.475*44/12</f>
        <v>0</v>
      </c>
      <c r="CL114" s="23">
        <f>EXP(-LN(2)/25)*CL113+(1-EXP(-LN(2)/25))/(LN(2)/25)*Calculateur!CG114*Calculateur!CI114*VLOOKUP('Données projet'!$B$12,Paramètres!$A$1:$I$88,3,0)*0.475*44/12</f>
        <v>0</v>
      </c>
      <c r="CM114" s="23">
        <f>EXP(-LN(2)/2)*CM113+(1-EXP(-LN(2)/2))/(LN(2)/2)*CG114*CJ114*VLOOKUP('Données projet'!$B$12,Paramètres!$A$1:$I$88,3,0)*0.475*44/12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69.039587571352484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-1.7053025658242404E-13</v>
      </c>
      <c r="CU114" s="18">
        <f>CT114*VLOOKUP('Données projet'!$B$13,Paramètres!$A$1:$I$88,3,0)*VLOOKUP('Données projet'!$B$13,Paramètres!$A$1:$I$88,5,0)</f>
        <v>-1.1173142411280423E-13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270.10151451661864</v>
      </c>
      <c r="CZ114" s="62">
        <f t="shared" si="96"/>
        <v>294.47934482366804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projet'!$B$13,Paramètres!$A$1:$I$88,3,0)*0.475*44/12</f>
        <v>0</v>
      </c>
      <c r="DG114" s="23">
        <f>EXP(-LN(2)/25)*DG113+(1-EXP(-LN(2)/25))/(LN(2)/25)*Calculateur!DB114*Calculateur!DD114*VLOOKUP('Données projet'!$B$13,Paramètres!$A$1:$I$88,3,0)*0.475*44/12</f>
        <v>0</v>
      </c>
      <c r="DH114" s="23">
        <f>EXP(-LN(2)/2)*DH113+(1-EXP(-LN(2)/2))/(LN(2)/2)*DB114*DE114*VLOOKUP('Données projet'!$B$13,Paramètres!$A$1:$I$88,3,0)*0.475*44/12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69.039587571352484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projet'!$B$14,Paramètres!$A$1:$I$88,3,0)*0.475*44/12</f>
        <v>#N/A</v>
      </c>
      <c r="EB114" s="23" t="e">
        <f>EXP(-LN(2)/25)*EB113+(1-EXP(-LN(2)/25))/(LN(2)/25)*Calculateur!DW114*Calculateur!DY114*VLOOKUP('Données projet'!$B$14,Paramètres!$A$1:$I$88,3,0)*0.475*44/12</f>
        <v>#N/A</v>
      </c>
      <c r="EC114" s="23" t="e">
        <f>EXP(-LN(2)/2)*EC113+(1-EXP(-LN(2)/2))/(LN(2)/2)*DW114*DZ114*VLOOKUP('Données projet'!$B$14,Paramètres!$A$1:$I$88,3,0)*0.475*44/12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69.039587571352484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69.039587571352484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69.039587571352484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69.039587571352484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1.34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4.9133333333333331</v>
      </c>
      <c r="H115" s="70">
        <f t="shared" si="56"/>
        <v>237.01333333333332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69.056248579829003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</v>
      </c>
      <c r="N115" s="14">
        <f>IF('Données projet'!$A$36&gt;35,N114+M115-V114,IF(A115&lt;'Données projet'!$A$36,$K$205^A115,IF(A115='Données projet'!$A$36,'Données projet'!$B$36,N114+M115-V114)))</f>
        <v>291.99999999999955</v>
      </c>
      <c r="O115" s="14">
        <f>N115*VLOOKUP('Données projet'!$B$9,Paramètres!$A$1:$I$88,3,0)*VLOOKUP('Données projet'!$B$9,Paramètres!$A$1:$I$88,5,0)</f>
        <v>296.08799999999957</v>
      </c>
      <c r="P115" s="14">
        <f t="shared" si="87"/>
        <v>70.35573257182898</v>
      </c>
      <c r="Q115" s="22">
        <f t="shared" si="107"/>
        <v>638.22283422926796</v>
      </c>
      <c r="R115" s="62">
        <f t="shared" si="55"/>
        <v>928.09574568864105</v>
      </c>
      <c r="S115" s="62">
        <f ca="1">AVERAGE(OFFSET($R$3,0,0,'Données projet'!$E$9+1,1))-AVERAGE(OFFSET($H$3,0,0,'Données projet'!$E$9+1,1))</f>
        <v>488.16146816015231</v>
      </c>
      <c r="T115" s="62">
        <f t="shared" si="88"/>
        <v>259.37115195552127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0</v>
      </c>
      <c r="AA115" s="23">
        <f>EXP(-LN(2)/25)*AA114+(1-EXP(-LN(2)/25))/(LN(2)/25)*Calculateur!V115*Calculateur!X115*VLOOKUP('Données projet'!$B$9,Paramètres!$A$1:$I$88,3,0)*0.475*44/12</f>
        <v>0</v>
      </c>
      <c r="AB115" s="23">
        <f>EXP(-LN(2)/2)*AB114+(1-EXP(-LN(2)/2))/(LN(2)/2)*V115*Y115*VLOOKUP('Données projet'!$B$9,Paramètres!$A$1:$I$88,3,0)*0.475*44/12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69.056248579829003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</v>
      </c>
      <c r="AI115" s="14">
        <f>IF('Données projet'!$A$62&gt;35,AI114+AH115-AQ114,IF(A115&lt;'Données projet'!$A$62,$AF$205^A115,IF(A115='Données projet'!$A$62,'Données projet'!$B$62,AI114+AH115-AQ114)))</f>
        <v>291.99999999999955</v>
      </c>
      <c r="AJ115" s="14">
        <f>AI115*VLOOKUP('Données projet'!$B$10,Paramètres!$A$1:$I$88,3,0)*VLOOKUP('Données projet'!$B$10,Paramètres!$A$1:$I$88,5,0)</f>
        <v>264.20159999999959</v>
      </c>
      <c r="AK115" s="14">
        <f t="shared" si="89"/>
        <v>63.617151975096654</v>
      </c>
      <c r="AL115" s="22">
        <f t="shared" si="58"/>
        <v>570.95099302329265</v>
      </c>
      <c r="AM115" s="62">
        <f t="shared" si="59"/>
        <v>860.82390448266574</v>
      </c>
      <c r="AN115" s="62">
        <f ca="1">AVERAGE(OFFSET($AM$3,0,0,'Données projet'!$E$10+1,1))-AVERAGE(OFFSET($H$3,0,0,'Données projet'!$E$10+1,1))</f>
        <v>441.34749554136755</v>
      </c>
      <c r="AO115" s="62">
        <f t="shared" si="90"/>
        <v>236.49038586666222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0</v>
      </c>
      <c r="AV115" s="23">
        <f>EXP(-LN(2)/25)*AV114+(1-EXP(-LN(2)/25))/(LN(2)/25)*Calculateur!AQ115*Calculateur!AS115*VLOOKUP('Données projet'!$B$10,Paramètres!$A$1:$I$88,3,0)*0.475*44/12</f>
        <v>0</v>
      </c>
      <c r="AW115" s="23">
        <f>EXP(-LN(2)/2)*AW114+(1-EXP(-LN(2)/2))/(LN(2)/2)*AQ115*AT115*VLOOKUP('Données projet'!$B$10,Paramètres!$A$1:$I$88,3,0)*0.475*44/12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69.056248579829003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</v>
      </c>
      <c r="BD115" s="13">
        <f>IF('Données projet'!$A$88&gt;35,BD114+BC115-BL114,IF(A115&lt;'Données projet'!$A$88,$BA$205^A115,IF(A115='Données projet'!$A$88,'Données projet'!$B$88,BD114+BC115-BL114)))</f>
        <v>291.99999999999955</v>
      </c>
      <c r="BE115" s="14">
        <f>BD115*VLOOKUP('Données projet'!$B$11,Paramètres!$A$1:$I$88,3,0)*VLOOKUP('Données projet'!$B$11,Paramètres!$A$1:$I$88,5,0)</f>
        <v>314.30879999999951</v>
      </c>
      <c r="BF115" s="14">
        <f t="shared" si="91"/>
        <v>74.167954918422311</v>
      </c>
      <c r="BG115" s="22">
        <f t="shared" si="61"/>
        <v>676.59701481625132</v>
      </c>
      <c r="BH115" s="62">
        <f t="shared" si="62"/>
        <v>966.4699262756244</v>
      </c>
      <c r="BI115" s="62">
        <f ca="1">AVERAGE(OFFSET($BH$3,0,0,'Données projet'!$E$11+1,1))-AVERAGE(OFFSET($H$3,0,0,'Données projet'!$E$11+1,1))</f>
        <v>514.86487884889584</v>
      </c>
      <c r="BJ115" s="62">
        <f t="shared" si="92"/>
        <v>272.4206208356191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projet'!$B$11,Paramètres!$A$1:$I$88,3,0)*0.475*44/12</f>
        <v>0</v>
      </c>
      <c r="BQ115" s="23">
        <f>EXP(-LN(2)/25)*BQ114+(1-EXP(-LN(2)/25))/(LN(2)/25)*Calculateur!BL115*Calculateur!BN115*VLOOKUP('Données projet'!$B$11,Paramètres!$A$1:$I$88,3,0)*0.475*44/12</f>
        <v>0</v>
      </c>
      <c r="BR115" s="23">
        <f>EXP(-LN(2)/2)*BR114+(1-EXP(-LN(2)/2))/(LN(2)/2)*BL115*BO115*VLOOKUP('Données projet'!$B$11,Paramètres!$A$1:$I$88,3,0)*0.475*44/12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69.056248579829003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-1.7053025658242404E-13</v>
      </c>
      <c r="BZ115" s="14">
        <f>BY115*VLOOKUP('Données projet'!$B$12,Paramètres!$A$1:$I$88,3,0)*VLOOKUP('Données projet'!$B$12,Paramètres!$A$1:$I$88,5,0)</f>
        <v>-1.1173142411280423E-13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270.10151451661864</v>
      </c>
      <c r="CE115" s="62">
        <f t="shared" si="94"/>
        <v>294.47934482366804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projet'!$B$12,Paramètres!$A$1:$I$88,3,0)*0.475*44/12</f>
        <v>0</v>
      </c>
      <c r="CL115" s="23">
        <f>EXP(-LN(2)/25)*CL114+(1-EXP(-LN(2)/25))/(LN(2)/25)*Calculateur!CG115*Calculateur!CI115*VLOOKUP('Données projet'!$B$12,Paramètres!$A$1:$I$88,3,0)*0.475*44/12</f>
        <v>0</v>
      </c>
      <c r="CM115" s="23">
        <f>EXP(-LN(2)/2)*CM114+(1-EXP(-LN(2)/2))/(LN(2)/2)*CG115*CJ115*VLOOKUP('Données projet'!$B$12,Paramètres!$A$1:$I$88,3,0)*0.475*44/12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69.056248579829003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-1.7053025658242404E-13</v>
      </c>
      <c r="CU115" s="18">
        <f>CT115*VLOOKUP('Données projet'!$B$13,Paramètres!$A$1:$I$88,3,0)*VLOOKUP('Données projet'!$B$13,Paramètres!$A$1:$I$88,5,0)</f>
        <v>-1.1173142411280423E-13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270.10151451661864</v>
      </c>
      <c r="CZ115" s="62">
        <f t="shared" si="96"/>
        <v>294.47934482366804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projet'!$B$13,Paramètres!$A$1:$I$88,3,0)*0.475*44/12</f>
        <v>0</v>
      </c>
      <c r="DG115" s="23">
        <f>EXP(-LN(2)/25)*DG114+(1-EXP(-LN(2)/25))/(LN(2)/25)*Calculateur!DB115*Calculateur!DD115*VLOOKUP('Données projet'!$B$13,Paramètres!$A$1:$I$88,3,0)*0.475*44/12</f>
        <v>0</v>
      </c>
      <c r="DH115" s="23">
        <f>EXP(-LN(2)/2)*DH114+(1-EXP(-LN(2)/2))/(LN(2)/2)*DB115*DE115*VLOOKUP('Données projet'!$B$13,Paramètres!$A$1:$I$88,3,0)*0.475*44/12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69.056248579829003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projet'!$B$14,Paramètres!$A$1:$I$88,3,0)*0.475*44/12</f>
        <v>#N/A</v>
      </c>
      <c r="EB115" s="23" t="e">
        <f>EXP(-LN(2)/25)*EB114+(1-EXP(-LN(2)/25))/(LN(2)/25)*Calculateur!DW115*Calculateur!DY115*VLOOKUP('Données projet'!$B$14,Paramètres!$A$1:$I$88,3,0)*0.475*44/12</f>
        <v>#N/A</v>
      </c>
      <c r="EC115" s="23" t="e">
        <f>EXP(-LN(2)/2)*EC114+(1-EXP(-LN(2)/2))/(LN(2)/2)*DW115*DZ115*VLOOKUP('Données projet'!$B$14,Paramètres!$A$1:$I$88,3,0)*0.475*44/12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69.056248579829003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69.056248579829003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69.056248579829003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69.056248579829003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1.34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4.9133333333333331</v>
      </c>
      <c r="H116" s="70">
        <f t="shared" si="56"/>
        <v>237.01333333333332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69.072620557056879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</v>
      </c>
      <c r="N116" s="14">
        <f>IF('Données projet'!$A$36&gt;35,N115+M116-V115,IF(A116&lt;'Données projet'!$A$36,$K$205^A116,IF(A116='Données projet'!$A$36,'Données projet'!$B$36,N115+M116-V115)))</f>
        <v>295.99999999999955</v>
      </c>
      <c r="O116" s="14">
        <f>N116*VLOOKUP('Données projet'!$B$9,Paramètres!$A$1:$I$88,3,0)*VLOOKUP('Données projet'!$B$9,Paramètres!$A$1:$I$88,5,0)</f>
        <v>300.14399999999955</v>
      </c>
      <c r="P116" s="14">
        <f t="shared" si="87"/>
        <v>71.206650563609799</v>
      </c>
      <c r="Q116" s="22">
        <f t="shared" si="107"/>
        <v>646.76904973161959</v>
      </c>
      <c r="R116" s="62">
        <f t="shared" si="55"/>
        <v>936.70199177416157</v>
      </c>
      <c r="S116" s="62">
        <f ca="1">AVERAGE(OFFSET($R$3,0,0,'Données projet'!$E$9+1,1))-AVERAGE(OFFSET($H$3,0,0,'Données projet'!$E$9+1,1))</f>
        <v>488.16146816015231</v>
      </c>
      <c r="T116" s="62">
        <f t="shared" si="88"/>
        <v>259.37115195552127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0</v>
      </c>
      <c r="AA116" s="23">
        <f>EXP(-LN(2)/25)*AA115+(1-EXP(-LN(2)/25))/(LN(2)/25)*Calculateur!V116*Calculateur!X116*VLOOKUP('Données projet'!$B$9,Paramètres!$A$1:$I$88,3,0)*0.475*44/12</f>
        <v>0</v>
      </c>
      <c r="AB116" s="23">
        <f>EXP(-LN(2)/2)*AB115+(1-EXP(-LN(2)/2))/(LN(2)/2)*V116*Y116*VLOOKUP('Données projet'!$B$9,Paramètres!$A$1:$I$88,3,0)*0.475*44/12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69.072620557056879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</v>
      </c>
      <c r="AI116" s="14">
        <f>IF('Données projet'!$A$62&gt;35,AI115+AH116-AQ115,IF(A116&lt;'Données projet'!$A$62,$AF$205^A116,IF(A116='Données projet'!$A$62,'Données projet'!$B$62,AI115+AH116-AQ115)))</f>
        <v>295.99999999999955</v>
      </c>
      <c r="AJ116" s="14">
        <f>AI116*VLOOKUP('Données projet'!$B$10,Paramètres!$A$1:$I$88,3,0)*VLOOKUP('Données projet'!$B$10,Paramètres!$A$1:$I$88,5,0)</f>
        <v>267.82079999999956</v>
      </c>
      <c r="AK116" s="14">
        <f t="shared" si="89"/>
        <v>64.386570147897245</v>
      </c>
      <c r="AL116" s="22">
        <f t="shared" si="58"/>
        <v>578.59450300758692</v>
      </c>
      <c r="AM116" s="62">
        <f t="shared" si="59"/>
        <v>868.52744505012879</v>
      </c>
      <c r="AN116" s="62">
        <f ca="1">AVERAGE(OFFSET($AM$3,0,0,'Données projet'!$E$10+1,1))-AVERAGE(OFFSET($H$3,0,0,'Données projet'!$E$10+1,1))</f>
        <v>441.34749554136755</v>
      </c>
      <c r="AO116" s="62">
        <f t="shared" si="90"/>
        <v>236.49038586666222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0</v>
      </c>
      <c r="AV116" s="23">
        <f>EXP(-LN(2)/25)*AV115+(1-EXP(-LN(2)/25))/(LN(2)/25)*Calculateur!AQ116*Calculateur!AS116*VLOOKUP('Données projet'!$B$10,Paramètres!$A$1:$I$88,3,0)*0.475*44/12</f>
        <v>0</v>
      </c>
      <c r="AW116" s="23">
        <f>EXP(-LN(2)/2)*AW115+(1-EXP(-LN(2)/2))/(LN(2)/2)*AQ116*AT116*VLOOKUP('Données projet'!$B$10,Paramètres!$A$1:$I$88,3,0)*0.475*44/12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69.072620557056879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</v>
      </c>
      <c r="BD116" s="13">
        <f>IF('Données projet'!$A$88&gt;35,BD115+BC116-BL115,IF(A116&lt;'Données projet'!$A$88,$BA$205^A116,IF(A116='Données projet'!$A$88,'Données projet'!$B$88,BD115+BC116-BL115)))</f>
        <v>295.99999999999955</v>
      </c>
      <c r="BE116" s="14">
        <f>BD116*VLOOKUP('Données projet'!$B$11,Paramètres!$A$1:$I$88,3,0)*VLOOKUP('Données projet'!$B$11,Paramètres!$A$1:$I$88,5,0)</f>
        <v>318.61439999999948</v>
      </c>
      <c r="BF116" s="14">
        <f t="shared" si="91"/>
        <v>75.064979865028363</v>
      </c>
      <c r="BG116" s="22">
        <f t="shared" si="61"/>
        <v>685.65825326492347</v>
      </c>
      <c r="BH116" s="62">
        <f t="shared" si="62"/>
        <v>975.59119530746534</v>
      </c>
      <c r="BI116" s="62">
        <f ca="1">AVERAGE(OFFSET($BH$3,0,0,'Données projet'!$E$11+1,1))-AVERAGE(OFFSET($H$3,0,0,'Données projet'!$E$11+1,1))</f>
        <v>514.86487884889584</v>
      </c>
      <c r="BJ116" s="62">
        <f t="shared" si="92"/>
        <v>272.4206208356191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projet'!$B$11,Paramètres!$A$1:$I$88,3,0)*0.475*44/12</f>
        <v>0</v>
      </c>
      <c r="BQ116" s="23">
        <f>EXP(-LN(2)/25)*BQ115+(1-EXP(-LN(2)/25))/(LN(2)/25)*Calculateur!BL116*Calculateur!BN116*VLOOKUP('Données projet'!$B$11,Paramètres!$A$1:$I$88,3,0)*0.475*44/12</f>
        <v>0</v>
      </c>
      <c r="BR116" s="23">
        <f>EXP(-LN(2)/2)*BR115+(1-EXP(-LN(2)/2))/(LN(2)/2)*BL116*BO116*VLOOKUP('Données projet'!$B$11,Paramètres!$A$1:$I$88,3,0)*0.475*44/12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69.072620557056879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-1.7053025658242404E-13</v>
      </c>
      <c r="BZ116" s="14">
        <f>BY116*VLOOKUP('Données projet'!$B$12,Paramètres!$A$1:$I$88,3,0)*VLOOKUP('Données projet'!$B$12,Paramètres!$A$1:$I$88,5,0)</f>
        <v>-1.1173142411280423E-13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270.10151451661864</v>
      </c>
      <c r="CE116" s="62">
        <f t="shared" si="94"/>
        <v>294.47934482366804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projet'!$B$12,Paramètres!$A$1:$I$88,3,0)*0.475*44/12</f>
        <v>0</v>
      </c>
      <c r="CL116" s="23">
        <f>EXP(-LN(2)/25)*CL115+(1-EXP(-LN(2)/25))/(LN(2)/25)*Calculateur!CG116*Calculateur!CI116*VLOOKUP('Données projet'!$B$12,Paramètres!$A$1:$I$88,3,0)*0.475*44/12</f>
        <v>0</v>
      </c>
      <c r="CM116" s="23">
        <f>EXP(-LN(2)/2)*CM115+(1-EXP(-LN(2)/2))/(LN(2)/2)*CG116*CJ116*VLOOKUP('Données projet'!$B$12,Paramètres!$A$1:$I$88,3,0)*0.475*44/12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69.072620557056879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-1.7053025658242404E-13</v>
      </c>
      <c r="CU116" s="18">
        <f>CT116*VLOOKUP('Données projet'!$B$13,Paramètres!$A$1:$I$88,3,0)*VLOOKUP('Données projet'!$B$13,Paramètres!$A$1:$I$88,5,0)</f>
        <v>-1.1173142411280423E-13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270.10151451661864</v>
      </c>
      <c r="CZ116" s="62">
        <f t="shared" si="96"/>
        <v>294.47934482366804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projet'!$B$13,Paramètres!$A$1:$I$88,3,0)*0.475*44/12</f>
        <v>0</v>
      </c>
      <c r="DG116" s="23">
        <f>EXP(-LN(2)/25)*DG115+(1-EXP(-LN(2)/25))/(LN(2)/25)*Calculateur!DB116*Calculateur!DD116*VLOOKUP('Données projet'!$B$13,Paramètres!$A$1:$I$88,3,0)*0.475*44/12</f>
        <v>0</v>
      </c>
      <c r="DH116" s="23">
        <f>EXP(-LN(2)/2)*DH115+(1-EXP(-LN(2)/2))/(LN(2)/2)*DB116*DE116*VLOOKUP('Données projet'!$B$13,Paramètres!$A$1:$I$88,3,0)*0.475*44/12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69.072620557056879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projet'!$B$14,Paramètres!$A$1:$I$88,3,0)*0.475*44/12</f>
        <v>#N/A</v>
      </c>
      <c r="EB116" s="23" t="e">
        <f>EXP(-LN(2)/25)*EB115+(1-EXP(-LN(2)/25))/(LN(2)/25)*Calculateur!DW116*Calculateur!DY116*VLOOKUP('Données projet'!$B$14,Paramètres!$A$1:$I$88,3,0)*0.475*44/12</f>
        <v>#N/A</v>
      </c>
      <c r="EC116" s="23" t="e">
        <f>EXP(-LN(2)/2)*EC115+(1-EXP(-LN(2)/2))/(LN(2)/2)*DW116*DZ116*VLOOKUP('Données projet'!$B$14,Paramètres!$A$1:$I$88,3,0)*0.475*44/12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69.072620557056879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69.072620557056879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69.072620557056879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69.072620557056879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1.34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4.9133333333333331</v>
      </c>
      <c r="H117" s="70">
        <f t="shared" si="56"/>
        <v>237.01333333333332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69.088708517082111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</v>
      </c>
      <c r="N117" s="14">
        <f>IF('Données projet'!$A$36&gt;35,N116+M117-V116,IF(A117&lt;'Données projet'!$A$36,$K$205^A117,IF(A117='Données projet'!$A$36,'Données projet'!$B$36,N116+M117-V116)))</f>
        <v>299.99999999999955</v>
      </c>
      <c r="O117" s="14">
        <f>N117*VLOOKUP('Données projet'!$B$9,Paramètres!$A$1:$I$88,3,0)*VLOOKUP('Données projet'!$B$9,Paramètres!$A$1:$I$88,5,0)</f>
        <v>304.19999999999959</v>
      </c>
      <c r="P117" s="14">
        <f t="shared" si="87"/>
        <v>72.056231093481003</v>
      </c>
      <c r="Q117" s="22">
        <f t="shared" si="107"/>
        <v>655.31293582114529</v>
      </c>
      <c r="R117" s="62">
        <f t="shared" si="55"/>
        <v>945.30486705044632</v>
      </c>
      <c r="S117" s="62">
        <f ca="1">AVERAGE(OFFSET($R$3,0,0,'Données projet'!$E$9+1,1))-AVERAGE(OFFSET($H$3,0,0,'Données projet'!$E$9+1,1))</f>
        <v>488.16146816015231</v>
      </c>
      <c r="T117" s="62">
        <f t="shared" si="88"/>
        <v>259.37115195552127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0</v>
      </c>
      <c r="AA117" s="23">
        <f>EXP(-LN(2)/25)*AA116+(1-EXP(-LN(2)/25))/(LN(2)/25)*Calculateur!V117*Calculateur!X117*VLOOKUP('Données projet'!$B$9,Paramètres!$A$1:$I$88,3,0)*0.475*44/12</f>
        <v>0</v>
      </c>
      <c r="AB117" s="23">
        <f>EXP(-LN(2)/2)*AB116+(1-EXP(-LN(2)/2))/(LN(2)/2)*V117*Y117*VLOOKUP('Données projet'!$B$9,Paramètres!$A$1:$I$88,3,0)*0.475*44/12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69.088708517082111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</v>
      </c>
      <c r="AI117" s="14">
        <f>IF('Données projet'!$A$62&gt;35,AI116+AH117-AQ116,IF(A117&lt;'Données projet'!$A$62,$AF$205^A117,IF(A117='Données projet'!$A$62,'Données projet'!$B$62,AI116+AH117-AQ116)))</f>
        <v>299.99999999999955</v>
      </c>
      <c r="AJ117" s="14">
        <f>AI117*VLOOKUP('Données projet'!$B$10,Paramètres!$A$1:$I$88,3,0)*VLOOKUP('Données projet'!$B$10,Paramètres!$A$1:$I$88,5,0)</f>
        <v>271.43999999999954</v>
      </c>
      <c r="AK117" s="14">
        <f t="shared" si="89"/>
        <v>65.154778959151116</v>
      </c>
      <c r="AL117" s="22">
        <f t="shared" si="58"/>
        <v>586.23590668718737</v>
      </c>
      <c r="AM117" s="62">
        <f t="shared" si="59"/>
        <v>876.2278379164884</v>
      </c>
      <c r="AN117" s="62">
        <f ca="1">AVERAGE(OFFSET($AM$3,0,0,'Données projet'!$E$10+1,1))-AVERAGE(OFFSET($H$3,0,0,'Données projet'!$E$10+1,1))</f>
        <v>441.34749554136755</v>
      </c>
      <c r="AO117" s="62">
        <f t="shared" si="90"/>
        <v>236.49038586666222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0</v>
      </c>
      <c r="AV117" s="23">
        <f>EXP(-LN(2)/25)*AV116+(1-EXP(-LN(2)/25))/(LN(2)/25)*Calculateur!AQ117*Calculateur!AS117*VLOOKUP('Données projet'!$B$10,Paramètres!$A$1:$I$88,3,0)*0.475*44/12</f>
        <v>0</v>
      </c>
      <c r="AW117" s="23">
        <f>EXP(-LN(2)/2)*AW116+(1-EXP(-LN(2)/2))/(LN(2)/2)*AQ117*AT117*VLOOKUP('Données projet'!$B$10,Paramètres!$A$1:$I$88,3,0)*0.475*44/12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69.088708517082111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</v>
      </c>
      <c r="BD117" s="13">
        <f>IF('Données projet'!$A$88&gt;35,BD116+BC117-BL116,IF(A117&lt;'Données projet'!$A$88,$BA$205^A117,IF(A117='Données projet'!$A$88,'Données projet'!$B$88,BD116+BC117-BL116)))</f>
        <v>299.99999999999955</v>
      </c>
      <c r="BE117" s="14">
        <f>BD117*VLOOKUP('Données projet'!$B$11,Paramètres!$A$1:$I$88,3,0)*VLOOKUP('Données projet'!$B$11,Paramètres!$A$1:$I$88,5,0)</f>
        <v>322.9199999999995</v>
      </c>
      <c r="BF117" s="14">
        <f t="shared" si="91"/>
        <v>75.960594879408688</v>
      </c>
      <c r="BG117" s="22">
        <f t="shared" si="61"/>
        <v>694.71703608163591</v>
      </c>
      <c r="BH117" s="62">
        <f t="shared" si="62"/>
        <v>984.70896731093694</v>
      </c>
      <c r="BI117" s="62">
        <f ca="1">AVERAGE(OFFSET($BH$3,0,0,'Données projet'!$E$11+1,1))-AVERAGE(OFFSET($H$3,0,0,'Données projet'!$E$11+1,1))</f>
        <v>514.86487884889584</v>
      </c>
      <c r="BJ117" s="62">
        <f t="shared" si="92"/>
        <v>272.4206208356191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projet'!$B$11,Paramètres!$A$1:$I$88,3,0)*0.475*44/12</f>
        <v>0</v>
      </c>
      <c r="BQ117" s="23">
        <f>EXP(-LN(2)/25)*BQ116+(1-EXP(-LN(2)/25))/(LN(2)/25)*Calculateur!BL117*Calculateur!BN117*VLOOKUP('Données projet'!$B$11,Paramètres!$A$1:$I$88,3,0)*0.475*44/12</f>
        <v>0</v>
      </c>
      <c r="BR117" s="23">
        <f>EXP(-LN(2)/2)*BR116+(1-EXP(-LN(2)/2))/(LN(2)/2)*BL117*BO117*VLOOKUP('Données projet'!$B$11,Paramètres!$A$1:$I$88,3,0)*0.475*44/12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69.088708517082111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-1.7053025658242404E-13</v>
      </c>
      <c r="BZ117" s="14">
        <f>BY117*VLOOKUP('Données projet'!$B$12,Paramètres!$A$1:$I$88,3,0)*VLOOKUP('Données projet'!$B$12,Paramètres!$A$1:$I$88,5,0)</f>
        <v>-1.1173142411280423E-13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270.10151451661864</v>
      </c>
      <c r="CE117" s="62">
        <f t="shared" si="94"/>
        <v>294.47934482366804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projet'!$B$12,Paramètres!$A$1:$I$88,3,0)*0.475*44/12</f>
        <v>0</v>
      </c>
      <c r="CL117" s="23">
        <f>EXP(-LN(2)/25)*CL116+(1-EXP(-LN(2)/25))/(LN(2)/25)*Calculateur!CG117*Calculateur!CI117*VLOOKUP('Données projet'!$B$12,Paramètres!$A$1:$I$88,3,0)*0.475*44/12</f>
        <v>0</v>
      </c>
      <c r="CM117" s="23">
        <f>EXP(-LN(2)/2)*CM116+(1-EXP(-LN(2)/2))/(LN(2)/2)*CG117*CJ117*VLOOKUP('Données projet'!$B$12,Paramètres!$A$1:$I$88,3,0)*0.475*44/12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69.088708517082111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-1.7053025658242404E-13</v>
      </c>
      <c r="CU117" s="18">
        <f>CT117*VLOOKUP('Données projet'!$B$13,Paramètres!$A$1:$I$88,3,0)*VLOOKUP('Données projet'!$B$13,Paramètres!$A$1:$I$88,5,0)</f>
        <v>-1.1173142411280423E-13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270.10151451661864</v>
      </c>
      <c r="CZ117" s="62">
        <f t="shared" si="96"/>
        <v>294.47934482366804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projet'!$B$13,Paramètres!$A$1:$I$88,3,0)*0.475*44/12</f>
        <v>0</v>
      </c>
      <c r="DG117" s="23">
        <f>EXP(-LN(2)/25)*DG116+(1-EXP(-LN(2)/25))/(LN(2)/25)*Calculateur!DB117*Calculateur!DD117*VLOOKUP('Données projet'!$B$13,Paramètres!$A$1:$I$88,3,0)*0.475*44/12</f>
        <v>0</v>
      </c>
      <c r="DH117" s="23">
        <f>EXP(-LN(2)/2)*DH116+(1-EXP(-LN(2)/2))/(LN(2)/2)*DB117*DE117*VLOOKUP('Données projet'!$B$13,Paramètres!$A$1:$I$88,3,0)*0.475*44/12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69.088708517082111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projet'!$B$14,Paramètres!$A$1:$I$88,3,0)*0.475*44/12</f>
        <v>#N/A</v>
      </c>
      <c r="EB117" s="23" t="e">
        <f>EXP(-LN(2)/25)*EB116+(1-EXP(-LN(2)/25))/(LN(2)/25)*Calculateur!DW117*Calculateur!DY117*VLOOKUP('Données projet'!$B$14,Paramètres!$A$1:$I$88,3,0)*0.475*44/12</f>
        <v>#N/A</v>
      </c>
      <c r="EC117" s="23" t="e">
        <f>EXP(-LN(2)/2)*EC116+(1-EXP(-LN(2)/2))/(LN(2)/2)*DW117*DZ117*VLOOKUP('Données projet'!$B$14,Paramètres!$A$1:$I$88,3,0)*0.475*44/12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69.088708517082111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69.088708517082111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69.088708517082111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69.088708517082111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1.34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4.9133333333333331</v>
      </c>
      <c r="H118" s="70">
        <f t="shared" si="56"/>
        <v>237.01333333333332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69.104517386968197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304</v>
      </c>
      <c r="L118" s="13">
        <f>VLOOKUP(A118,'Données projet'!$A$35:$I$55,9,0)</f>
        <v>4</v>
      </c>
      <c r="M118" s="13">
        <f t="array" ref="M118">INDEX(L:L,MIN(IF(ISNUMBER(L118:L314),ROW(L118:L314),"")))</f>
        <v>4</v>
      </c>
      <c r="N118" s="14">
        <f>IF('Données projet'!$A$36&gt;35,N117+M118-V117,IF(A118&lt;'Données projet'!$A$36,$K$205^A118,IF(A118='Données projet'!$A$36,'Données projet'!$B$36,N117+M118-V117)))</f>
        <v>303.99999999999955</v>
      </c>
      <c r="O118" s="14">
        <f>N118*VLOOKUP('Données projet'!$B$9,Paramètres!$A$1:$I$88,3,0)*VLOOKUP('Données projet'!$B$9,Paramètres!$A$1:$I$88,5,0)</f>
        <v>308.25599999999957</v>
      </c>
      <c r="P118" s="14">
        <f t="shared" si="87"/>
        <v>72.904494055753887</v>
      </c>
      <c r="Q118" s="22">
        <f t="shared" si="107"/>
        <v>663.85452714710391</v>
      </c>
      <c r="R118" s="62">
        <f t="shared" si="55"/>
        <v>953.90442423265404</v>
      </c>
      <c r="S118" s="62">
        <f ca="1">AVERAGE(OFFSET($R$3,0,0,'Données projet'!$E$9+1,1))-AVERAGE(OFFSET($H$3,0,0,'Données projet'!$E$9+1,1))</f>
        <v>488.16146816015231</v>
      </c>
      <c r="T118" s="62">
        <f t="shared" si="88"/>
        <v>259.37115195552127</v>
      </c>
      <c r="U118" s="16">
        <f>IF(ISNA(VLOOKUP(A118,'Données projet'!$A$35:$I$55,3,0)),0,VLOOKUP(A118,'Données projet'!$A$35:$I$55,3,0))</f>
        <v>10</v>
      </c>
      <c r="V118" s="16">
        <f>IF(ISNA(VLOOKUP(A118,'Données projet'!$A$35:$I$55,4,0)),0,VLOOKUP(A118,'Données projet'!$A$35:$I$55,4,0))</f>
        <v>37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0</v>
      </c>
      <c r="AA118" s="23">
        <f>EXP(-LN(2)/25)*AA117+(1-EXP(-LN(2)/25))/(LN(2)/25)*Calculateur!V118*Calculateur!X118*VLOOKUP('Données projet'!$B$9,Paramètres!$A$1:$I$88,3,0)*0.475*44/12</f>
        <v>0</v>
      </c>
      <c r="AB118" s="23">
        <f>EXP(-LN(2)/2)*AB117+(1-EXP(-LN(2)/2))/(LN(2)/2)*V118*Y118*VLOOKUP('Données projet'!$B$9,Paramètres!$A$1:$I$88,3,0)*0.475*44/12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69.104517386968197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304</v>
      </c>
      <c r="AG118" s="13">
        <f>VLOOKUP(A118,'Données projet'!$A$61:$I$81,9,0)</f>
        <v>4</v>
      </c>
      <c r="AH118" s="13">
        <f t="array" ref="AH118">INDEX(AG:AG,MIN(IF(ISNUMBER(AG118:AG314),ROW(AG118:AG314),"")))</f>
        <v>4</v>
      </c>
      <c r="AI118" s="14">
        <f>IF('Données projet'!$A$62&gt;35,AI117+AH118-AQ117,IF(A118&lt;'Données projet'!$A$62,$AF$205^A118,IF(A118='Données projet'!$A$62,'Données projet'!$B$62,AI117+AH118-AQ117)))</f>
        <v>303.99999999999955</v>
      </c>
      <c r="AJ118" s="14">
        <f>AI118*VLOOKUP('Données projet'!$B$10,Paramètres!$A$1:$I$88,3,0)*VLOOKUP('Données projet'!$B$10,Paramètres!$A$1:$I$88,5,0)</f>
        <v>275.05919999999958</v>
      </c>
      <c r="AK118" s="14">
        <f t="shared" si="89"/>
        <v>65.921796397718268</v>
      </c>
      <c r="AL118" s="22">
        <f t="shared" si="58"/>
        <v>593.87523539269193</v>
      </c>
      <c r="AM118" s="62">
        <f t="shared" si="59"/>
        <v>883.92513247824195</v>
      </c>
      <c r="AN118" s="62">
        <f ca="1">AVERAGE(OFFSET($AM$3,0,0,'Données projet'!$E$10+1,1))-AVERAGE(OFFSET($H$3,0,0,'Données projet'!$E$10+1,1))</f>
        <v>441.34749554136755</v>
      </c>
      <c r="AO118" s="62">
        <f t="shared" si="90"/>
        <v>236.49038586666222</v>
      </c>
      <c r="AP118" s="16">
        <f>IF(ISNA(VLOOKUP(A118,'Données projet'!$A$61:$I$81,3,0)),0,VLOOKUP(A118,'Données projet'!$A$61:$I$81,3,0))</f>
        <v>10</v>
      </c>
      <c r="AQ118" s="16">
        <f>IF(ISNA(VLOOKUP(A118,'Données projet'!$A$61:$I$81,4,0)),0,VLOOKUP(A118,'Données projet'!$A$61:$I$81,4,0))</f>
        <v>37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0</v>
      </c>
      <c r="AV118" s="23">
        <f>EXP(-LN(2)/25)*AV117+(1-EXP(-LN(2)/25))/(LN(2)/25)*Calculateur!AQ118*Calculateur!AS118*VLOOKUP('Données projet'!$B$10,Paramètres!$A$1:$I$88,3,0)*0.475*44/12</f>
        <v>0</v>
      </c>
      <c r="AW118" s="23">
        <f>EXP(-LN(2)/2)*AW117+(1-EXP(-LN(2)/2))/(LN(2)/2)*AQ118*AT118*VLOOKUP('Données projet'!$B$10,Paramètres!$A$1:$I$88,3,0)*0.475*44/12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69.104517386968197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304</v>
      </c>
      <c r="BB118" s="13">
        <f>VLOOKUP(A118,'Données projet'!$A$87:$I$107,9,0)</f>
        <v>4</v>
      </c>
      <c r="BC118" s="13">
        <f t="array" ref="BC118">INDEX(BB:BB,MIN(IF(ISNUMBER(BB118:BB314),ROW(BB118:BB314),"")))</f>
        <v>4</v>
      </c>
      <c r="BD118" s="13">
        <f>IF('Données projet'!$A$88&gt;35,BD117+BC118-BL117,IF(A118&lt;'Données projet'!$A$88,$BA$205^A118,IF(A118='Données projet'!$A$88,'Données projet'!$B$88,BD117+BC118-BL117)))</f>
        <v>303.99999999999955</v>
      </c>
      <c r="BE118" s="14">
        <f>BD118*VLOOKUP('Données projet'!$B$11,Paramètres!$A$1:$I$88,3,0)*VLOOKUP('Données projet'!$B$11,Paramètres!$A$1:$I$88,5,0)</f>
        <v>327.22559999999953</v>
      </c>
      <c r="BF118" s="14">
        <f t="shared" si="91"/>
        <v>76.85482093384698</v>
      </c>
      <c r="BG118" s="22">
        <f t="shared" si="61"/>
        <v>703.77339979311603</v>
      </c>
      <c r="BH118" s="62">
        <f t="shared" si="62"/>
        <v>993.82329687866604</v>
      </c>
      <c r="BI118" s="62">
        <f ca="1">AVERAGE(OFFSET($BH$3,0,0,'Données projet'!$E$11+1,1))-AVERAGE(OFFSET($H$3,0,0,'Données projet'!$E$11+1,1))</f>
        <v>514.86487884889584</v>
      </c>
      <c r="BJ118" s="62">
        <f t="shared" si="92"/>
        <v>272.4206208356191</v>
      </c>
      <c r="BK118" s="16">
        <f>IF(ISNA(VLOOKUP(A118,'Données projet'!$A$87:$I$107,3,0)),0,VLOOKUP(A118,'Données projet'!$A$87:$I$107,3,0))</f>
        <v>10</v>
      </c>
      <c r="BL118" s="16">
        <f>IF(ISNA(VLOOKUP(A118,'Données projet'!$A$87:$I$107,4,0)),0,VLOOKUP(A118,'Données projet'!$A$87:$I$107,4,0))</f>
        <v>37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projet'!$B$11,Paramètres!$A$1:$I$88,3,0)*0.475*44/12</f>
        <v>0</v>
      </c>
      <c r="BQ118" s="23">
        <f>EXP(-LN(2)/25)*BQ117+(1-EXP(-LN(2)/25))/(LN(2)/25)*Calculateur!BL118*Calculateur!BN118*VLOOKUP('Données projet'!$B$11,Paramètres!$A$1:$I$88,3,0)*0.475*44/12</f>
        <v>0</v>
      </c>
      <c r="BR118" s="23">
        <f>EXP(-LN(2)/2)*BR117+(1-EXP(-LN(2)/2))/(LN(2)/2)*BL118*BO118*VLOOKUP('Données projet'!$B$11,Paramètres!$A$1:$I$88,3,0)*0.475*44/12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69.104517386968197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-1.7053025658242404E-13</v>
      </c>
      <c r="BZ118" s="14">
        <f>BY118*VLOOKUP('Données projet'!$B$12,Paramètres!$A$1:$I$88,3,0)*VLOOKUP('Données projet'!$B$12,Paramètres!$A$1:$I$88,5,0)</f>
        <v>-1.1173142411280423E-13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270.10151451661864</v>
      </c>
      <c r="CE118" s="62">
        <f t="shared" si="94"/>
        <v>294.47934482366804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projet'!$B$12,Paramètres!$A$1:$I$88,3,0)*0.475*44/12</f>
        <v>0</v>
      </c>
      <c r="CL118" s="23">
        <f>EXP(-LN(2)/25)*CL117+(1-EXP(-LN(2)/25))/(LN(2)/25)*Calculateur!CG118*Calculateur!CI118*VLOOKUP('Données projet'!$B$12,Paramètres!$A$1:$I$88,3,0)*0.475*44/12</f>
        <v>0</v>
      </c>
      <c r="CM118" s="23">
        <f>EXP(-LN(2)/2)*CM117+(1-EXP(-LN(2)/2))/(LN(2)/2)*CG118*CJ118*VLOOKUP('Données projet'!$B$12,Paramètres!$A$1:$I$88,3,0)*0.475*44/12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69.104517386968197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-1.7053025658242404E-13</v>
      </c>
      <c r="CU118" s="18">
        <f>CT118*VLOOKUP('Données projet'!$B$13,Paramètres!$A$1:$I$88,3,0)*VLOOKUP('Données projet'!$B$13,Paramètres!$A$1:$I$88,5,0)</f>
        <v>-1.1173142411280423E-13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270.10151451661864</v>
      </c>
      <c r="CZ118" s="62">
        <f t="shared" si="96"/>
        <v>294.47934482366804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projet'!$B$13,Paramètres!$A$1:$I$88,3,0)*0.475*44/12</f>
        <v>0</v>
      </c>
      <c r="DG118" s="23">
        <f>EXP(-LN(2)/25)*DG117+(1-EXP(-LN(2)/25))/(LN(2)/25)*Calculateur!DB118*Calculateur!DD118*VLOOKUP('Données projet'!$B$13,Paramètres!$A$1:$I$88,3,0)*0.475*44/12</f>
        <v>0</v>
      </c>
      <c r="DH118" s="23">
        <f>EXP(-LN(2)/2)*DH117+(1-EXP(-LN(2)/2))/(LN(2)/2)*DB118*DE118*VLOOKUP('Données projet'!$B$13,Paramètres!$A$1:$I$88,3,0)*0.475*44/12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69.104517386968197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projet'!$B$14,Paramètres!$A$1:$I$88,3,0)*0.475*44/12</f>
        <v>#N/A</v>
      </c>
      <c r="EB118" s="23" t="e">
        <f>EXP(-LN(2)/25)*EB117+(1-EXP(-LN(2)/25))/(LN(2)/25)*Calculateur!DW118*Calculateur!DY118*VLOOKUP('Données projet'!$B$14,Paramètres!$A$1:$I$88,3,0)*0.475*44/12</f>
        <v>#N/A</v>
      </c>
      <c r="EC118" s="23" t="e">
        <f>EXP(-LN(2)/2)*EC117+(1-EXP(-LN(2)/2))/(LN(2)/2)*DW118*DZ118*VLOOKUP('Données projet'!$B$14,Paramètres!$A$1:$I$88,3,0)*0.475*44/12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69.104517386968197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69.104517386968197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69.104517386968197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69.104517386968197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1.34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4.9133333333333331</v>
      </c>
      <c r="H119" s="70">
        <f t="shared" si="56"/>
        <v>237.01333333333332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69.120052008305095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3.4</v>
      </c>
      <c r="N119" s="14">
        <f>IF('Données projet'!$A$36&gt;35,N118+M119-V118,IF(A119&lt;'Données projet'!$A$36,$K$205^A119,IF(A119='Données projet'!$A$36,'Données projet'!$B$36,N118+M119-V118)))</f>
        <v>270.39999999999952</v>
      </c>
      <c r="O119" s="14">
        <f>N119*VLOOKUP('Données projet'!$B$9,Paramètres!$A$1:$I$88,3,0)*VLOOKUP('Données projet'!$B$9,Paramètres!$A$1:$I$88,5,0)</f>
        <v>274.18559999999957</v>
      </c>
      <c r="P119" s="14">
        <f t="shared" si="87"/>
        <v>65.736762389907327</v>
      </c>
      <c r="Q119" s="22">
        <f t="shared" si="107"/>
        <v>592.03144782908782</v>
      </c>
      <c r="R119" s="62">
        <f t="shared" si="55"/>
        <v>882.13830519287319</v>
      </c>
      <c r="S119" s="62">
        <f ca="1">AVERAGE(OFFSET($R$3,0,0,'Données projet'!$E$9+1,1))-AVERAGE(OFFSET($H$3,0,0,'Données projet'!$E$9+1,1))</f>
        <v>488.16146816015231</v>
      </c>
      <c r="T119" s="62">
        <f t="shared" si="88"/>
        <v>259.37115195552127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0</v>
      </c>
      <c r="AA119" s="23">
        <f>EXP(-LN(2)/25)*AA118+(1-EXP(-LN(2)/25))/(LN(2)/25)*Calculateur!V119*Calculateur!X119*VLOOKUP('Données projet'!$B$9,Paramètres!$A$1:$I$88,3,0)*0.475*44/12</f>
        <v>0</v>
      </c>
      <c r="AB119" s="23">
        <f>EXP(-LN(2)/2)*AB118+(1-EXP(-LN(2)/2))/(LN(2)/2)*V119*Y119*VLOOKUP('Données projet'!$B$9,Paramètres!$A$1:$I$88,3,0)*0.475*44/12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69.120052008305095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3.4</v>
      </c>
      <c r="AI119" s="14">
        <f>IF('Données projet'!$A$62&gt;35,AI118+AH119-AQ118,IF(A119&lt;'Données projet'!$A$62,$AF$205^A119,IF(A119='Données projet'!$A$62,'Données projet'!$B$62,AI118+AH119-AQ118)))</f>
        <v>270.39999999999952</v>
      </c>
      <c r="AJ119" s="14">
        <f>AI119*VLOOKUP('Données projet'!$B$10,Paramètres!$A$1:$I$88,3,0)*VLOOKUP('Données projet'!$B$10,Paramètres!$A$1:$I$88,5,0)</f>
        <v>244.65791999999956</v>
      </c>
      <c r="AK119" s="14">
        <f t="shared" si="89"/>
        <v>59.44058075210858</v>
      </c>
      <c r="AL119" s="22">
        <f t="shared" si="58"/>
        <v>529.63822214325501</v>
      </c>
      <c r="AM119" s="62">
        <f t="shared" si="59"/>
        <v>819.74507950704037</v>
      </c>
      <c r="AN119" s="62">
        <f ca="1">AVERAGE(OFFSET($AM$3,0,0,'Données projet'!$E$10+1,1))-AVERAGE(OFFSET($H$3,0,0,'Données projet'!$E$10+1,1))</f>
        <v>441.34749554136755</v>
      </c>
      <c r="AO119" s="62">
        <f t="shared" si="90"/>
        <v>236.49038586666222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0</v>
      </c>
      <c r="AV119" s="23">
        <f>EXP(-LN(2)/25)*AV118+(1-EXP(-LN(2)/25))/(LN(2)/25)*Calculateur!AQ119*Calculateur!AS119*VLOOKUP('Données projet'!$B$10,Paramètres!$A$1:$I$88,3,0)*0.475*44/12</f>
        <v>0</v>
      </c>
      <c r="AW119" s="23">
        <f>EXP(-LN(2)/2)*AW118+(1-EXP(-LN(2)/2))/(LN(2)/2)*AQ119*AT119*VLOOKUP('Données projet'!$B$10,Paramètres!$A$1:$I$88,3,0)*0.475*44/12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69.120052008305095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3.4</v>
      </c>
      <c r="BD119" s="13">
        <f>IF('Données projet'!$A$88&gt;35,BD118+BC119-BL118,IF(A119&lt;'Données projet'!$A$88,$BA$205^A119,IF(A119='Données projet'!$A$88,'Données projet'!$B$88,BD118+BC119-BL118)))</f>
        <v>270.39999999999952</v>
      </c>
      <c r="BE119" s="14">
        <f>BD119*VLOOKUP('Données projet'!$B$11,Paramètres!$A$1:$I$88,3,0)*VLOOKUP('Données projet'!$B$11,Paramètres!$A$1:$I$88,5,0)</f>
        <v>291.05855999999949</v>
      </c>
      <c r="BF119" s="14">
        <f t="shared" si="91"/>
        <v>69.298706035645793</v>
      </c>
      <c r="BG119" s="22">
        <f t="shared" si="61"/>
        <v>627.62223834541555</v>
      </c>
      <c r="BH119" s="62">
        <f t="shared" si="62"/>
        <v>917.72909570920092</v>
      </c>
      <c r="BI119" s="62">
        <f ca="1">AVERAGE(OFFSET($BH$3,0,0,'Données projet'!$E$11+1,1))-AVERAGE(OFFSET($H$3,0,0,'Données projet'!$E$11+1,1))</f>
        <v>514.86487884889584</v>
      </c>
      <c r="BJ119" s="62">
        <f t="shared" si="92"/>
        <v>272.4206208356191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projet'!$B$11,Paramètres!$A$1:$I$88,3,0)*0.475*44/12</f>
        <v>0</v>
      </c>
      <c r="BQ119" s="23">
        <f>EXP(-LN(2)/25)*BQ118+(1-EXP(-LN(2)/25))/(LN(2)/25)*Calculateur!BL119*Calculateur!BN119*VLOOKUP('Données projet'!$B$11,Paramètres!$A$1:$I$88,3,0)*0.475*44/12</f>
        <v>0</v>
      </c>
      <c r="BR119" s="23">
        <f>EXP(-LN(2)/2)*BR118+(1-EXP(-LN(2)/2))/(LN(2)/2)*BL119*BO119*VLOOKUP('Données projet'!$B$11,Paramètres!$A$1:$I$88,3,0)*0.475*44/12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69.120052008305095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-1.7053025658242404E-13</v>
      </c>
      <c r="BZ119" s="14">
        <f>BY119*VLOOKUP('Données projet'!$B$12,Paramètres!$A$1:$I$88,3,0)*VLOOKUP('Données projet'!$B$12,Paramètres!$A$1:$I$88,5,0)</f>
        <v>-1.1173142411280423E-13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270.10151451661864</v>
      </c>
      <c r="CE119" s="62">
        <f t="shared" si="94"/>
        <v>294.47934482366804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projet'!$B$12,Paramètres!$A$1:$I$88,3,0)*0.475*44/12</f>
        <v>0</v>
      </c>
      <c r="CL119" s="23">
        <f>EXP(-LN(2)/25)*CL118+(1-EXP(-LN(2)/25))/(LN(2)/25)*Calculateur!CG119*Calculateur!CI119*VLOOKUP('Données projet'!$B$12,Paramètres!$A$1:$I$88,3,0)*0.475*44/12</f>
        <v>0</v>
      </c>
      <c r="CM119" s="23">
        <f>EXP(-LN(2)/2)*CM118+(1-EXP(-LN(2)/2))/(LN(2)/2)*CG119*CJ119*VLOOKUP('Données projet'!$B$12,Paramètres!$A$1:$I$88,3,0)*0.475*44/12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69.120052008305095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-1.7053025658242404E-13</v>
      </c>
      <c r="CU119" s="18">
        <f>CT119*VLOOKUP('Données projet'!$B$13,Paramètres!$A$1:$I$88,3,0)*VLOOKUP('Données projet'!$B$13,Paramètres!$A$1:$I$88,5,0)</f>
        <v>-1.1173142411280423E-13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270.10151451661864</v>
      </c>
      <c r="CZ119" s="62">
        <f t="shared" si="96"/>
        <v>294.47934482366804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projet'!$B$13,Paramètres!$A$1:$I$88,3,0)*0.475*44/12</f>
        <v>0</v>
      </c>
      <c r="DG119" s="23">
        <f>EXP(-LN(2)/25)*DG118+(1-EXP(-LN(2)/25))/(LN(2)/25)*Calculateur!DB119*Calculateur!DD119*VLOOKUP('Données projet'!$B$13,Paramètres!$A$1:$I$88,3,0)*0.475*44/12</f>
        <v>0</v>
      </c>
      <c r="DH119" s="23">
        <f>EXP(-LN(2)/2)*DH118+(1-EXP(-LN(2)/2))/(LN(2)/2)*DB119*DE119*VLOOKUP('Données projet'!$B$13,Paramètres!$A$1:$I$88,3,0)*0.475*44/12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69.120052008305095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projet'!$B$14,Paramètres!$A$1:$I$88,3,0)*0.475*44/12</f>
        <v>#N/A</v>
      </c>
      <c r="EB119" s="23" t="e">
        <f>EXP(-LN(2)/25)*EB118+(1-EXP(-LN(2)/25))/(LN(2)/25)*Calculateur!DW119*Calculateur!DY119*VLOOKUP('Données projet'!$B$14,Paramètres!$A$1:$I$88,3,0)*0.475*44/12</f>
        <v>#N/A</v>
      </c>
      <c r="EC119" s="23" t="e">
        <f>EXP(-LN(2)/2)*EC118+(1-EXP(-LN(2)/2))/(LN(2)/2)*DW119*DZ119*VLOOKUP('Données projet'!$B$14,Paramètres!$A$1:$I$88,3,0)*0.475*44/12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69.120052008305095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69.120052008305095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69.120052008305095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69.120052008305095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1.34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4.9133333333333331</v>
      </c>
      <c r="H120" s="70">
        <f t="shared" si="56"/>
        <v>237.01333333333332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69.135317138692017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3.4</v>
      </c>
      <c r="N120" s="14">
        <f>IF('Données projet'!$A$36&gt;35,N119+M120-V119,IF(A120&lt;'Données projet'!$A$36,$K$205^A120,IF(A120='Données projet'!$A$36,'Données projet'!$B$36,N119+M120-V119)))</f>
        <v>273.7999999999995</v>
      </c>
      <c r="O120" s="14">
        <f>N120*VLOOKUP('Données projet'!$B$9,Paramètres!$A$1:$I$88,3,0)*VLOOKUP('Données projet'!$B$9,Paramètres!$A$1:$I$88,5,0)</f>
        <v>277.63319999999953</v>
      </c>
      <c r="P120" s="14">
        <f t="shared" si="87"/>
        <v>66.466589162975581</v>
      </c>
      <c r="Q120" s="22">
        <f t="shared" si="107"/>
        <v>599.30713279218173</v>
      </c>
      <c r="R120" s="62">
        <f t="shared" si="55"/>
        <v>889.46996230071909</v>
      </c>
      <c r="S120" s="62">
        <f ca="1">AVERAGE(OFFSET($R$3,0,0,'Données projet'!$E$9+1,1))-AVERAGE(OFFSET($H$3,0,0,'Données projet'!$E$9+1,1))</f>
        <v>488.16146816015231</v>
      </c>
      <c r="T120" s="62">
        <f t="shared" si="88"/>
        <v>259.37115195552127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0</v>
      </c>
      <c r="AA120" s="23">
        <f>EXP(-LN(2)/25)*AA119+(1-EXP(-LN(2)/25))/(LN(2)/25)*Calculateur!V120*Calculateur!X120*VLOOKUP('Données projet'!$B$9,Paramètres!$A$1:$I$88,3,0)*0.475*44/12</f>
        <v>0</v>
      </c>
      <c r="AB120" s="23">
        <f>EXP(-LN(2)/2)*AB119+(1-EXP(-LN(2)/2))/(LN(2)/2)*V120*Y120*VLOOKUP('Données projet'!$B$9,Paramètres!$A$1:$I$88,3,0)*0.475*44/12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69.135317138692017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3.4</v>
      </c>
      <c r="AI120" s="14">
        <f>IF('Données projet'!$A$62&gt;35,AI119+AH120-AQ119,IF(A120&lt;'Données projet'!$A$62,$AF$205^A120,IF(A120='Données projet'!$A$62,'Données projet'!$B$62,AI119+AH120-AQ119)))</f>
        <v>273.7999999999995</v>
      </c>
      <c r="AJ120" s="14">
        <f>AI120*VLOOKUP('Données projet'!$B$10,Paramètres!$A$1:$I$88,3,0)*VLOOKUP('Données projet'!$B$10,Paramètres!$A$1:$I$88,5,0)</f>
        <v>247.73423999999952</v>
      </c>
      <c r="AK120" s="14">
        <f t="shared" si="89"/>
        <v>60.100505665695003</v>
      </c>
      <c r="AL120" s="22">
        <f t="shared" si="58"/>
        <v>536.14551536775127</v>
      </c>
      <c r="AM120" s="62">
        <f t="shared" si="59"/>
        <v>826.30834487628863</v>
      </c>
      <c r="AN120" s="62">
        <f ca="1">AVERAGE(OFFSET($AM$3,0,0,'Données projet'!$E$10+1,1))-AVERAGE(OFFSET($H$3,0,0,'Données projet'!$E$10+1,1))</f>
        <v>441.34749554136755</v>
      </c>
      <c r="AO120" s="62">
        <f t="shared" si="90"/>
        <v>236.49038586666222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0</v>
      </c>
      <c r="AV120" s="23">
        <f>EXP(-LN(2)/25)*AV119+(1-EXP(-LN(2)/25))/(LN(2)/25)*Calculateur!AQ120*Calculateur!AS120*VLOOKUP('Données projet'!$B$10,Paramètres!$A$1:$I$88,3,0)*0.475*44/12</f>
        <v>0</v>
      </c>
      <c r="AW120" s="23">
        <f>EXP(-LN(2)/2)*AW119+(1-EXP(-LN(2)/2))/(LN(2)/2)*AQ120*AT120*VLOOKUP('Données projet'!$B$10,Paramètres!$A$1:$I$88,3,0)*0.475*44/12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69.135317138692017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3.4</v>
      </c>
      <c r="BD120" s="13">
        <f>IF('Données projet'!$A$88&gt;35,BD119+BC120-BL119,IF(A120&lt;'Données projet'!$A$88,$BA$205^A120,IF(A120='Données projet'!$A$88,'Données projet'!$B$88,BD119+BC120-BL119)))</f>
        <v>273.7999999999995</v>
      </c>
      <c r="BE120" s="14">
        <f>BD120*VLOOKUP('Données projet'!$B$11,Paramètres!$A$1:$I$88,3,0)*VLOOKUP('Données projet'!$B$11,Paramètres!$A$1:$I$88,5,0)</f>
        <v>294.71831999999944</v>
      </c>
      <c r="BF120" s="14">
        <f t="shared" si="91"/>
        <v>70.068078441055988</v>
      </c>
      <c r="BG120" s="22">
        <f t="shared" si="61"/>
        <v>635.33631061817152</v>
      </c>
      <c r="BH120" s="62">
        <f t="shared" si="62"/>
        <v>925.49914012670888</v>
      </c>
      <c r="BI120" s="62">
        <f ca="1">AVERAGE(OFFSET($BH$3,0,0,'Données projet'!$E$11+1,1))-AVERAGE(OFFSET($H$3,0,0,'Données projet'!$E$11+1,1))</f>
        <v>514.86487884889584</v>
      </c>
      <c r="BJ120" s="62">
        <f t="shared" si="92"/>
        <v>272.4206208356191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projet'!$B$11,Paramètres!$A$1:$I$88,3,0)*0.475*44/12</f>
        <v>0</v>
      </c>
      <c r="BQ120" s="23">
        <f>EXP(-LN(2)/25)*BQ119+(1-EXP(-LN(2)/25))/(LN(2)/25)*Calculateur!BL120*Calculateur!BN120*VLOOKUP('Données projet'!$B$11,Paramètres!$A$1:$I$88,3,0)*0.475*44/12</f>
        <v>0</v>
      </c>
      <c r="BR120" s="23">
        <f>EXP(-LN(2)/2)*BR119+(1-EXP(-LN(2)/2))/(LN(2)/2)*BL120*BO120*VLOOKUP('Données projet'!$B$11,Paramètres!$A$1:$I$88,3,0)*0.475*44/12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69.135317138692017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-1.7053025658242404E-13</v>
      </c>
      <c r="BZ120" s="14">
        <f>BY120*VLOOKUP('Données projet'!$B$12,Paramètres!$A$1:$I$88,3,0)*VLOOKUP('Données projet'!$B$12,Paramètres!$A$1:$I$88,5,0)</f>
        <v>-1.1173142411280423E-13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270.10151451661864</v>
      </c>
      <c r="CE120" s="62">
        <f t="shared" si="94"/>
        <v>294.47934482366804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projet'!$B$12,Paramètres!$A$1:$I$88,3,0)*0.475*44/12</f>
        <v>0</v>
      </c>
      <c r="CL120" s="23">
        <f>EXP(-LN(2)/25)*CL119+(1-EXP(-LN(2)/25))/(LN(2)/25)*Calculateur!CG120*Calculateur!CI120*VLOOKUP('Données projet'!$B$12,Paramètres!$A$1:$I$88,3,0)*0.475*44/12</f>
        <v>0</v>
      </c>
      <c r="CM120" s="23">
        <f>EXP(-LN(2)/2)*CM119+(1-EXP(-LN(2)/2))/(LN(2)/2)*CG120*CJ120*VLOOKUP('Données projet'!$B$12,Paramètres!$A$1:$I$88,3,0)*0.475*44/12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69.135317138692017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-1.7053025658242404E-13</v>
      </c>
      <c r="CU120" s="18">
        <f>CT120*VLOOKUP('Données projet'!$B$13,Paramètres!$A$1:$I$88,3,0)*VLOOKUP('Données projet'!$B$13,Paramètres!$A$1:$I$88,5,0)</f>
        <v>-1.1173142411280423E-13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270.10151451661864</v>
      </c>
      <c r="CZ120" s="62">
        <f t="shared" si="96"/>
        <v>294.47934482366804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projet'!$B$13,Paramètres!$A$1:$I$88,3,0)*0.475*44/12</f>
        <v>0</v>
      </c>
      <c r="DG120" s="23">
        <f>EXP(-LN(2)/25)*DG119+(1-EXP(-LN(2)/25))/(LN(2)/25)*Calculateur!DB120*Calculateur!DD120*VLOOKUP('Données projet'!$B$13,Paramètres!$A$1:$I$88,3,0)*0.475*44/12</f>
        <v>0</v>
      </c>
      <c r="DH120" s="23">
        <f>EXP(-LN(2)/2)*DH119+(1-EXP(-LN(2)/2))/(LN(2)/2)*DB120*DE120*VLOOKUP('Données projet'!$B$13,Paramètres!$A$1:$I$88,3,0)*0.475*44/12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69.135317138692017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projet'!$B$14,Paramètres!$A$1:$I$88,3,0)*0.475*44/12</f>
        <v>#N/A</v>
      </c>
      <c r="EB120" s="23" t="e">
        <f>EXP(-LN(2)/25)*EB119+(1-EXP(-LN(2)/25))/(LN(2)/25)*Calculateur!DW120*Calculateur!DY120*VLOOKUP('Données projet'!$B$14,Paramètres!$A$1:$I$88,3,0)*0.475*44/12</f>
        <v>#N/A</v>
      </c>
      <c r="EC120" s="23" t="e">
        <f>EXP(-LN(2)/2)*EC119+(1-EXP(-LN(2)/2))/(LN(2)/2)*DW120*DZ120*VLOOKUP('Données projet'!$B$14,Paramètres!$A$1:$I$88,3,0)*0.475*44/12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69.135317138692017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69.135317138692017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69.135317138692017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69.135317138692017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1.34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4.9133333333333331</v>
      </c>
      <c r="H121" s="70">
        <f t="shared" si="56"/>
        <v>237.01333333333332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69.150317453194432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3.4</v>
      </c>
      <c r="N121" s="14">
        <f>IF('Données projet'!$A$36&gt;35,N120+M121-V120,IF(A121&lt;'Données projet'!$A$36,$K$205^A121,IF(A121='Données projet'!$A$36,'Données projet'!$B$36,N120+M121-V120)))</f>
        <v>277.19999999999948</v>
      </c>
      <c r="O121" s="14">
        <f>N121*VLOOKUP('Données projet'!$B$9,Paramètres!$A$1:$I$88,3,0)*VLOOKUP('Données projet'!$B$9,Paramètres!$A$1:$I$88,5,0)</f>
        <v>281.0807999999995</v>
      </c>
      <c r="P121" s="14">
        <f t="shared" si="87"/>
        <v>67.195361752546063</v>
      </c>
      <c r="Q121" s="22">
        <f t="shared" si="107"/>
        <v>606.5809817190169</v>
      </c>
      <c r="R121" s="62">
        <f t="shared" si="55"/>
        <v>896.79881238072983</v>
      </c>
      <c r="S121" s="62">
        <f ca="1">AVERAGE(OFFSET($R$3,0,0,'Données projet'!$E$9+1,1))-AVERAGE(OFFSET($H$3,0,0,'Données projet'!$E$9+1,1))</f>
        <v>488.16146816015231</v>
      </c>
      <c r="T121" s="62">
        <f t="shared" si="88"/>
        <v>259.37115195552127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0</v>
      </c>
      <c r="AA121" s="23">
        <f>EXP(-LN(2)/25)*AA120+(1-EXP(-LN(2)/25))/(LN(2)/25)*Calculateur!V121*Calculateur!X121*VLOOKUP('Données projet'!$B$9,Paramètres!$A$1:$I$88,3,0)*0.475*44/12</f>
        <v>0</v>
      </c>
      <c r="AB121" s="23">
        <f>EXP(-LN(2)/2)*AB120+(1-EXP(-LN(2)/2))/(LN(2)/2)*V121*Y121*VLOOKUP('Données projet'!$B$9,Paramètres!$A$1:$I$88,3,0)*0.475*44/12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69.150317453194432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3.4</v>
      </c>
      <c r="AI121" s="14">
        <f>IF('Données projet'!$A$62&gt;35,AI120+AH121-AQ120,IF(A121&lt;'Données projet'!$A$62,$AF$205^A121,IF(A121='Données projet'!$A$62,'Données projet'!$B$62,AI120+AH121-AQ120)))</f>
        <v>277.19999999999948</v>
      </c>
      <c r="AJ121" s="14">
        <f>AI121*VLOOKUP('Données projet'!$B$10,Paramètres!$A$1:$I$88,3,0)*VLOOKUP('Données projet'!$B$10,Paramètres!$A$1:$I$88,5,0)</f>
        <v>250.81055999999953</v>
      </c>
      <c r="AK121" s="14">
        <f t="shared" si="89"/>
        <v>60.759477364108577</v>
      </c>
      <c r="AL121" s="22">
        <f t="shared" si="58"/>
        <v>542.65114840915487</v>
      </c>
      <c r="AM121" s="62">
        <f t="shared" si="59"/>
        <v>832.86897907086779</v>
      </c>
      <c r="AN121" s="62">
        <f ca="1">AVERAGE(OFFSET($AM$3,0,0,'Données projet'!$E$10+1,1))-AVERAGE(OFFSET($H$3,0,0,'Données projet'!$E$10+1,1))</f>
        <v>441.34749554136755</v>
      </c>
      <c r="AO121" s="62">
        <f t="shared" si="90"/>
        <v>236.49038586666222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0</v>
      </c>
      <c r="AV121" s="23">
        <f>EXP(-LN(2)/25)*AV120+(1-EXP(-LN(2)/25))/(LN(2)/25)*Calculateur!AQ121*Calculateur!AS121*VLOOKUP('Données projet'!$B$10,Paramètres!$A$1:$I$88,3,0)*0.475*44/12</f>
        <v>0</v>
      </c>
      <c r="AW121" s="23">
        <f>EXP(-LN(2)/2)*AW120+(1-EXP(-LN(2)/2))/(LN(2)/2)*AQ121*AT121*VLOOKUP('Données projet'!$B$10,Paramètres!$A$1:$I$88,3,0)*0.475*44/12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69.150317453194432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3.4</v>
      </c>
      <c r="BD121" s="13">
        <f>IF('Données projet'!$A$88&gt;35,BD120+BC121-BL120,IF(A121&lt;'Données projet'!$A$88,$BA$205^A121,IF(A121='Données projet'!$A$88,'Données projet'!$B$88,BD120+BC121-BL120)))</f>
        <v>277.19999999999948</v>
      </c>
      <c r="BE121" s="14">
        <f>BD121*VLOOKUP('Données projet'!$B$11,Paramètres!$A$1:$I$88,3,0)*VLOOKUP('Données projet'!$B$11,Paramètres!$A$1:$I$88,5,0)</f>
        <v>298.37807999999944</v>
      </c>
      <c r="BF121" s="14">
        <f t="shared" si="91"/>
        <v>70.83633954208085</v>
      </c>
      <c r="BG121" s="22">
        <f t="shared" si="61"/>
        <v>643.04844736912321</v>
      </c>
      <c r="BH121" s="62">
        <f t="shared" si="62"/>
        <v>933.26627803083613</v>
      </c>
      <c r="BI121" s="62">
        <f ca="1">AVERAGE(OFFSET($BH$3,0,0,'Données projet'!$E$11+1,1))-AVERAGE(OFFSET($H$3,0,0,'Données projet'!$E$11+1,1))</f>
        <v>514.86487884889584</v>
      </c>
      <c r="BJ121" s="62">
        <f t="shared" si="92"/>
        <v>272.4206208356191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projet'!$B$11,Paramètres!$A$1:$I$88,3,0)*0.475*44/12</f>
        <v>0</v>
      </c>
      <c r="BQ121" s="23">
        <f>EXP(-LN(2)/25)*BQ120+(1-EXP(-LN(2)/25))/(LN(2)/25)*Calculateur!BL121*Calculateur!BN121*VLOOKUP('Données projet'!$B$11,Paramètres!$A$1:$I$88,3,0)*0.475*44/12</f>
        <v>0</v>
      </c>
      <c r="BR121" s="23">
        <f>EXP(-LN(2)/2)*BR120+(1-EXP(-LN(2)/2))/(LN(2)/2)*BL121*BO121*VLOOKUP('Données projet'!$B$11,Paramètres!$A$1:$I$88,3,0)*0.475*44/12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69.150317453194432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-1.7053025658242404E-13</v>
      </c>
      <c r="BZ121" s="14">
        <f>BY121*VLOOKUP('Données projet'!$B$12,Paramètres!$A$1:$I$88,3,0)*VLOOKUP('Données projet'!$B$12,Paramètres!$A$1:$I$88,5,0)</f>
        <v>-1.1173142411280423E-13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270.10151451661864</v>
      </c>
      <c r="CE121" s="62">
        <f t="shared" si="94"/>
        <v>294.47934482366804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projet'!$B$12,Paramètres!$A$1:$I$88,3,0)*0.475*44/12</f>
        <v>0</v>
      </c>
      <c r="CL121" s="23">
        <f>EXP(-LN(2)/25)*CL120+(1-EXP(-LN(2)/25))/(LN(2)/25)*Calculateur!CG121*Calculateur!CI121*VLOOKUP('Données projet'!$B$12,Paramètres!$A$1:$I$88,3,0)*0.475*44/12</f>
        <v>0</v>
      </c>
      <c r="CM121" s="23">
        <f>EXP(-LN(2)/2)*CM120+(1-EXP(-LN(2)/2))/(LN(2)/2)*CG121*CJ121*VLOOKUP('Données projet'!$B$12,Paramètres!$A$1:$I$88,3,0)*0.475*44/12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69.150317453194432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-1.7053025658242404E-13</v>
      </c>
      <c r="CU121" s="18">
        <f>CT121*VLOOKUP('Données projet'!$B$13,Paramètres!$A$1:$I$88,3,0)*VLOOKUP('Données projet'!$B$13,Paramètres!$A$1:$I$88,5,0)</f>
        <v>-1.1173142411280423E-13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270.10151451661864</v>
      </c>
      <c r="CZ121" s="62">
        <f t="shared" si="96"/>
        <v>294.47934482366804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projet'!$B$13,Paramètres!$A$1:$I$88,3,0)*0.475*44/12</f>
        <v>0</v>
      </c>
      <c r="DG121" s="23">
        <f>EXP(-LN(2)/25)*DG120+(1-EXP(-LN(2)/25))/(LN(2)/25)*Calculateur!DB121*Calculateur!DD121*VLOOKUP('Données projet'!$B$13,Paramètres!$A$1:$I$88,3,0)*0.475*44/12</f>
        <v>0</v>
      </c>
      <c r="DH121" s="23">
        <f>EXP(-LN(2)/2)*DH120+(1-EXP(-LN(2)/2))/(LN(2)/2)*DB121*DE121*VLOOKUP('Données projet'!$B$13,Paramètres!$A$1:$I$88,3,0)*0.475*44/12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69.150317453194432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projet'!$B$14,Paramètres!$A$1:$I$88,3,0)*0.475*44/12</f>
        <v>#N/A</v>
      </c>
      <c r="EB121" s="23" t="e">
        <f>EXP(-LN(2)/25)*EB120+(1-EXP(-LN(2)/25))/(LN(2)/25)*Calculateur!DW121*Calculateur!DY121*VLOOKUP('Données projet'!$B$14,Paramètres!$A$1:$I$88,3,0)*0.475*44/12</f>
        <v>#N/A</v>
      </c>
      <c r="EC121" s="23" t="e">
        <f>EXP(-LN(2)/2)*EC120+(1-EXP(-LN(2)/2))/(LN(2)/2)*DW121*DZ121*VLOOKUP('Données projet'!$B$14,Paramètres!$A$1:$I$88,3,0)*0.475*44/12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69.150317453194432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69.150317453194432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69.150317453194432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69.150317453194432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1.34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4.9133333333333331</v>
      </c>
      <c r="H122" s="70">
        <f t="shared" si="56"/>
        <v>237.01333333333332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69.165057545775909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3.4</v>
      </c>
      <c r="N122" s="14">
        <f>IF('Données projet'!$A$36&gt;35,N121+M122-V121,IF(A122&lt;'Données projet'!$A$36,$K$205^A122,IF(A122='Données projet'!$A$36,'Données projet'!$B$36,N121+M122-V121)))</f>
        <v>280.59999999999945</v>
      </c>
      <c r="O122" s="14">
        <f>N122*VLOOKUP('Données projet'!$B$9,Paramètres!$A$1:$I$88,3,0)*VLOOKUP('Données projet'!$B$9,Paramètres!$A$1:$I$88,5,0)</f>
        <v>284.52839999999946</v>
      </c>
      <c r="P122" s="14">
        <f t="shared" si="87"/>
        <v>67.923094584210745</v>
      </c>
      <c r="Q122" s="22">
        <f t="shared" si="107"/>
        <v>613.85301973416608</v>
      </c>
      <c r="R122" s="62">
        <f t="shared" si="55"/>
        <v>904.12489740201113</v>
      </c>
      <c r="S122" s="62">
        <f ca="1">AVERAGE(OFFSET($R$3,0,0,'Données projet'!$E$9+1,1))-AVERAGE(OFFSET($H$3,0,0,'Données projet'!$E$9+1,1))</f>
        <v>488.16146816015231</v>
      </c>
      <c r="T122" s="62">
        <f t="shared" si="88"/>
        <v>259.37115195552127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0</v>
      </c>
      <c r="AA122" s="23">
        <f>EXP(-LN(2)/25)*AA121+(1-EXP(-LN(2)/25))/(LN(2)/25)*Calculateur!V122*Calculateur!X122*VLOOKUP('Données projet'!$B$9,Paramètres!$A$1:$I$88,3,0)*0.475*44/12</f>
        <v>0</v>
      </c>
      <c r="AB122" s="23">
        <f>EXP(-LN(2)/2)*AB121+(1-EXP(-LN(2)/2))/(LN(2)/2)*V122*Y122*VLOOKUP('Données projet'!$B$9,Paramètres!$A$1:$I$88,3,0)*0.475*44/12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69.165057545775909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3.4</v>
      </c>
      <c r="AI122" s="14">
        <f>IF('Données projet'!$A$62&gt;35,AI121+AH122-AQ121,IF(A122&lt;'Données projet'!$A$62,$AF$205^A122,IF(A122='Données projet'!$A$62,'Données projet'!$B$62,AI121+AH122-AQ121)))</f>
        <v>280.59999999999945</v>
      </c>
      <c r="AJ122" s="14">
        <f>AI122*VLOOKUP('Données projet'!$B$10,Paramètres!$A$1:$I$88,3,0)*VLOOKUP('Données projet'!$B$10,Paramètres!$A$1:$I$88,5,0)</f>
        <v>253.88687999999951</v>
      </c>
      <c r="AK122" s="14">
        <f t="shared" si="89"/>
        <v>61.41750889127686</v>
      </c>
      <c r="AL122" s="22">
        <f t="shared" si="58"/>
        <v>549.1551439856396</v>
      </c>
      <c r="AM122" s="62">
        <f t="shared" si="59"/>
        <v>839.42702165348464</v>
      </c>
      <c r="AN122" s="62">
        <f ca="1">AVERAGE(OFFSET($AM$3,0,0,'Données projet'!$E$10+1,1))-AVERAGE(OFFSET($H$3,0,0,'Données projet'!$E$10+1,1))</f>
        <v>441.34749554136755</v>
      </c>
      <c r="AO122" s="62">
        <f t="shared" si="90"/>
        <v>236.49038586666222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0</v>
      </c>
      <c r="AV122" s="23">
        <f>EXP(-LN(2)/25)*AV121+(1-EXP(-LN(2)/25))/(LN(2)/25)*Calculateur!AQ122*Calculateur!AS122*VLOOKUP('Données projet'!$B$10,Paramètres!$A$1:$I$88,3,0)*0.475*44/12</f>
        <v>0</v>
      </c>
      <c r="AW122" s="23">
        <f>EXP(-LN(2)/2)*AW121+(1-EXP(-LN(2)/2))/(LN(2)/2)*AQ122*AT122*VLOOKUP('Données projet'!$B$10,Paramètres!$A$1:$I$88,3,0)*0.475*44/12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69.165057545775909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3.4</v>
      </c>
      <c r="BD122" s="13">
        <f>IF('Données projet'!$A$88&gt;35,BD121+BC122-BL121,IF(A122&lt;'Données projet'!$A$88,$BA$205^A122,IF(A122='Données projet'!$A$88,'Données projet'!$B$88,BD121+BC122-BL121)))</f>
        <v>280.59999999999945</v>
      </c>
      <c r="BE122" s="14">
        <f>BD122*VLOOKUP('Données projet'!$B$11,Paramètres!$A$1:$I$88,3,0)*VLOOKUP('Données projet'!$B$11,Paramètres!$A$1:$I$88,5,0)</f>
        <v>302.03783999999939</v>
      </c>
      <c r="BF122" s="14">
        <f t="shared" si="91"/>
        <v>71.603504545962494</v>
      </c>
      <c r="BG122" s="22">
        <f t="shared" si="61"/>
        <v>650.75867508421697</v>
      </c>
      <c r="BH122" s="62">
        <f t="shared" si="62"/>
        <v>941.03055275206202</v>
      </c>
      <c r="BI122" s="62">
        <f ca="1">AVERAGE(OFFSET($BH$3,0,0,'Données projet'!$E$11+1,1))-AVERAGE(OFFSET($H$3,0,0,'Données projet'!$E$11+1,1))</f>
        <v>514.86487884889584</v>
      </c>
      <c r="BJ122" s="62">
        <f t="shared" si="92"/>
        <v>272.4206208356191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projet'!$B$11,Paramètres!$A$1:$I$88,3,0)*0.475*44/12</f>
        <v>0</v>
      </c>
      <c r="BQ122" s="23">
        <f>EXP(-LN(2)/25)*BQ121+(1-EXP(-LN(2)/25))/(LN(2)/25)*Calculateur!BL122*Calculateur!BN122*VLOOKUP('Données projet'!$B$11,Paramètres!$A$1:$I$88,3,0)*0.475*44/12</f>
        <v>0</v>
      </c>
      <c r="BR122" s="23">
        <f>EXP(-LN(2)/2)*BR121+(1-EXP(-LN(2)/2))/(LN(2)/2)*BL122*BO122*VLOOKUP('Données projet'!$B$11,Paramètres!$A$1:$I$88,3,0)*0.475*44/12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69.165057545775909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-1.7053025658242404E-13</v>
      </c>
      <c r="BZ122" s="14">
        <f>BY122*VLOOKUP('Données projet'!$B$12,Paramètres!$A$1:$I$88,3,0)*VLOOKUP('Données projet'!$B$12,Paramètres!$A$1:$I$88,5,0)</f>
        <v>-1.1173142411280423E-13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270.10151451661864</v>
      </c>
      <c r="CE122" s="62">
        <f t="shared" si="94"/>
        <v>294.47934482366804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projet'!$B$12,Paramètres!$A$1:$I$88,3,0)*0.475*44/12</f>
        <v>0</v>
      </c>
      <c r="CL122" s="23">
        <f>EXP(-LN(2)/25)*CL121+(1-EXP(-LN(2)/25))/(LN(2)/25)*Calculateur!CG122*Calculateur!CI122*VLOOKUP('Données projet'!$B$12,Paramètres!$A$1:$I$88,3,0)*0.475*44/12</f>
        <v>0</v>
      </c>
      <c r="CM122" s="23">
        <f>EXP(-LN(2)/2)*CM121+(1-EXP(-LN(2)/2))/(LN(2)/2)*CG122*CJ122*VLOOKUP('Données projet'!$B$12,Paramètres!$A$1:$I$88,3,0)*0.475*44/12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69.165057545775909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-1.7053025658242404E-13</v>
      </c>
      <c r="CU122" s="18">
        <f>CT122*VLOOKUP('Données projet'!$B$13,Paramètres!$A$1:$I$88,3,0)*VLOOKUP('Données projet'!$B$13,Paramètres!$A$1:$I$88,5,0)</f>
        <v>-1.1173142411280423E-13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270.10151451661864</v>
      </c>
      <c r="CZ122" s="62">
        <f t="shared" si="96"/>
        <v>294.47934482366804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projet'!$B$13,Paramètres!$A$1:$I$88,3,0)*0.475*44/12</f>
        <v>0</v>
      </c>
      <c r="DG122" s="23">
        <f>EXP(-LN(2)/25)*DG121+(1-EXP(-LN(2)/25))/(LN(2)/25)*Calculateur!DB122*Calculateur!DD122*VLOOKUP('Données projet'!$B$13,Paramètres!$A$1:$I$88,3,0)*0.475*44/12</f>
        <v>0</v>
      </c>
      <c r="DH122" s="23">
        <f>EXP(-LN(2)/2)*DH121+(1-EXP(-LN(2)/2))/(LN(2)/2)*DB122*DE122*VLOOKUP('Données projet'!$B$13,Paramètres!$A$1:$I$88,3,0)*0.475*44/12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69.165057545775909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projet'!$B$14,Paramètres!$A$1:$I$88,3,0)*0.475*44/12</f>
        <v>#N/A</v>
      </c>
      <c r="EB122" s="23" t="e">
        <f>EXP(-LN(2)/25)*EB121+(1-EXP(-LN(2)/25))/(LN(2)/25)*Calculateur!DW122*Calculateur!DY122*VLOOKUP('Données projet'!$B$14,Paramètres!$A$1:$I$88,3,0)*0.475*44/12</f>
        <v>#N/A</v>
      </c>
      <c r="EC122" s="23" t="e">
        <f>EXP(-LN(2)/2)*EC121+(1-EXP(-LN(2)/2))/(LN(2)/2)*DW122*DZ122*VLOOKUP('Données projet'!$B$14,Paramètres!$A$1:$I$88,3,0)*0.475*44/12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69.165057545775909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69.165057545775909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69.165057545775909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69.165057545775909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1.34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4.9133333333333331</v>
      </c>
      <c r="H123" s="70">
        <f t="shared" si="56"/>
        <v>237.01333333333332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69.179541930705028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3.4</v>
      </c>
      <c r="N123" s="14">
        <f>IF('Données projet'!$A$36&gt;35,N122+M123-V122,IF(A123&lt;'Données projet'!$A$36,$K$205^A123,IF(A123='Données projet'!$A$36,'Données projet'!$B$36,N122+M123-V122)))</f>
        <v>283.99999999999943</v>
      </c>
      <c r="O123" s="14">
        <f>N123*VLOOKUP('Données projet'!$B$9,Paramètres!$A$1:$I$88,3,0)*VLOOKUP('Données projet'!$B$9,Paramètres!$A$1:$I$88,5,0)</f>
        <v>287.97599999999943</v>
      </c>
      <c r="P123" s="14">
        <f t="shared" si="87"/>
        <v>68.649801713863027</v>
      </c>
      <c r="Q123" s="22">
        <f t="shared" si="107"/>
        <v>621.12327131831046</v>
      </c>
      <c r="R123" s="62">
        <f t="shared" si="55"/>
        <v>911.44825839756231</v>
      </c>
      <c r="S123" s="62">
        <f ca="1">AVERAGE(OFFSET($R$3,0,0,'Données projet'!$E$9+1,1))-AVERAGE(OFFSET($H$3,0,0,'Données projet'!$E$9+1,1))</f>
        <v>488.16146816015231</v>
      </c>
      <c r="T123" s="62">
        <f t="shared" si="88"/>
        <v>259.37115195552127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0</v>
      </c>
      <c r="AA123" s="23">
        <f>EXP(-LN(2)/25)*AA122+(1-EXP(-LN(2)/25))/(LN(2)/25)*Calculateur!V123*Calculateur!X123*VLOOKUP('Données projet'!$B$9,Paramètres!$A$1:$I$88,3,0)*0.475*44/12</f>
        <v>0</v>
      </c>
      <c r="AB123" s="23">
        <f>EXP(-LN(2)/2)*AB122+(1-EXP(-LN(2)/2))/(LN(2)/2)*V123*Y123*VLOOKUP('Données projet'!$B$9,Paramètres!$A$1:$I$88,3,0)*0.475*44/12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69.179541930705028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3.4</v>
      </c>
      <c r="AI123" s="14">
        <f>IF('Données projet'!$A$62&gt;35,AI122+AH123-AQ122,IF(A123&lt;'Données projet'!$A$62,$AF$205^A123,IF(A123='Données projet'!$A$62,'Données projet'!$B$62,AI122+AH123-AQ122)))</f>
        <v>283.99999999999943</v>
      </c>
      <c r="AJ123" s="14">
        <f>AI123*VLOOKUP('Données projet'!$B$10,Paramètres!$A$1:$I$88,3,0)*VLOOKUP('Données projet'!$B$10,Paramètres!$A$1:$I$88,5,0)</f>
        <v>256.96319999999946</v>
      </c>
      <c r="AK123" s="14">
        <f t="shared" si="89"/>
        <v>62.07461295683791</v>
      </c>
      <c r="AL123" s="22">
        <f t="shared" si="58"/>
        <v>555.65752423315837</v>
      </c>
      <c r="AM123" s="62">
        <f t="shared" si="59"/>
        <v>845.98251131241022</v>
      </c>
      <c r="AN123" s="62">
        <f ca="1">AVERAGE(OFFSET($AM$3,0,0,'Données projet'!$E$10+1,1))-AVERAGE(OFFSET($H$3,0,0,'Données projet'!$E$10+1,1))</f>
        <v>441.34749554136755</v>
      </c>
      <c r="AO123" s="62">
        <f t="shared" si="90"/>
        <v>236.49038586666222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0</v>
      </c>
      <c r="AV123" s="23">
        <f>EXP(-LN(2)/25)*AV122+(1-EXP(-LN(2)/25))/(LN(2)/25)*Calculateur!AQ123*Calculateur!AS123*VLOOKUP('Données projet'!$B$10,Paramètres!$A$1:$I$88,3,0)*0.475*44/12</f>
        <v>0</v>
      </c>
      <c r="AW123" s="23">
        <f>EXP(-LN(2)/2)*AW122+(1-EXP(-LN(2)/2))/(LN(2)/2)*AQ123*AT123*VLOOKUP('Données projet'!$B$10,Paramètres!$A$1:$I$88,3,0)*0.475*44/12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69.179541930705028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3.4</v>
      </c>
      <c r="BD123" s="13">
        <f>IF('Données projet'!$A$88&gt;35,BD122+BC123-BL122,IF(A123&lt;'Données projet'!$A$88,$BA$205^A123,IF(A123='Données projet'!$A$88,'Données projet'!$B$88,BD122+BC123-BL122)))</f>
        <v>283.99999999999943</v>
      </c>
      <c r="BE123" s="14">
        <f>BD123*VLOOKUP('Données projet'!$B$11,Paramètres!$A$1:$I$88,3,0)*VLOOKUP('Données projet'!$B$11,Paramètres!$A$1:$I$88,5,0)</f>
        <v>305.69759999999934</v>
      </c>
      <c r="BF123" s="14">
        <f t="shared" si="91"/>
        <v>72.369588270212233</v>
      </c>
      <c r="BG123" s="22">
        <f t="shared" si="61"/>
        <v>658.46701957061839</v>
      </c>
      <c r="BH123" s="62">
        <f t="shared" si="62"/>
        <v>948.79200664987025</v>
      </c>
      <c r="BI123" s="62">
        <f ca="1">AVERAGE(OFFSET($BH$3,0,0,'Données projet'!$E$11+1,1))-AVERAGE(OFFSET($H$3,0,0,'Données projet'!$E$11+1,1))</f>
        <v>514.86487884889584</v>
      </c>
      <c r="BJ123" s="62">
        <f t="shared" si="92"/>
        <v>272.4206208356191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projet'!$B$11,Paramètres!$A$1:$I$88,3,0)*0.475*44/12</f>
        <v>0</v>
      </c>
      <c r="BQ123" s="23">
        <f>EXP(-LN(2)/25)*BQ122+(1-EXP(-LN(2)/25))/(LN(2)/25)*Calculateur!BL123*Calculateur!BN123*VLOOKUP('Données projet'!$B$11,Paramètres!$A$1:$I$88,3,0)*0.475*44/12</f>
        <v>0</v>
      </c>
      <c r="BR123" s="23">
        <f>EXP(-LN(2)/2)*BR122+(1-EXP(-LN(2)/2))/(LN(2)/2)*BL123*BO123*VLOOKUP('Données projet'!$B$11,Paramètres!$A$1:$I$88,3,0)*0.475*44/12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69.179541930705028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-1.7053025658242404E-13</v>
      </c>
      <c r="BZ123" s="14">
        <f>BY123*VLOOKUP('Données projet'!$B$12,Paramètres!$A$1:$I$88,3,0)*VLOOKUP('Données projet'!$B$12,Paramètres!$A$1:$I$88,5,0)</f>
        <v>-1.1173142411280423E-13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270.10151451661864</v>
      </c>
      <c r="CE123" s="62">
        <f t="shared" si="94"/>
        <v>294.47934482366804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projet'!$B$12,Paramètres!$A$1:$I$88,3,0)*0.475*44/12</f>
        <v>0</v>
      </c>
      <c r="CL123" s="23">
        <f>EXP(-LN(2)/25)*CL122+(1-EXP(-LN(2)/25))/(LN(2)/25)*Calculateur!CG123*Calculateur!CI123*VLOOKUP('Données projet'!$B$12,Paramètres!$A$1:$I$88,3,0)*0.475*44/12</f>
        <v>0</v>
      </c>
      <c r="CM123" s="23">
        <f>EXP(-LN(2)/2)*CM122+(1-EXP(-LN(2)/2))/(LN(2)/2)*CG123*CJ123*VLOOKUP('Données projet'!$B$12,Paramètres!$A$1:$I$88,3,0)*0.475*44/12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69.179541930705028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-1.7053025658242404E-13</v>
      </c>
      <c r="CU123" s="18">
        <f>CT123*VLOOKUP('Données projet'!$B$13,Paramètres!$A$1:$I$88,3,0)*VLOOKUP('Données projet'!$B$13,Paramètres!$A$1:$I$88,5,0)</f>
        <v>-1.1173142411280423E-13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270.10151451661864</v>
      </c>
      <c r="CZ123" s="62">
        <f t="shared" si="96"/>
        <v>294.47934482366804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projet'!$B$13,Paramètres!$A$1:$I$88,3,0)*0.475*44/12</f>
        <v>0</v>
      </c>
      <c r="DG123" s="23">
        <f>EXP(-LN(2)/25)*DG122+(1-EXP(-LN(2)/25))/(LN(2)/25)*Calculateur!DB123*Calculateur!DD123*VLOOKUP('Données projet'!$B$13,Paramètres!$A$1:$I$88,3,0)*0.475*44/12</f>
        <v>0</v>
      </c>
      <c r="DH123" s="23">
        <f>EXP(-LN(2)/2)*DH122+(1-EXP(-LN(2)/2))/(LN(2)/2)*DB123*DE123*VLOOKUP('Données projet'!$B$13,Paramètres!$A$1:$I$88,3,0)*0.475*44/12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69.179541930705028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projet'!$B$14,Paramètres!$A$1:$I$88,3,0)*0.475*44/12</f>
        <v>#N/A</v>
      </c>
      <c r="EB123" s="23" t="e">
        <f>EXP(-LN(2)/25)*EB122+(1-EXP(-LN(2)/25))/(LN(2)/25)*Calculateur!DW123*Calculateur!DY123*VLOOKUP('Données projet'!$B$14,Paramètres!$A$1:$I$88,3,0)*0.475*44/12</f>
        <v>#N/A</v>
      </c>
      <c r="EC123" s="23" t="e">
        <f>EXP(-LN(2)/2)*EC122+(1-EXP(-LN(2)/2))/(LN(2)/2)*DW123*DZ123*VLOOKUP('Données projet'!$B$14,Paramètres!$A$1:$I$88,3,0)*0.475*44/12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69.179541930705028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69.179541930705028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69.179541930705028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69.179541930705028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1.34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4.9133333333333331</v>
      </c>
      <c r="H124" s="70">
        <f t="shared" si="56"/>
        <v>237.01333333333332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69.193775043937848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3.4</v>
      </c>
      <c r="N124" s="14">
        <f>IF('Données projet'!$A$36&gt;35,N123+M124-V123,IF(A124&lt;'Données projet'!$A$36,$K$205^A124,IF(A124='Données projet'!$A$36,'Données projet'!$B$36,N123+M124-V123)))</f>
        <v>287.39999999999941</v>
      </c>
      <c r="O124" s="14">
        <f>N124*VLOOKUP('Données projet'!$B$9,Paramètres!$A$1:$I$88,3,0)*VLOOKUP('Données projet'!$B$9,Paramètres!$A$1:$I$88,5,0)</f>
        <v>291.42359999999945</v>
      </c>
      <c r="P124" s="14">
        <f t="shared" si="87"/>
        <v>69.375496841482047</v>
      </c>
      <c r="Q124" s="22">
        <f t="shared" si="107"/>
        <v>628.39176033224692</v>
      </c>
      <c r="R124" s="62">
        <f t="shared" si="55"/>
        <v>918.76893549335227</v>
      </c>
      <c r="S124" s="62">
        <f ca="1">AVERAGE(OFFSET($R$3,0,0,'Données projet'!$E$9+1,1))-AVERAGE(OFFSET($H$3,0,0,'Données projet'!$E$9+1,1))</f>
        <v>488.16146816015231</v>
      </c>
      <c r="T124" s="62">
        <f t="shared" si="88"/>
        <v>259.37115195552127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0</v>
      </c>
      <c r="AA124" s="23">
        <f>EXP(-LN(2)/25)*AA123+(1-EXP(-LN(2)/25))/(LN(2)/25)*Calculateur!V124*Calculateur!X124*VLOOKUP('Données projet'!$B$9,Paramètres!$A$1:$I$88,3,0)*0.475*44/12</f>
        <v>0</v>
      </c>
      <c r="AB124" s="23">
        <f>EXP(-LN(2)/2)*AB123+(1-EXP(-LN(2)/2))/(LN(2)/2)*V124*Y124*VLOOKUP('Données projet'!$B$9,Paramètres!$A$1:$I$88,3,0)*0.475*44/12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69.193775043937848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3.4</v>
      </c>
      <c r="AI124" s="14">
        <f>IF('Données projet'!$A$62&gt;35,AI123+AH124-AQ123,IF(A124&lt;'Données projet'!$A$62,$AF$205^A124,IF(A124='Données projet'!$A$62,'Données projet'!$B$62,AI123+AH124-AQ123)))</f>
        <v>287.39999999999941</v>
      </c>
      <c r="AJ124" s="14">
        <f>AI124*VLOOKUP('Données projet'!$B$10,Paramètres!$A$1:$I$88,3,0)*VLOOKUP('Données projet'!$B$10,Paramètres!$A$1:$I$88,5,0)</f>
        <v>260.03951999999947</v>
      </c>
      <c r="AK124" s="14">
        <f t="shared" si="89"/>
        <v>62.730801948604764</v>
      </c>
      <c r="AL124" s="22">
        <f t="shared" si="58"/>
        <v>562.1583107271523</v>
      </c>
      <c r="AM124" s="62">
        <f t="shared" si="59"/>
        <v>852.53548588825765</v>
      </c>
      <c r="AN124" s="62">
        <f ca="1">AVERAGE(OFFSET($AM$3,0,0,'Données projet'!$E$10+1,1))-AVERAGE(OFFSET($H$3,0,0,'Données projet'!$E$10+1,1))</f>
        <v>441.34749554136755</v>
      </c>
      <c r="AO124" s="62">
        <f t="shared" si="90"/>
        <v>236.49038586666222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0</v>
      </c>
      <c r="AV124" s="23">
        <f>EXP(-LN(2)/25)*AV123+(1-EXP(-LN(2)/25))/(LN(2)/25)*Calculateur!AQ124*Calculateur!AS124*VLOOKUP('Données projet'!$B$10,Paramètres!$A$1:$I$88,3,0)*0.475*44/12</f>
        <v>0</v>
      </c>
      <c r="AW124" s="23">
        <f>EXP(-LN(2)/2)*AW123+(1-EXP(-LN(2)/2))/(LN(2)/2)*AQ124*AT124*VLOOKUP('Données projet'!$B$10,Paramètres!$A$1:$I$88,3,0)*0.475*44/12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69.193775043937848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3.4</v>
      </c>
      <c r="BD124" s="13">
        <f>IF('Données projet'!$A$88&gt;35,BD123+BC124-BL123,IF(A124&lt;'Données projet'!$A$88,$BA$205^A124,IF(A124='Données projet'!$A$88,'Données projet'!$B$88,BD123+BC124-BL123)))</f>
        <v>287.39999999999941</v>
      </c>
      <c r="BE124" s="14">
        <f>BD124*VLOOKUP('Données projet'!$B$11,Paramètres!$A$1:$I$88,3,0)*VLOOKUP('Données projet'!$B$11,Paramètres!$A$1:$I$88,5,0)</f>
        <v>309.35735999999935</v>
      </c>
      <c r="BF124" s="14">
        <f t="shared" si="91"/>
        <v>73.134605157142033</v>
      </c>
      <c r="BG124" s="22">
        <f t="shared" si="61"/>
        <v>666.17350598202131</v>
      </c>
      <c r="BH124" s="62">
        <f t="shared" si="62"/>
        <v>956.55068114312667</v>
      </c>
      <c r="BI124" s="62">
        <f ca="1">AVERAGE(OFFSET($BH$3,0,0,'Données projet'!$E$11+1,1))-AVERAGE(OFFSET($H$3,0,0,'Données projet'!$E$11+1,1))</f>
        <v>514.86487884889584</v>
      </c>
      <c r="BJ124" s="62">
        <f t="shared" si="92"/>
        <v>272.4206208356191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projet'!$B$11,Paramètres!$A$1:$I$88,3,0)*0.475*44/12</f>
        <v>0</v>
      </c>
      <c r="BQ124" s="23">
        <f>EXP(-LN(2)/25)*BQ123+(1-EXP(-LN(2)/25))/(LN(2)/25)*Calculateur!BL124*Calculateur!BN124*VLOOKUP('Données projet'!$B$11,Paramètres!$A$1:$I$88,3,0)*0.475*44/12</f>
        <v>0</v>
      </c>
      <c r="BR124" s="23">
        <f>EXP(-LN(2)/2)*BR123+(1-EXP(-LN(2)/2))/(LN(2)/2)*BL124*BO124*VLOOKUP('Données projet'!$B$11,Paramètres!$A$1:$I$88,3,0)*0.475*44/12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69.193775043937848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-1.7053025658242404E-13</v>
      </c>
      <c r="BZ124" s="14">
        <f>BY124*VLOOKUP('Données projet'!$B$12,Paramètres!$A$1:$I$88,3,0)*VLOOKUP('Données projet'!$B$12,Paramètres!$A$1:$I$88,5,0)</f>
        <v>-1.1173142411280423E-13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270.10151451661864</v>
      </c>
      <c r="CE124" s="62">
        <f t="shared" si="94"/>
        <v>294.47934482366804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projet'!$B$12,Paramètres!$A$1:$I$88,3,0)*0.475*44/12</f>
        <v>0</v>
      </c>
      <c r="CL124" s="23">
        <f>EXP(-LN(2)/25)*CL123+(1-EXP(-LN(2)/25))/(LN(2)/25)*Calculateur!CG124*Calculateur!CI124*VLOOKUP('Données projet'!$B$12,Paramètres!$A$1:$I$88,3,0)*0.475*44/12</f>
        <v>0</v>
      </c>
      <c r="CM124" s="23">
        <f>EXP(-LN(2)/2)*CM123+(1-EXP(-LN(2)/2))/(LN(2)/2)*CG124*CJ124*VLOOKUP('Données projet'!$B$12,Paramètres!$A$1:$I$88,3,0)*0.475*44/12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69.193775043937848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-1.7053025658242404E-13</v>
      </c>
      <c r="CU124" s="18">
        <f>CT124*VLOOKUP('Données projet'!$B$13,Paramètres!$A$1:$I$88,3,0)*VLOOKUP('Données projet'!$B$13,Paramètres!$A$1:$I$88,5,0)</f>
        <v>-1.1173142411280423E-13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270.10151451661864</v>
      </c>
      <c r="CZ124" s="62">
        <f t="shared" si="96"/>
        <v>294.47934482366804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projet'!$B$13,Paramètres!$A$1:$I$88,3,0)*0.475*44/12</f>
        <v>0</v>
      </c>
      <c r="DG124" s="23">
        <f>EXP(-LN(2)/25)*DG123+(1-EXP(-LN(2)/25))/(LN(2)/25)*Calculateur!DB124*Calculateur!DD124*VLOOKUP('Données projet'!$B$13,Paramètres!$A$1:$I$88,3,0)*0.475*44/12</f>
        <v>0</v>
      </c>
      <c r="DH124" s="23">
        <f>EXP(-LN(2)/2)*DH123+(1-EXP(-LN(2)/2))/(LN(2)/2)*DB124*DE124*VLOOKUP('Données projet'!$B$13,Paramètres!$A$1:$I$88,3,0)*0.475*44/12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69.193775043937848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projet'!$B$14,Paramètres!$A$1:$I$88,3,0)*0.475*44/12</f>
        <v>#N/A</v>
      </c>
      <c r="EB124" s="23" t="e">
        <f>EXP(-LN(2)/25)*EB123+(1-EXP(-LN(2)/25))/(LN(2)/25)*Calculateur!DW124*Calculateur!DY124*VLOOKUP('Données projet'!$B$14,Paramètres!$A$1:$I$88,3,0)*0.475*44/12</f>
        <v>#N/A</v>
      </c>
      <c r="EC124" s="23" t="e">
        <f>EXP(-LN(2)/2)*EC123+(1-EXP(-LN(2)/2))/(LN(2)/2)*DW124*DZ124*VLOOKUP('Données projet'!$B$14,Paramètres!$A$1:$I$88,3,0)*0.475*44/12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69.193775043937848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69.193775043937848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69.193775043937848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69.193775043937848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1.34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4.9133333333333331</v>
      </c>
      <c r="H125" s="70">
        <f t="shared" si="56"/>
        <v>237.01333333333332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69.207761244476544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3.4</v>
      </c>
      <c r="N125" s="14">
        <f>IF('Données projet'!$A$36&gt;35,N124+M125-V124,IF(A125&lt;'Données projet'!$A$36,$K$205^A125,IF(A125='Données projet'!$A$36,'Données projet'!$B$36,N124+M125-V124)))</f>
        <v>290.79999999999939</v>
      </c>
      <c r="O125" s="14">
        <f>N125*VLOOKUP('Données projet'!$B$9,Paramètres!$A$1:$I$88,3,0)*VLOOKUP('Données projet'!$B$9,Paramètres!$A$1:$I$88,5,0)</f>
        <v>294.87119999999942</v>
      </c>
      <c r="P125" s="14">
        <f t="shared" si="87"/>
        <v>70.100193324246931</v>
      </c>
      <c r="Q125" s="22">
        <f t="shared" si="107"/>
        <v>635.65851003972909</v>
      </c>
      <c r="R125" s="62">
        <f t="shared" si="55"/>
        <v>926.08696793614308</v>
      </c>
      <c r="S125" s="62">
        <f ca="1">AVERAGE(OFFSET($R$3,0,0,'Données projet'!$E$9+1,1))-AVERAGE(OFFSET($H$3,0,0,'Données projet'!$E$9+1,1))</f>
        <v>488.16146816015231</v>
      </c>
      <c r="T125" s="62">
        <f t="shared" si="88"/>
        <v>259.37115195552127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0</v>
      </c>
      <c r="AA125" s="23">
        <f>EXP(-LN(2)/25)*AA124+(1-EXP(-LN(2)/25))/(LN(2)/25)*Calculateur!V125*Calculateur!X125*VLOOKUP('Données projet'!$B$9,Paramètres!$A$1:$I$88,3,0)*0.475*44/12</f>
        <v>0</v>
      </c>
      <c r="AB125" s="23">
        <f>EXP(-LN(2)/2)*AB124+(1-EXP(-LN(2)/2))/(LN(2)/2)*V125*Y125*VLOOKUP('Données projet'!$B$9,Paramètres!$A$1:$I$88,3,0)*0.475*44/12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69.207761244476544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3.4</v>
      </c>
      <c r="AI125" s="14">
        <f>IF('Données projet'!$A$62&gt;35,AI124+AH125-AQ124,IF(A125&lt;'Données projet'!$A$62,$AF$205^A125,IF(A125='Données projet'!$A$62,'Données projet'!$B$62,AI124+AH125-AQ124)))</f>
        <v>290.79999999999939</v>
      </c>
      <c r="AJ125" s="14">
        <f>AI125*VLOOKUP('Données projet'!$B$10,Paramètres!$A$1:$I$88,3,0)*VLOOKUP('Données projet'!$B$10,Paramètres!$A$1:$I$88,5,0)</f>
        <v>263.11583999999948</v>
      </c>
      <c r="AK125" s="14">
        <f t="shared" si="89"/>
        <v>63.386087944423274</v>
      </c>
      <c r="AL125" s="22">
        <f t="shared" si="58"/>
        <v>568.65752450320281</v>
      </c>
      <c r="AM125" s="62">
        <f t="shared" si="59"/>
        <v>859.0859823996168</v>
      </c>
      <c r="AN125" s="62">
        <f ca="1">AVERAGE(OFFSET($AM$3,0,0,'Données projet'!$E$10+1,1))-AVERAGE(OFFSET($H$3,0,0,'Données projet'!$E$10+1,1))</f>
        <v>441.34749554136755</v>
      </c>
      <c r="AO125" s="62">
        <f t="shared" si="90"/>
        <v>236.49038586666222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0</v>
      </c>
      <c r="AV125" s="23">
        <f>EXP(-LN(2)/25)*AV124+(1-EXP(-LN(2)/25))/(LN(2)/25)*Calculateur!AQ125*Calculateur!AS125*VLOOKUP('Données projet'!$B$10,Paramètres!$A$1:$I$88,3,0)*0.475*44/12</f>
        <v>0</v>
      </c>
      <c r="AW125" s="23">
        <f>EXP(-LN(2)/2)*AW124+(1-EXP(-LN(2)/2))/(LN(2)/2)*AQ125*AT125*VLOOKUP('Données projet'!$B$10,Paramètres!$A$1:$I$88,3,0)*0.475*44/12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69.207761244476544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3.4</v>
      </c>
      <c r="BD125" s="13">
        <f>IF('Données projet'!$A$88&gt;35,BD124+BC125-BL124,IF(A125&lt;'Données projet'!$A$88,$BA$205^A125,IF(A125='Données projet'!$A$88,'Données projet'!$B$88,BD124+BC125-BL124)))</f>
        <v>290.79999999999939</v>
      </c>
      <c r="BE125" s="14">
        <f>BD125*VLOOKUP('Données projet'!$B$11,Paramètres!$A$1:$I$88,3,0)*VLOOKUP('Données projet'!$B$11,Paramètres!$A$1:$I$88,5,0)</f>
        <v>313.01711999999935</v>
      </c>
      <c r="BF125" s="14">
        <f t="shared" si="91"/>
        <v>73.898569287689199</v>
      </c>
      <c r="BG125" s="22">
        <f t="shared" si="61"/>
        <v>673.87815884272425</v>
      </c>
      <c r="BH125" s="62">
        <f t="shared" si="62"/>
        <v>964.30661673913824</v>
      </c>
      <c r="BI125" s="62">
        <f ca="1">AVERAGE(OFFSET($BH$3,0,0,'Données projet'!$E$11+1,1))-AVERAGE(OFFSET($H$3,0,0,'Données projet'!$E$11+1,1))</f>
        <v>514.86487884889584</v>
      </c>
      <c r="BJ125" s="62">
        <f t="shared" si="92"/>
        <v>272.4206208356191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projet'!$B$11,Paramètres!$A$1:$I$88,3,0)*0.475*44/12</f>
        <v>0</v>
      </c>
      <c r="BQ125" s="23">
        <f>EXP(-LN(2)/25)*BQ124+(1-EXP(-LN(2)/25))/(LN(2)/25)*Calculateur!BL125*Calculateur!BN125*VLOOKUP('Données projet'!$B$11,Paramètres!$A$1:$I$88,3,0)*0.475*44/12</f>
        <v>0</v>
      </c>
      <c r="BR125" s="23">
        <f>EXP(-LN(2)/2)*BR124+(1-EXP(-LN(2)/2))/(LN(2)/2)*BL125*BO125*VLOOKUP('Données projet'!$B$11,Paramètres!$A$1:$I$88,3,0)*0.475*44/12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69.207761244476544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-1.7053025658242404E-13</v>
      </c>
      <c r="BZ125" s="14">
        <f>BY125*VLOOKUP('Données projet'!$B$12,Paramètres!$A$1:$I$88,3,0)*VLOOKUP('Données projet'!$B$12,Paramètres!$A$1:$I$88,5,0)</f>
        <v>-1.1173142411280423E-13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270.10151451661864</v>
      </c>
      <c r="CE125" s="62">
        <f t="shared" si="94"/>
        <v>294.47934482366804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projet'!$B$12,Paramètres!$A$1:$I$88,3,0)*0.475*44/12</f>
        <v>0</v>
      </c>
      <c r="CL125" s="23">
        <f>EXP(-LN(2)/25)*CL124+(1-EXP(-LN(2)/25))/(LN(2)/25)*Calculateur!CG125*Calculateur!CI125*VLOOKUP('Données projet'!$B$12,Paramètres!$A$1:$I$88,3,0)*0.475*44/12</f>
        <v>0</v>
      </c>
      <c r="CM125" s="23">
        <f>EXP(-LN(2)/2)*CM124+(1-EXP(-LN(2)/2))/(LN(2)/2)*CG125*CJ125*VLOOKUP('Données projet'!$B$12,Paramètres!$A$1:$I$88,3,0)*0.475*44/12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69.207761244476544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-1.7053025658242404E-13</v>
      </c>
      <c r="CU125" s="18">
        <f>CT125*VLOOKUP('Données projet'!$B$13,Paramètres!$A$1:$I$88,3,0)*VLOOKUP('Données projet'!$B$13,Paramètres!$A$1:$I$88,5,0)</f>
        <v>-1.1173142411280423E-13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270.10151451661864</v>
      </c>
      <c r="CZ125" s="62">
        <f t="shared" si="96"/>
        <v>294.47934482366804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projet'!$B$13,Paramètres!$A$1:$I$88,3,0)*0.475*44/12</f>
        <v>0</v>
      </c>
      <c r="DG125" s="23">
        <f>EXP(-LN(2)/25)*DG124+(1-EXP(-LN(2)/25))/(LN(2)/25)*Calculateur!DB125*Calculateur!DD125*VLOOKUP('Données projet'!$B$13,Paramètres!$A$1:$I$88,3,0)*0.475*44/12</f>
        <v>0</v>
      </c>
      <c r="DH125" s="23">
        <f>EXP(-LN(2)/2)*DH124+(1-EXP(-LN(2)/2))/(LN(2)/2)*DB125*DE125*VLOOKUP('Données projet'!$B$13,Paramètres!$A$1:$I$88,3,0)*0.475*44/12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69.207761244476544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projet'!$B$14,Paramètres!$A$1:$I$88,3,0)*0.475*44/12</f>
        <v>#N/A</v>
      </c>
      <c r="EB125" s="23" t="e">
        <f>EXP(-LN(2)/25)*EB124+(1-EXP(-LN(2)/25))/(LN(2)/25)*Calculateur!DW125*Calculateur!DY125*VLOOKUP('Données projet'!$B$14,Paramètres!$A$1:$I$88,3,0)*0.475*44/12</f>
        <v>#N/A</v>
      </c>
      <c r="EC125" s="23" t="e">
        <f>EXP(-LN(2)/2)*EC124+(1-EXP(-LN(2)/2))/(LN(2)/2)*DW125*DZ125*VLOOKUP('Données projet'!$B$14,Paramètres!$A$1:$I$88,3,0)*0.475*44/12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69.207761244476544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69.207761244476544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69.207761244476544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69.207761244476544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1.34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4.9133333333333331</v>
      </c>
      <c r="H126" s="70">
        <f t="shared" si="56"/>
        <v>237.01333333333332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69.221504815704364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3.4</v>
      </c>
      <c r="N126" s="14">
        <f>IF('Données projet'!$A$36&gt;35,N125+M126-V125,IF(A126&lt;'Données projet'!$A$36,$K$205^A126,IF(A126='Données projet'!$A$36,'Données projet'!$B$36,N125+M126-V125)))</f>
        <v>294.19999999999936</v>
      </c>
      <c r="O126" s="14">
        <f>N126*VLOOKUP('Données projet'!$B$9,Paramètres!$A$1:$I$88,3,0)*VLOOKUP('Données projet'!$B$9,Paramètres!$A$1:$I$88,5,0)</f>
        <v>298.31879999999938</v>
      </c>
      <c r="P126" s="14">
        <f t="shared" si="87"/>
        <v>70.823904189019785</v>
      </c>
      <c r="Q126" s="22">
        <f t="shared" si="107"/>
        <v>642.92354312920827</v>
      </c>
      <c r="R126" s="62">
        <f t="shared" si="55"/>
        <v>933.4023941201242</v>
      </c>
      <c r="S126" s="62">
        <f ca="1">AVERAGE(OFFSET($R$3,0,0,'Données projet'!$E$9+1,1))-AVERAGE(OFFSET($H$3,0,0,'Données projet'!$E$9+1,1))</f>
        <v>488.16146816015231</v>
      </c>
      <c r="T126" s="62">
        <f t="shared" si="88"/>
        <v>259.37115195552127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0</v>
      </c>
      <c r="AA126" s="23">
        <f>EXP(-LN(2)/25)*AA125+(1-EXP(-LN(2)/25))/(LN(2)/25)*Calculateur!V126*Calculateur!X126*VLOOKUP('Données projet'!$B$9,Paramètres!$A$1:$I$88,3,0)*0.475*44/12</f>
        <v>0</v>
      </c>
      <c r="AB126" s="23">
        <f>EXP(-LN(2)/2)*AB125+(1-EXP(-LN(2)/2))/(LN(2)/2)*V126*Y126*VLOOKUP('Données projet'!$B$9,Paramètres!$A$1:$I$88,3,0)*0.475*44/12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69.221504815704364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3.4</v>
      </c>
      <c r="AI126" s="14">
        <f>IF('Données projet'!$A$62&gt;35,AI125+AH126-AQ125,IF(A126&lt;'Données projet'!$A$62,$AF$205^A126,IF(A126='Données projet'!$A$62,'Données projet'!$B$62,AI125+AH126-AQ125)))</f>
        <v>294.19999999999936</v>
      </c>
      <c r="AJ126" s="14">
        <f>AI126*VLOOKUP('Données projet'!$B$10,Paramètres!$A$1:$I$88,3,0)*VLOOKUP('Données projet'!$B$10,Paramètres!$A$1:$I$88,5,0)</f>
        <v>266.19215999999943</v>
      </c>
      <c r="AK126" s="14">
        <f t="shared" si="89"/>
        <v>64.04048272345959</v>
      </c>
      <c r="AL126" s="22">
        <f t="shared" si="58"/>
        <v>575.15518607669117</v>
      </c>
      <c r="AM126" s="62">
        <f t="shared" si="59"/>
        <v>865.6340370676071</v>
      </c>
      <c r="AN126" s="62">
        <f ca="1">AVERAGE(OFFSET($AM$3,0,0,'Données projet'!$E$10+1,1))-AVERAGE(OFFSET($H$3,0,0,'Données projet'!$E$10+1,1))</f>
        <v>441.34749554136755</v>
      </c>
      <c r="AO126" s="62">
        <f t="shared" si="90"/>
        <v>236.49038586666222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0</v>
      </c>
      <c r="AV126" s="23">
        <f>EXP(-LN(2)/25)*AV125+(1-EXP(-LN(2)/25))/(LN(2)/25)*Calculateur!AQ126*Calculateur!AS126*VLOOKUP('Données projet'!$B$10,Paramètres!$A$1:$I$88,3,0)*0.475*44/12</f>
        <v>0</v>
      </c>
      <c r="AW126" s="23">
        <f>EXP(-LN(2)/2)*AW125+(1-EXP(-LN(2)/2))/(LN(2)/2)*AQ126*AT126*VLOOKUP('Données projet'!$B$10,Paramètres!$A$1:$I$88,3,0)*0.475*44/12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69.221504815704364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3.4</v>
      </c>
      <c r="BD126" s="13">
        <f>IF('Données projet'!$A$88&gt;35,BD125+BC126-BL125,IF(A126&lt;'Données projet'!$A$88,$BA$205^A126,IF(A126='Données projet'!$A$88,'Données projet'!$B$88,BD125+BC126-BL125)))</f>
        <v>294.19999999999936</v>
      </c>
      <c r="BE126" s="14">
        <f>BD126*VLOOKUP('Données projet'!$B$11,Paramètres!$A$1:$I$88,3,0)*VLOOKUP('Données projet'!$B$11,Paramètres!$A$1:$I$88,5,0)</f>
        <v>316.6768799999993</v>
      </c>
      <c r="BF126" s="14">
        <f t="shared" si="91"/>
        <v>74.661494394575769</v>
      </c>
      <c r="BG126" s="22">
        <f t="shared" si="61"/>
        <v>681.58100207055156</v>
      </c>
      <c r="BH126" s="62">
        <f t="shared" si="62"/>
        <v>972.05985306146749</v>
      </c>
      <c r="BI126" s="62">
        <f ca="1">AVERAGE(OFFSET($BH$3,0,0,'Données projet'!$E$11+1,1))-AVERAGE(OFFSET($H$3,0,0,'Données projet'!$E$11+1,1))</f>
        <v>514.86487884889584</v>
      </c>
      <c r="BJ126" s="62">
        <f t="shared" si="92"/>
        <v>272.4206208356191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projet'!$B$11,Paramètres!$A$1:$I$88,3,0)*0.475*44/12</f>
        <v>0</v>
      </c>
      <c r="BQ126" s="23">
        <f>EXP(-LN(2)/25)*BQ125+(1-EXP(-LN(2)/25))/(LN(2)/25)*Calculateur!BL126*Calculateur!BN126*VLOOKUP('Données projet'!$B$11,Paramètres!$A$1:$I$88,3,0)*0.475*44/12</f>
        <v>0</v>
      </c>
      <c r="BR126" s="23">
        <f>EXP(-LN(2)/2)*BR125+(1-EXP(-LN(2)/2))/(LN(2)/2)*BL126*BO126*VLOOKUP('Données projet'!$B$11,Paramètres!$A$1:$I$88,3,0)*0.475*44/12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69.221504815704364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-1.7053025658242404E-13</v>
      </c>
      <c r="BZ126" s="14">
        <f>BY126*VLOOKUP('Données projet'!$B$12,Paramètres!$A$1:$I$88,3,0)*VLOOKUP('Données projet'!$B$12,Paramètres!$A$1:$I$88,5,0)</f>
        <v>-1.1173142411280423E-13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270.10151451661864</v>
      </c>
      <c r="CE126" s="62">
        <f t="shared" si="94"/>
        <v>294.47934482366804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projet'!$B$12,Paramètres!$A$1:$I$88,3,0)*0.475*44/12</f>
        <v>0</v>
      </c>
      <c r="CL126" s="23">
        <f>EXP(-LN(2)/25)*CL125+(1-EXP(-LN(2)/25))/(LN(2)/25)*Calculateur!CG126*Calculateur!CI126*VLOOKUP('Données projet'!$B$12,Paramètres!$A$1:$I$88,3,0)*0.475*44/12</f>
        <v>0</v>
      </c>
      <c r="CM126" s="23">
        <f>EXP(-LN(2)/2)*CM125+(1-EXP(-LN(2)/2))/(LN(2)/2)*CG126*CJ126*VLOOKUP('Données projet'!$B$12,Paramètres!$A$1:$I$88,3,0)*0.475*44/12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69.221504815704364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-1.7053025658242404E-13</v>
      </c>
      <c r="CU126" s="18">
        <f>CT126*VLOOKUP('Données projet'!$B$13,Paramètres!$A$1:$I$88,3,0)*VLOOKUP('Données projet'!$B$13,Paramètres!$A$1:$I$88,5,0)</f>
        <v>-1.1173142411280423E-13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270.10151451661864</v>
      </c>
      <c r="CZ126" s="62">
        <f t="shared" si="96"/>
        <v>294.47934482366804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projet'!$B$13,Paramètres!$A$1:$I$88,3,0)*0.475*44/12</f>
        <v>0</v>
      </c>
      <c r="DG126" s="23">
        <f>EXP(-LN(2)/25)*DG125+(1-EXP(-LN(2)/25))/(LN(2)/25)*Calculateur!DB126*Calculateur!DD126*VLOOKUP('Données projet'!$B$13,Paramètres!$A$1:$I$88,3,0)*0.475*44/12</f>
        <v>0</v>
      </c>
      <c r="DH126" s="23">
        <f>EXP(-LN(2)/2)*DH125+(1-EXP(-LN(2)/2))/(LN(2)/2)*DB126*DE126*VLOOKUP('Données projet'!$B$13,Paramètres!$A$1:$I$88,3,0)*0.475*44/12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69.221504815704364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projet'!$B$14,Paramètres!$A$1:$I$88,3,0)*0.475*44/12</f>
        <v>#N/A</v>
      </c>
      <c r="EB126" s="23" t="e">
        <f>EXP(-LN(2)/25)*EB125+(1-EXP(-LN(2)/25))/(LN(2)/25)*Calculateur!DW126*Calculateur!DY126*VLOOKUP('Données projet'!$B$14,Paramètres!$A$1:$I$88,3,0)*0.475*44/12</f>
        <v>#N/A</v>
      </c>
      <c r="EC126" s="23" t="e">
        <f>EXP(-LN(2)/2)*EC125+(1-EXP(-LN(2)/2))/(LN(2)/2)*DW126*DZ126*VLOOKUP('Données projet'!$B$14,Paramètres!$A$1:$I$88,3,0)*0.475*44/12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69.221504815704364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69.221504815704364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69.221504815704364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69.221504815704364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1.34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4.9133333333333331</v>
      </c>
      <c r="H127" s="70">
        <f t="shared" si="56"/>
        <v>237.01333333333332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69.235009966697405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3.4</v>
      </c>
      <c r="N127" s="14">
        <f>IF('Données projet'!$A$36&gt;35,N126+M127-V126,IF(A127&lt;'Données projet'!$A$36,$K$205^A127,IF(A127='Données projet'!$A$36,'Données projet'!$B$36,N126+M127-V126)))</f>
        <v>297.59999999999934</v>
      </c>
      <c r="O127" s="14">
        <f>N127*VLOOKUP('Données projet'!$B$9,Paramètres!$A$1:$I$88,3,0)*VLOOKUP('Données projet'!$B$9,Paramètres!$A$1:$I$88,5,0)</f>
        <v>301.76639999999935</v>
      </c>
      <c r="P127" s="14">
        <f t="shared" si="87"/>
        <v>71.546642144235236</v>
      </c>
      <c r="Q127" s="22">
        <f t="shared" si="107"/>
        <v>650.18688173454188</v>
      </c>
      <c r="R127" s="62">
        <f t="shared" si="55"/>
        <v>940.71525161243244</v>
      </c>
      <c r="S127" s="62">
        <f ca="1">AVERAGE(OFFSET($R$3,0,0,'Données projet'!$E$9+1,1))-AVERAGE(OFFSET($H$3,0,0,'Données projet'!$E$9+1,1))</f>
        <v>488.16146816015231</v>
      </c>
      <c r="T127" s="62">
        <f t="shared" si="88"/>
        <v>259.37115195552127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0</v>
      </c>
      <c r="AA127" s="23">
        <f>EXP(-LN(2)/25)*AA126+(1-EXP(-LN(2)/25))/(LN(2)/25)*Calculateur!V127*Calculateur!X127*VLOOKUP('Données projet'!$B$9,Paramètres!$A$1:$I$88,3,0)*0.475*44/12</f>
        <v>0</v>
      </c>
      <c r="AB127" s="23">
        <f>EXP(-LN(2)/2)*AB126+(1-EXP(-LN(2)/2))/(LN(2)/2)*V127*Y127*VLOOKUP('Données projet'!$B$9,Paramètres!$A$1:$I$88,3,0)*0.475*44/12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69.235009966697405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3.4</v>
      </c>
      <c r="AI127" s="14">
        <f>IF('Données projet'!$A$62&gt;35,AI126+AH127-AQ126,IF(A127&lt;'Données projet'!$A$62,$AF$205^A127,IF(A127='Données projet'!$A$62,'Données projet'!$B$62,AI126+AH127-AQ126)))</f>
        <v>297.59999999999934</v>
      </c>
      <c r="AJ127" s="14">
        <f>AI127*VLOOKUP('Données projet'!$B$10,Paramètres!$A$1:$I$88,3,0)*VLOOKUP('Données projet'!$B$10,Paramètres!$A$1:$I$88,5,0)</f>
        <v>269.26847999999939</v>
      </c>
      <c r="AK127" s="14">
        <f t="shared" si="89"/>
        <v>64.693997776951065</v>
      </c>
      <c r="AL127" s="22">
        <f t="shared" si="58"/>
        <v>581.65131546152202</v>
      </c>
      <c r="AM127" s="62">
        <f t="shared" si="59"/>
        <v>872.17968533941257</v>
      </c>
      <c r="AN127" s="62">
        <f ca="1">AVERAGE(OFFSET($AM$3,0,0,'Données projet'!$E$10+1,1))-AVERAGE(OFFSET($H$3,0,0,'Données projet'!$E$10+1,1))</f>
        <v>441.34749554136755</v>
      </c>
      <c r="AO127" s="62">
        <f t="shared" si="90"/>
        <v>236.49038586666222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0</v>
      </c>
      <c r="AV127" s="23">
        <f>EXP(-LN(2)/25)*AV126+(1-EXP(-LN(2)/25))/(LN(2)/25)*Calculateur!AQ127*Calculateur!AS127*VLOOKUP('Données projet'!$B$10,Paramètres!$A$1:$I$88,3,0)*0.475*44/12</f>
        <v>0</v>
      </c>
      <c r="AW127" s="23">
        <f>EXP(-LN(2)/2)*AW126+(1-EXP(-LN(2)/2))/(LN(2)/2)*AQ127*AT127*VLOOKUP('Données projet'!$B$10,Paramètres!$A$1:$I$88,3,0)*0.475*44/12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69.235009966697405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3.4</v>
      </c>
      <c r="BD127" s="13">
        <f>IF('Données projet'!$A$88&gt;35,BD126+BC127-BL126,IF(A127&lt;'Données projet'!$A$88,$BA$205^A127,IF(A127='Données projet'!$A$88,'Données projet'!$B$88,BD126+BC127-BL126)))</f>
        <v>297.59999999999934</v>
      </c>
      <c r="BE127" s="14">
        <f>BD127*VLOOKUP('Données projet'!$B$11,Paramètres!$A$1:$I$88,3,0)*VLOOKUP('Données projet'!$B$11,Paramètres!$A$1:$I$88,5,0)</f>
        <v>320.33663999999931</v>
      </c>
      <c r="BF127" s="14">
        <f t="shared" si="91"/>
        <v>75.423393874842361</v>
      </c>
      <c r="BG127" s="22">
        <f t="shared" si="61"/>
        <v>689.2820589986826</v>
      </c>
      <c r="BH127" s="62">
        <f t="shared" si="62"/>
        <v>979.81042887657304</v>
      </c>
      <c r="BI127" s="62">
        <f ca="1">AVERAGE(OFFSET($BH$3,0,0,'Données projet'!$E$11+1,1))-AVERAGE(OFFSET($H$3,0,0,'Données projet'!$E$11+1,1))</f>
        <v>514.86487884889584</v>
      </c>
      <c r="BJ127" s="62">
        <f t="shared" si="92"/>
        <v>272.4206208356191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projet'!$B$11,Paramètres!$A$1:$I$88,3,0)*0.475*44/12</f>
        <v>0</v>
      </c>
      <c r="BQ127" s="23">
        <f>EXP(-LN(2)/25)*BQ126+(1-EXP(-LN(2)/25))/(LN(2)/25)*Calculateur!BL127*Calculateur!BN127*VLOOKUP('Données projet'!$B$11,Paramètres!$A$1:$I$88,3,0)*0.475*44/12</f>
        <v>0</v>
      </c>
      <c r="BR127" s="23">
        <f>EXP(-LN(2)/2)*BR126+(1-EXP(-LN(2)/2))/(LN(2)/2)*BL127*BO127*VLOOKUP('Données projet'!$B$11,Paramètres!$A$1:$I$88,3,0)*0.475*44/12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69.235009966697405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-1.7053025658242404E-13</v>
      </c>
      <c r="BZ127" s="14">
        <f>BY127*VLOOKUP('Données projet'!$B$12,Paramètres!$A$1:$I$88,3,0)*VLOOKUP('Données projet'!$B$12,Paramètres!$A$1:$I$88,5,0)</f>
        <v>-1.1173142411280423E-13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270.10151451661864</v>
      </c>
      <c r="CE127" s="62">
        <f t="shared" si="94"/>
        <v>294.47934482366804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projet'!$B$12,Paramètres!$A$1:$I$88,3,0)*0.475*44/12</f>
        <v>0</v>
      </c>
      <c r="CL127" s="23">
        <f>EXP(-LN(2)/25)*CL126+(1-EXP(-LN(2)/25))/(LN(2)/25)*Calculateur!CG127*Calculateur!CI127*VLOOKUP('Données projet'!$B$12,Paramètres!$A$1:$I$88,3,0)*0.475*44/12</f>
        <v>0</v>
      </c>
      <c r="CM127" s="23">
        <f>EXP(-LN(2)/2)*CM126+(1-EXP(-LN(2)/2))/(LN(2)/2)*CG127*CJ127*VLOOKUP('Données projet'!$B$12,Paramètres!$A$1:$I$88,3,0)*0.475*44/12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69.235009966697405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-1.7053025658242404E-13</v>
      </c>
      <c r="CU127" s="18">
        <f>CT127*VLOOKUP('Données projet'!$B$13,Paramètres!$A$1:$I$88,3,0)*VLOOKUP('Données projet'!$B$13,Paramètres!$A$1:$I$88,5,0)</f>
        <v>-1.1173142411280423E-13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270.10151451661864</v>
      </c>
      <c r="CZ127" s="62">
        <f t="shared" si="96"/>
        <v>294.47934482366804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projet'!$B$13,Paramètres!$A$1:$I$88,3,0)*0.475*44/12</f>
        <v>0</v>
      </c>
      <c r="DG127" s="23">
        <f>EXP(-LN(2)/25)*DG126+(1-EXP(-LN(2)/25))/(LN(2)/25)*Calculateur!DB127*Calculateur!DD127*VLOOKUP('Données projet'!$B$13,Paramètres!$A$1:$I$88,3,0)*0.475*44/12</f>
        <v>0</v>
      </c>
      <c r="DH127" s="23">
        <f>EXP(-LN(2)/2)*DH126+(1-EXP(-LN(2)/2))/(LN(2)/2)*DB127*DE127*VLOOKUP('Données projet'!$B$13,Paramètres!$A$1:$I$88,3,0)*0.475*44/12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69.235009966697405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projet'!$B$14,Paramètres!$A$1:$I$88,3,0)*0.475*44/12</f>
        <v>#N/A</v>
      </c>
      <c r="EB127" s="23" t="e">
        <f>EXP(-LN(2)/25)*EB126+(1-EXP(-LN(2)/25))/(LN(2)/25)*Calculateur!DW127*Calculateur!DY127*VLOOKUP('Données projet'!$B$14,Paramètres!$A$1:$I$88,3,0)*0.475*44/12</f>
        <v>#N/A</v>
      </c>
      <c r="EC127" s="23" t="e">
        <f>EXP(-LN(2)/2)*EC126+(1-EXP(-LN(2)/2))/(LN(2)/2)*DW127*DZ127*VLOOKUP('Données projet'!$B$14,Paramètres!$A$1:$I$88,3,0)*0.475*44/12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69.235009966697405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69.235009966697405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69.235009966697405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69.235009966697405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1.34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4.9133333333333331</v>
      </c>
      <c r="H128" s="70">
        <f t="shared" si="56"/>
        <v>237.01333333333332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69.248280833513704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301</v>
      </c>
      <c r="L128" s="13">
        <f>VLOOKUP(A128,'Données projet'!$A$35:$I$55,9,0)</f>
        <v>3.4</v>
      </c>
      <c r="M128" s="13">
        <f t="array" ref="M128">INDEX(L:L,MIN(IF(ISNUMBER(L128:L324),ROW(L128:L324),"")))</f>
        <v>3.4</v>
      </c>
      <c r="N128" s="14">
        <f>IF('Données projet'!$A$36&gt;35,N127+M128-V127,IF(A128&lt;'Données projet'!$A$36,$K$205^A128,IF(A128='Données projet'!$A$36,'Données projet'!$B$36,N127+M128-V127)))</f>
        <v>300.99999999999932</v>
      </c>
      <c r="O128" s="14">
        <f>N128*VLOOKUP('Données projet'!$B$9,Paramètres!$A$1:$I$88,3,0)*VLOOKUP('Données projet'!$B$9,Paramètres!$A$1:$I$88,5,0)</f>
        <v>305.21399999999932</v>
      </c>
      <c r="P128" s="14">
        <f t="shared" si="87"/>
        <v>72.268419591231137</v>
      </c>
      <c r="Q128" s="22">
        <f t="shared" si="107"/>
        <v>657.44854745472628</v>
      </c>
      <c r="R128" s="62">
        <f t="shared" si="55"/>
        <v>948.02557717760988</v>
      </c>
      <c r="S128" s="62">
        <f ca="1">AVERAGE(OFFSET($R$3,0,0,'Données projet'!$E$9+1,1))-AVERAGE(OFFSET($H$3,0,0,'Données projet'!$E$9+1,1))</f>
        <v>488.16146816015231</v>
      </c>
      <c r="T128" s="62">
        <f t="shared" si="88"/>
        <v>259.37115195552127</v>
      </c>
      <c r="U128" s="16">
        <f>IF(ISNA(VLOOKUP(A128,'Données projet'!$A$35:$I$55,3,0)),0,VLOOKUP(A128,'Données projet'!$A$35:$I$55,3,0))</f>
        <v>11</v>
      </c>
      <c r="V128" s="16">
        <f>IF(ISNA(VLOOKUP(A128,'Données projet'!$A$35:$I$55,4,0)),0,VLOOKUP(A128,'Données projet'!$A$35:$I$55,4,0))</f>
        <v>33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0</v>
      </c>
      <c r="AA128" s="23">
        <f>EXP(-LN(2)/25)*AA127+(1-EXP(-LN(2)/25))/(LN(2)/25)*Calculateur!V128*Calculateur!X128*VLOOKUP('Données projet'!$B$9,Paramètres!$A$1:$I$88,3,0)*0.475*44/12</f>
        <v>0</v>
      </c>
      <c r="AB128" s="23">
        <f>EXP(-LN(2)/2)*AB127+(1-EXP(-LN(2)/2))/(LN(2)/2)*V128*Y128*VLOOKUP('Données projet'!$B$9,Paramètres!$A$1:$I$88,3,0)*0.475*44/12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69.248280833513704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>
        <f>VLOOKUP(A128,'Données projet'!$A$61:$I$81,2,0)</f>
        <v>301</v>
      </c>
      <c r="AG128" s="13">
        <f>VLOOKUP(A128,'Données projet'!$A$61:$I$81,9,0)</f>
        <v>3.4</v>
      </c>
      <c r="AH128" s="13">
        <f t="array" ref="AH128">INDEX(AG:AG,MIN(IF(ISNUMBER(AG128:AG324),ROW(AG128:AG324),"")))</f>
        <v>3.4</v>
      </c>
      <c r="AI128" s="14">
        <f>IF('Données projet'!$A$62&gt;35,AI127+AH128-AQ127,IF(A128&lt;'Données projet'!$A$62,$AF$205^A128,IF(A128='Données projet'!$A$62,'Données projet'!$B$62,AI127+AH128-AQ127)))</f>
        <v>300.99999999999932</v>
      </c>
      <c r="AJ128" s="14">
        <f>AI128*VLOOKUP('Données projet'!$B$10,Paramètres!$A$1:$I$88,3,0)*VLOOKUP('Données projet'!$B$10,Paramètres!$A$1:$I$88,5,0)</f>
        <v>272.34479999999934</v>
      </c>
      <c r="AK128" s="14">
        <f t="shared" si="89"/>
        <v>65.346644318451595</v>
      </c>
      <c r="AL128" s="22">
        <f t="shared" si="58"/>
        <v>588.1459321879687</v>
      </c>
      <c r="AM128" s="62">
        <f t="shared" si="59"/>
        <v>878.72296191085229</v>
      </c>
      <c r="AN128" s="62">
        <f ca="1">AVERAGE(OFFSET($AM$3,0,0,'Données projet'!$E$10+1,1))-AVERAGE(OFFSET($H$3,0,0,'Données projet'!$E$10+1,1))</f>
        <v>441.34749554136755</v>
      </c>
      <c r="AO128" s="62">
        <f t="shared" si="90"/>
        <v>236.49038586666222</v>
      </c>
      <c r="AP128" s="16">
        <f>IF(ISNA(VLOOKUP(A128,'Données projet'!$A$61:$I$81,3,0)),0,VLOOKUP(A128,'Données projet'!$A$61:$I$81,3,0))</f>
        <v>11</v>
      </c>
      <c r="AQ128" s="16">
        <f>IF(ISNA(VLOOKUP(A128,'Données projet'!$A$61:$I$81,4,0)),0,VLOOKUP(A128,'Données projet'!$A$61:$I$81,4,0))</f>
        <v>33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0</v>
      </c>
      <c r="AV128" s="23">
        <f>EXP(-LN(2)/25)*AV127+(1-EXP(-LN(2)/25))/(LN(2)/25)*Calculateur!AQ128*Calculateur!AS128*VLOOKUP('Données projet'!$B$10,Paramètres!$A$1:$I$88,3,0)*0.475*44/12</f>
        <v>0</v>
      </c>
      <c r="AW128" s="23">
        <f>EXP(-LN(2)/2)*AW127+(1-EXP(-LN(2)/2))/(LN(2)/2)*AQ128*AT128*VLOOKUP('Données projet'!$B$10,Paramètres!$A$1:$I$88,3,0)*0.475*44/12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69.248280833513704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>
        <f>VLOOKUP(A128,'Données projet'!$A$87:$I$107,2,0)</f>
        <v>301</v>
      </c>
      <c r="BB128" s="13">
        <f>VLOOKUP(A128,'Données projet'!$A$87:$I$107,9,0)</f>
        <v>3.4</v>
      </c>
      <c r="BC128" s="13">
        <f t="array" ref="BC128">INDEX(BB:BB,MIN(IF(ISNUMBER(BB128:BB324),ROW(BB128:BB324),"")))</f>
        <v>3.4</v>
      </c>
      <c r="BD128" s="13">
        <f>IF('Données projet'!$A$88&gt;35,BD127+BC128-BL127,IF(A128&lt;'Données projet'!$A$88,$BA$205^A128,IF(A128='Données projet'!$A$88,'Données projet'!$B$88,BD127+BC128-BL127)))</f>
        <v>300.99999999999932</v>
      </c>
      <c r="BE128" s="14">
        <f>BD128*VLOOKUP('Données projet'!$B$11,Paramètres!$A$1:$I$88,3,0)*VLOOKUP('Données projet'!$B$11,Paramètres!$A$1:$I$88,5,0)</f>
        <v>323.99639999999926</v>
      </c>
      <c r="BF128" s="14">
        <f t="shared" si="91"/>
        <v>76.184280801792809</v>
      </c>
      <c r="BG128" s="22">
        <f t="shared" si="61"/>
        <v>696.98135239645444</v>
      </c>
      <c r="BH128" s="62">
        <f t="shared" si="62"/>
        <v>987.55838211933803</v>
      </c>
      <c r="BI128" s="62">
        <f ca="1">AVERAGE(OFFSET($BH$3,0,0,'Données projet'!$E$11+1,1))-AVERAGE(OFFSET($H$3,0,0,'Données projet'!$E$11+1,1))</f>
        <v>514.86487884889584</v>
      </c>
      <c r="BJ128" s="62">
        <f t="shared" si="92"/>
        <v>272.4206208356191</v>
      </c>
      <c r="BK128" s="16">
        <f>IF(ISNA(VLOOKUP(A128,'Données projet'!$A$87:$I$107,3,0)),0,VLOOKUP(A128,'Données projet'!$A$87:$I$107,3,0))</f>
        <v>11</v>
      </c>
      <c r="BL128" s="16">
        <f>IF(ISNA(VLOOKUP(A128,'Données projet'!$A$87:$I$107,4,0)),0,VLOOKUP(A128,'Données projet'!$A$87:$I$107,4,0))</f>
        <v>33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projet'!$B$11,Paramètres!$A$1:$I$88,3,0)*0.475*44/12</f>
        <v>0</v>
      </c>
      <c r="BQ128" s="23">
        <f>EXP(-LN(2)/25)*BQ127+(1-EXP(-LN(2)/25))/(LN(2)/25)*Calculateur!BL128*Calculateur!BN128*VLOOKUP('Données projet'!$B$11,Paramètres!$A$1:$I$88,3,0)*0.475*44/12</f>
        <v>0</v>
      </c>
      <c r="BR128" s="23">
        <f>EXP(-LN(2)/2)*BR127+(1-EXP(-LN(2)/2))/(LN(2)/2)*BL128*BO128*VLOOKUP('Données projet'!$B$11,Paramètres!$A$1:$I$88,3,0)*0.475*44/12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69.248280833513704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-1.7053025658242404E-13</v>
      </c>
      <c r="BZ128" s="14">
        <f>BY128*VLOOKUP('Données projet'!$B$12,Paramètres!$A$1:$I$88,3,0)*VLOOKUP('Données projet'!$B$12,Paramètres!$A$1:$I$88,5,0)</f>
        <v>-1.1173142411280423E-13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270.10151451661864</v>
      </c>
      <c r="CE128" s="62">
        <f t="shared" si="94"/>
        <v>294.47934482366804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projet'!$B$12,Paramètres!$A$1:$I$88,3,0)*0.475*44/12</f>
        <v>0</v>
      </c>
      <c r="CL128" s="23">
        <f>EXP(-LN(2)/25)*CL127+(1-EXP(-LN(2)/25))/(LN(2)/25)*Calculateur!CG128*Calculateur!CI128*VLOOKUP('Données projet'!$B$12,Paramètres!$A$1:$I$88,3,0)*0.475*44/12</f>
        <v>0</v>
      </c>
      <c r="CM128" s="23">
        <f>EXP(-LN(2)/2)*CM127+(1-EXP(-LN(2)/2))/(LN(2)/2)*CG128*CJ128*VLOOKUP('Données projet'!$B$12,Paramètres!$A$1:$I$88,3,0)*0.475*44/12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69.248280833513704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-1.7053025658242404E-13</v>
      </c>
      <c r="CU128" s="18">
        <f>CT128*VLOOKUP('Données projet'!$B$13,Paramètres!$A$1:$I$88,3,0)*VLOOKUP('Données projet'!$B$13,Paramètres!$A$1:$I$88,5,0)</f>
        <v>-1.1173142411280423E-13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270.10151451661864</v>
      </c>
      <c r="CZ128" s="62">
        <f t="shared" si="96"/>
        <v>294.47934482366804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projet'!$B$13,Paramètres!$A$1:$I$88,3,0)*0.475*44/12</f>
        <v>0</v>
      </c>
      <c r="DG128" s="23">
        <f>EXP(-LN(2)/25)*DG127+(1-EXP(-LN(2)/25))/(LN(2)/25)*Calculateur!DB128*Calculateur!DD128*VLOOKUP('Données projet'!$B$13,Paramètres!$A$1:$I$88,3,0)*0.475*44/12</f>
        <v>0</v>
      </c>
      <c r="DH128" s="23">
        <f>EXP(-LN(2)/2)*DH127+(1-EXP(-LN(2)/2))/(LN(2)/2)*DB128*DE128*VLOOKUP('Données projet'!$B$13,Paramètres!$A$1:$I$88,3,0)*0.475*44/12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69.248280833513704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projet'!$B$14,Paramètres!$A$1:$I$88,3,0)*0.475*44/12</f>
        <v>#N/A</v>
      </c>
      <c r="EB128" s="23" t="e">
        <f>EXP(-LN(2)/25)*EB127+(1-EXP(-LN(2)/25))/(LN(2)/25)*Calculateur!DW128*Calculateur!DY128*VLOOKUP('Données projet'!$B$14,Paramètres!$A$1:$I$88,3,0)*0.475*44/12</f>
        <v>#N/A</v>
      </c>
      <c r="EC128" s="23" t="e">
        <f>EXP(-LN(2)/2)*EC127+(1-EXP(-LN(2)/2))/(LN(2)/2)*DW128*DZ128*VLOOKUP('Données projet'!$B$14,Paramètres!$A$1:$I$88,3,0)*0.475*44/12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69.248280833513704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69.248280833513704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69.248280833513704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69.248280833513704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1.34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4.9133333333333331</v>
      </c>
      <c r="H129" s="70">
        <f t="shared" si="56"/>
        <v>237.01333333333332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69.261321480459955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</v>
      </c>
      <c r="N129" s="14">
        <f>IF('Données projet'!$A$36&gt;35,N128+M129-V128,IF(A129&lt;'Données projet'!$A$36,$K$205^A129,IF(A129='Données projet'!$A$36,'Données projet'!$B$36,N128+M129-V128)))</f>
        <v>270.99999999999932</v>
      </c>
      <c r="O129" s="14">
        <f>N129*VLOOKUP('Données projet'!$B$9,Paramètres!$A$1:$I$88,3,0)*VLOOKUP('Données projet'!$B$9,Paramètres!$A$1:$I$88,5,0)</f>
        <v>274.7939999999993</v>
      </c>
      <c r="P129" s="14">
        <f t="shared" si="87"/>
        <v>65.865632600455356</v>
      </c>
      <c r="Q129" s="22">
        <f t="shared" si="107"/>
        <v>593.31552677912521</v>
      </c>
      <c r="R129" s="62">
        <f t="shared" si="55"/>
        <v>883.94037220747839</v>
      </c>
      <c r="S129" s="62">
        <f ca="1">AVERAGE(OFFSET($R$3,0,0,'Données projet'!$E$9+1,1))-AVERAGE(OFFSET($H$3,0,0,'Données projet'!$E$9+1,1))</f>
        <v>488.16146816015231</v>
      </c>
      <c r="T129" s="62">
        <f t="shared" si="88"/>
        <v>259.37115195552127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0</v>
      </c>
      <c r="AA129" s="23">
        <f>EXP(-LN(2)/25)*AA128+(1-EXP(-LN(2)/25))/(LN(2)/25)*Calculateur!V129*Calculateur!X129*VLOOKUP('Données projet'!$B$9,Paramètres!$A$1:$I$88,3,0)*0.475*44/12</f>
        <v>0</v>
      </c>
      <c r="AB129" s="23">
        <f>EXP(-LN(2)/2)*AB128+(1-EXP(-LN(2)/2))/(LN(2)/2)*V129*Y129*VLOOKUP('Données projet'!$B$9,Paramètres!$A$1:$I$88,3,0)*0.475*44/12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69.261321480459955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</v>
      </c>
      <c r="AI129" s="14">
        <f>IF('Données projet'!$A$62&gt;35,AI128+AH129-AQ128,IF(A129&lt;'Données projet'!$A$62,$AF$205^A129,IF(A129='Données projet'!$A$62,'Données projet'!$B$62,AI128+AH129-AQ128)))</f>
        <v>270.99999999999932</v>
      </c>
      <c r="AJ129" s="14">
        <f>AI129*VLOOKUP('Données projet'!$B$10,Paramètres!$A$1:$I$88,3,0)*VLOOKUP('Données projet'!$B$10,Paramètres!$A$1:$I$88,5,0)</f>
        <v>245.20079999999936</v>
      </c>
      <c r="AK129" s="14">
        <f t="shared" si="89"/>
        <v>59.557107941433571</v>
      </c>
      <c r="AL129" s="22">
        <f t="shared" si="58"/>
        <v>530.78668966466228</v>
      </c>
      <c r="AM129" s="62">
        <f t="shared" si="59"/>
        <v>821.41153509301546</v>
      </c>
      <c r="AN129" s="62">
        <f ca="1">AVERAGE(OFFSET($AM$3,0,0,'Données projet'!$E$10+1,1))-AVERAGE(OFFSET($H$3,0,0,'Données projet'!$E$10+1,1))</f>
        <v>441.34749554136755</v>
      </c>
      <c r="AO129" s="62">
        <f t="shared" si="90"/>
        <v>236.49038586666222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0</v>
      </c>
      <c r="AV129" s="23">
        <f>EXP(-LN(2)/25)*AV128+(1-EXP(-LN(2)/25))/(LN(2)/25)*Calculateur!AQ129*Calculateur!AS129*VLOOKUP('Données projet'!$B$10,Paramètres!$A$1:$I$88,3,0)*0.475*44/12</f>
        <v>0</v>
      </c>
      <c r="AW129" s="23">
        <f>EXP(-LN(2)/2)*AW128+(1-EXP(-LN(2)/2))/(LN(2)/2)*AQ129*AT129*VLOOKUP('Données projet'!$B$10,Paramètres!$A$1:$I$88,3,0)*0.475*44/12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69.261321480459955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3</v>
      </c>
      <c r="BD129" s="13">
        <f>IF('Données projet'!$A$88&gt;35,BD128+BC129-BL128,IF(A129&lt;'Données projet'!$A$88,$BA$205^A129,IF(A129='Données projet'!$A$88,'Données projet'!$B$88,BD128+BC129-BL128)))</f>
        <v>270.99999999999932</v>
      </c>
      <c r="BE129" s="14">
        <f>BD129*VLOOKUP('Données projet'!$B$11,Paramètres!$A$1:$I$88,3,0)*VLOOKUP('Données projet'!$B$11,Paramètres!$A$1:$I$88,5,0)</f>
        <v>291.70439999999928</v>
      </c>
      <c r="BF129" s="14">
        <f t="shared" si="91"/>
        <v>69.434559073015549</v>
      </c>
      <c r="BG129" s="22">
        <f t="shared" si="61"/>
        <v>628.9836870521674</v>
      </c>
      <c r="BH129" s="62">
        <f t="shared" si="62"/>
        <v>919.60853248052058</v>
      </c>
      <c r="BI129" s="62">
        <f ca="1">AVERAGE(OFFSET($BH$3,0,0,'Données projet'!$E$11+1,1))-AVERAGE(OFFSET($H$3,0,0,'Données projet'!$E$11+1,1))</f>
        <v>514.86487884889584</v>
      </c>
      <c r="BJ129" s="62">
        <f t="shared" si="92"/>
        <v>272.4206208356191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projet'!$B$11,Paramètres!$A$1:$I$88,3,0)*0.475*44/12</f>
        <v>0</v>
      </c>
      <c r="BQ129" s="23">
        <f>EXP(-LN(2)/25)*BQ128+(1-EXP(-LN(2)/25))/(LN(2)/25)*Calculateur!BL129*Calculateur!BN129*VLOOKUP('Données projet'!$B$11,Paramètres!$A$1:$I$88,3,0)*0.475*44/12</f>
        <v>0</v>
      </c>
      <c r="BR129" s="23">
        <f>EXP(-LN(2)/2)*BR128+(1-EXP(-LN(2)/2))/(LN(2)/2)*BL129*BO129*VLOOKUP('Données projet'!$B$11,Paramètres!$A$1:$I$88,3,0)*0.475*44/12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69.261321480459955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-1.7053025658242404E-13</v>
      </c>
      <c r="BZ129" s="14">
        <f>BY129*VLOOKUP('Données projet'!$B$12,Paramètres!$A$1:$I$88,3,0)*VLOOKUP('Données projet'!$B$12,Paramètres!$A$1:$I$88,5,0)</f>
        <v>-1.1173142411280423E-13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270.10151451661864</v>
      </c>
      <c r="CE129" s="62">
        <f t="shared" si="94"/>
        <v>294.47934482366804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projet'!$B$12,Paramètres!$A$1:$I$88,3,0)*0.475*44/12</f>
        <v>0</v>
      </c>
      <c r="CL129" s="23">
        <f>EXP(-LN(2)/25)*CL128+(1-EXP(-LN(2)/25))/(LN(2)/25)*Calculateur!CG129*Calculateur!CI129*VLOOKUP('Données projet'!$B$12,Paramètres!$A$1:$I$88,3,0)*0.475*44/12</f>
        <v>0</v>
      </c>
      <c r="CM129" s="23">
        <f>EXP(-LN(2)/2)*CM128+(1-EXP(-LN(2)/2))/(LN(2)/2)*CG129*CJ129*VLOOKUP('Données projet'!$B$12,Paramètres!$A$1:$I$88,3,0)*0.475*44/12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69.261321480459955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-1.7053025658242404E-13</v>
      </c>
      <c r="CU129" s="18">
        <f>CT129*VLOOKUP('Données projet'!$B$13,Paramètres!$A$1:$I$88,3,0)*VLOOKUP('Données projet'!$B$13,Paramètres!$A$1:$I$88,5,0)</f>
        <v>-1.1173142411280423E-13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270.10151451661864</v>
      </c>
      <c r="CZ129" s="62">
        <f t="shared" si="96"/>
        <v>294.47934482366804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projet'!$B$13,Paramètres!$A$1:$I$88,3,0)*0.475*44/12</f>
        <v>0</v>
      </c>
      <c r="DG129" s="23">
        <f>EXP(-LN(2)/25)*DG128+(1-EXP(-LN(2)/25))/(LN(2)/25)*Calculateur!DB129*Calculateur!DD129*VLOOKUP('Données projet'!$B$13,Paramètres!$A$1:$I$88,3,0)*0.475*44/12</f>
        <v>0</v>
      </c>
      <c r="DH129" s="23">
        <f>EXP(-LN(2)/2)*DH128+(1-EXP(-LN(2)/2))/(LN(2)/2)*DB129*DE129*VLOOKUP('Données projet'!$B$13,Paramètres!$A$1:$I$88,3,0)*0.475*44/12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69.261321480459955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projet'!$B$14,Paramètres!$A$1:$I$88,3,0)*0.475*44/12</f>
        <v>#N/A</v>
      </c>
      <c r="EB129" s="23" t="e">
        <f>EXP(-LN(2)/25)*EB128+(1-EXP(-LN(2)/25))/(LN(2)/25)*Calculateur!DW129*Calculateur!DY129*VLOOKUP('Données projet'!$B$14,Paramètres!$A$1:$I$88,3,0)*0.475*44/12</f>
        <v>#N/A</v>
      </c>
      <c r="EC129" s="23" t="e">
        <f>EXP(-LN(2)/2)*EC128+(1-EXP(-LN(2)/2))/(LN(2)/2)*DW129*DZ129*VLOOKUP('Données projet'!$B$14,Paramètres!$A$1:$I$88,3,0)*0.475*44/12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69.261321480459955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69.261321480459955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69.261321480459955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69.261321480459955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1.34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4.9133333333333331</v>
      </c>
      <c r="H130" s="70">
        <f t="shared" si="56"/>
        <v>237.01333333333332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69.274135901336209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</v>
      </c>
      <c r="N130" s="14">
        <f>IF('Données projet'!$A$36&gt;35,N129+M130-V129,IF(A130&lt;'Données projet'!$A$36,$K$205^A130,IF(A130='Données projet'!$A$36,'Données projet'!$B$36,N129+M130-V129)))</f>
        <v>273.99999999999932</v>
      </c>
      <c r="O130" s="14">
        <f>N130*VLOOKUP('Données projet'!$B$9,Paramètres!$A$1:$I$88,3,0)*VLOOKUP('Données projet'!$B$9,Paramètres!$A$1:$I$88,5,0)</f>
        <v>277.83599999999933</v>
      </c>
      <c r="P130" s="14">
        <f t="shared" si="87"/>
        <v>66.509487177652147</v>
      </c>
      <c r="Q130" s="22">
        <f t="shared" si="107"/>
        <v>599.73505683440965</v>
      </c>
      <c r="R130" s="62">
        <f t="shared" si="55"/>
        <v>890.40688847264232</v>
      </c>
      <c r="S130" s="62">
        <f ca="1">AVERAGE(OFFSET($R$3,0,0,'Données projet'!$E$9+1,1))-AVERAGE(OFFSET($H$3,0,0,'Données projet'!$E$9+1,1))</f>
        <v>488.16146816015231</v>
      </c>
      <c r="T130" s="62">
        <f t="shared" si="88"/>
        <v>259.37115195552127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0</v>
      </c>
      <c r="AA130" s="23">
        <f>EXP(-LN(2)/25)*AA129+(1-EXP(-LN(2)/25))/(LN(2)/25)*Calculateur!V130*Calculateur!X130*VLOOKUP('Données projet'!$B$9,Paramètres!$A$1:$I$88,3,0)*0.475*44/12</f>
        <v>0</v>
      </c>
      <c r="AB130" s="23">
        <f>EXP(-LN(2)/2)*AB129+(1-EXP(-LN(2)/2))/(LN(2)/2)*V130*Y130*VLOOKUP('Données projet'!$B$9,Paramètres!$A$1:$I$88,3,0)*0.475*44/12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69.274135901336209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</v>
      </c>
      <c r="AI130" s="14">
        <f>IF('Données projet'!$A$62&gt;35,AI129+AH130-AQ129,IF(A130&lt;'Données projet'!$A$62,$AF$205^A130,IF(A130='Données projet'!$A$62,'Données projet'!$B$62,AI129+AH130-AQ129)))</f>
        <v>273.99999999999932</v>
      </c>
      <c r="AJ130" s="14">
        <f>AI130*VLOOKUP('Données projet'!$B$10,Paramètres!$A$1:$I$88,3,0)*VLOOKUP('Données projet'!$B$10,Paramètres!$A$1:$I$88,5,0)</f>
        <v>247.91519999999937</v>
      </c>
      <c r="AK130" s="14">
        <f t="shared" si="89"/>
        <v>60.139294964297299</v>
      </c>
      <c r="AL130" s="22">
        <f t="shared" si="58"/>
        <v>536.52824539615006</v>
      </c>
      <c r="AM130" s="62">
        <f t="shared" si="59"/>
        <v>827.20007703438273</v>
      </c>
      <c r="AN130" s="62">
        <f ca="1">AVERAGE(OFFSET($AM$3,0,0,'Données projet'!$E$10+1,1))-AVERAGE(OFFSET($H$3,0,0,'Données projet'!$E$10+1,1))</f>
        <v>441.34749554136755</v>
      </c>
      <c r="AO130" s="62">
        <f t="shared" si="90"/>
        <v>236.49038586666222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0</v>
      </c>
      <c r="AV130" s="23">
        <f>EXP(-LN(2)/25)*AV129+(1-EXP(-LN(2)/25))/(LN(2)/25)*Calculateur!AQ130*Calculateur!AS130*VLOOKUP('Données projet'!$B$10,Paramètres!$A$1:$I$88,3,0)*0.475*44/12</f>
        <v>0</v>
      </c>
      <c r="AW130" s="23">
        <f>EXP(-LN(2)/2)*AW129+(1-EXP(-LN(2)/2))/(LN(2)/2)*AQ130*AT130*VLOOKUP('Données projet'!$B$10,Paramètres!$A$1:$I$88,3,0)*0.475*44/12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69.274135901336209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3</v>
      </c>
      <c r="BD130" s="13">
        <f>IF('Données projet'!$A$88&gt;35,BD129+BC130-BL129,IF(A130&lt;'Données projet'!$A$88,$BA$205^A130,IF(A130='Données projet'!$A$88,'Données projet'!$B$88,BD129+BC130-BL129)))</f>
        <v>273.99999999999932</v>
      </c>
      <c r="BE130" s="14">
        <f>BD130*VLOOKUP('Données projet'!$B$11,Paramètres!$A$1:$I$88,3,0)*VLOOKUP('Données projet'!$B$11,Paramètres!$A$1:$I$88,5,0)</f>
        <v>294.93359999999927</v>
      </c>
      <c r="BF130" s="14">
        <f t="shared" si="91"/>
        <v>70.113300882814755</v>
      </c>
      <c r="BG130" s="22">
        <f t="shared" si="61"/>
        <v>635.79001903756773</v>
      </c>
      <c r="BH130" s="62">
        <f t="shared" si="62"/>
        <v>926.46185067580041</v>
      </c>
      <c r="BI130" s="62">
        <f ca="1">AVERAGE(OFFSET($BH$3,0,0,'Données projet'!$E$11+1,1))-AVERAGE(OFFSET($H$3,0,0,'Données projet'!$E$11+1,1))</f>
        <v>514.86487884889584</v>
      </c>
      <c r="BJ130" s="62">
        <f t="shared" si="92"/>
        <v>272.4206208356191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projet'!$B$11,Paramètres!$A$1:$I$88,3,0)*0.475*44/12</f>
        <v>0</v>
      </c>
      <c r="BQ130" s="23">
        <f>EXP(-LN(2)/25)*BQ129+(1-EXP(-LN(2)/25))/(LN(2)/25)*Calculateur!BL130*Calculateur!BN130*VLOOKUP('Données projet'!$B$11,Paramètres!$A$1:$I$88,3,0)*0.475*44/12</f>
        <v>0</v>
      </c>
      <c r="BR130" s="23">
        <f>EXP(-LN(2)/2)*BR129+(1-EXP(-LN(2)/2))/(LN(2)/2)*BL130*BO130*VLOOKUP('Données projet'!$B$11,Paramètres!$A$1:$I$88,3,0)*0.475*44/12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69.274135901336209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-1.7053025658242404E-13</v>
      </c>
      <c r="BZ130" s="14">
        <f>BY130*VLOOKUP('Données projet'!$B$12,Paramètres!$A$1:$I$88,3,0)*VLOOKUP('Données projet'!$B$12,Paramètres!$A$1:$I$88,5,0)</f>
        <v>-1.1173142411280423E-13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270.10151451661864</v>
      </c>
      <c r="CE130" s="62">
        <f t="shared" si="94"/>
        <v>294.47934482366804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projet'!$B$12,Paramètres!$A$1:$I$88,3,0)*0.475*44/12</f>
        <v>0</v>
      </c>
      <c r="CL130" s="23">
        <f>EXP(-LN(2)/25)*CL129+(1-EXP(-LN(2)/25))/(LN(2)/25)*Calculateur!CG130*Calculateur!CI130*VLOOKUP('Données projet'!$B$12,Paramètres!$A$1:$I$88,3,0)*0.475*44/12</f>
        <v>0</v>
      </c>
      <c r="CM130" s="23">
        <f>EXP(-LN(2)/2)*CM129+(1-EXP(-LN(2)/2))/(LN(2)/2)*CG130*CJ130*VLOOKUP('Données projet'!$B$12,Paramètres!$A$1:$I$88,3,0)*0.475*44/12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69.274135901336209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-1.7053025658242404E-13</v>
      </c>
      <c r="CU130" s="18">
        <f>CT130*VLOOKUP('Données projet'!$B$13,Paramètres!$A$1:$I$88,3,0)*VLOOKUP('Données projet'!$B$13,Paramètres!$A$1:$I$88,5,0)</f>
        <v>-1.1173142411280423E-13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270.10151451661864</v>
      </c>
      <c r="CZ130" s="62">
        <f t="shared" si="96"/>
        <v>294.47934482366804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projet'!$B$13,Paramètres!$A$1:$I$88,3,0)*0.475*44/12</f>
        <v>0</v>
      </c>
      <c r="DG130" s="23">
        <f>EXP(-LN(2)/25)*DG129+(1-EXP(-LN(2)/25))/(LN(2)/25)*Calculateur!DB130*Calculateur!DD130*VLOOKUP('Données projet'!$B$13,Paramètres!$A$1:$I$88,3,0)*0.475*44/12</f>
        <v>0</v>
      </c>
      <c r="DH130" s="23">
        <f>EXP(-LN(2)/2)*DH129+(1-EXP(-LN(2)/2))/(LN(2)/2)*DB130*DE130*VLOOKUP('Données projet'!$B$13,Paramètres!$A$1:$I$88,3,0)*0.475*44/12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69.274135901336209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projet'!$B$14,Paramètres!$A$1:$I$88,3,0)*0.475*44/12</f>
        <v>#N/A</v>
      </c>
      <c r="EB130" s="23" t="e">
        <f>EXP(-LN(2)/25)*EB129+(1-EXP(-LN(2)/25))/(LN(2)/25)*Calculateur!DW130*Calculateur!DY130*VLOOKUP('Données projet'!$B$14,Paramètres!$A$1:$I$88,3,0)*0.475*44/12</f>
        <v>#N/A</v>
      </c>
      <c r="EC130" s="23" t="e">
        <f>EXP(-LN(2)/2)*EC129+(1-EXP(-LN(2)/2))/(LN(2)/2)*DW130*DZ130*VLOOKUP('Données projet'!$B$14,Paramètres!$A$1:$I$88,3,0)*0.475*44/12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69.274135901336209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69.274135901336209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69.274135901336209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69.274135901336209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1.34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4.9133333333333331</v>
      </c>
      <c r="H131" s="70">
        <f t="shared" si="56"/>
        <v>237.01333333333332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69.286728020659012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</v>
      </c>
      <c r="N131" s="14">
        <f>IF('Données projet'!$A$36&gt;35,N130+M131-V130,IF(A131&lt;'Données projet'!$A$36,$K$205^A131,IF(A131='Données projet'!$A$36,'Données projet'!$B$36,N130+M131-V130)))</f>
        <v>276.99999999999932</v>
      </c>
      <c r="O131" s="14">
        <f>N131*VLOOKUP('Données projet'!$B$9,Paramètres!$A$1:$I$88,3,0)*VLOOKUP('Données projet'!$B$9,Paramètres!$A$1:$I$88,5,0)</f>
        <v>280.8779999999993</v>
      </c>
      <c r="P131" s="14">
        <f t="shared" si="87"/>
        <v>67.152521698072178</v>
      </c>
      <c r="Q131" s="22">
        <f t="shared" ref="Q131:Q153" si="108">(O131+P131)*0.475*44/12</f>
        <v>606.15315862414116</v>
      </c>
      <c r="R131" s="62">
        <f t="shared" ref="R131:R194" si="109">Q131+(I131+J131)*44/12</f>
        <v>896.87116136655754</v>
      </c>
      <c r="S131" s="62">
        <f ca="1">AVERAGE(OFFSET($R$3,0,0,'Données projet'!$E$9+1,1))-AVERAGE(OFFSET($H$3,0,0,'Données projet'!$E$9+1,1))</f>
        <v>488.16146816015231</v>
      </c>
      <c r="T131" s="62">
        <f t="shared" si="88"/>
        <v>259.37115195552127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0</v>
      </c>
      <c r="AA131" s="23">
        <f>EXP(-LN(2)/25)*AA130+(1-EXP(-LN(2)/25))/(LN(2)/25)*Calculateur!V131*Calculateur!X131*VLOOKUP('Données projet'!$B$9,Paramètres!$A$1:$I$88,3,0)*0.475*44/12</f>
        <v>0</v>
      </c>
      <c r="AB131" s="23">
        <f>EXP(-LN(2)/2)*AB130+(1-EXP(-LN(2)/2))/(LN(2)/2)*V131*Y131*VLOOKUP('Données projet'!$B$9,Paramètres!$A$1:$I$88,3,0)*0.475*44/12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69.286728020659012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</v>
      </c>
      <c r="AI131" s="14">
        <f>IF('Données projet'!$A$62&gt;35,AI130+AH131-AQ130,IF(A131&lt;'Données projet'!$A$62,$AF$205^A131,IF(A131='Données projet'!$A$62,'Données projet'!$B$62,AI130+AH131-AQ130)))</f>
        <v>276.99999999999932</v>
      </c>
      <c r="AJ131" s="14">
        <f>AI131*VLOOKUP('Données projet'!$B$10,Paramètres!$A$1:$I$88,3,0)*VLOOKUP('Données projet'!$B$10,Paramètres!$A$1:$I$88,5,0)</f>
        <v>250.62959999999939</v>
      </c>
      <c r="AK131" s="14">
        <f t="shared" si="89"/>
        <v>60.720740474356212</v>
      </c>
      <c r="AL131" s="22">
        <f t="shared" si="58"/>
        <v>542.26850965950268</v>
      </c>
      <c r="AM131" s="62">
        <f t="shared" si="59"/>
        <v>832.98651240191907</v>
      </c>
      <c r="AN131" s="62">
        <f ca="1">AVERAGE(OFFSET($AM$3,0,0,'Données projet'!$E$10+1,1))-AVERAGE(OFFSET($H$3,0,0,'Données projet'!$E$10+1,1))</f>
        <v>441.34749554136755</v>
      </c>
      <c r="AO131" s="62">
        <f t="shared" si="90"/>
        <v>236.49038586666222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0</v>
      </c>
      <c r="AV131" s="23">
        <f>EXP(-LN(2)/25)*AV130+(1-EXP(-LN(2)/25))/(LN(2)/25)*Calculateur!AQ131*Calculateur!AS131*VLOOKUP('Données projet'!$B$10,Paramètres!$A$1:$I$88,3,0)*0.475*44/12</f>
        <v>0</v>
      </c>
      <c r="AW131" s="23">
        <f>EXP(-LN(2)/2)*AW130+(1-EXP(-LN(2)/2))/(LN(2)/2)*AQ131*AT131*VLOOKUP('Données projet'!$B$10,Paramètres!$A$1:$I$88,3,0)*0.475*44/12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69.286728020659012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3</v>
      </c>
      <c r="BD131" s="13">
        <f>IF('Données projet'!$A$88&gt;35,BD130+BC131-BL130,IF(A131&lt;'Données projet'!$A$88,$BA$205^A131,IF(A131='Données projet'!$A$88,'Données projet'!$B$88,BD130+BC131-BL130)))</f>
        <v>276.99999999999932</v>
      </c>
      <c r="BE131" s="14">
        <f>BD131*VLOOKUP('Données projet'!$B$11,Paramètres!$A$1:$I$88,3,0)*VLOOKUP('Données projet'!$B$11,Paramètres!$A$1:$I$88,5,0)</f>
        <v>298.16279999999927</v>
      </c>
      <c r="BF131" s="14">
        <f t="shared" si="91"/>
        <v>70.791178201095988</v>
      </c>
      <c r="BG131" s="22">
        <f t="shared" si="61"/>
        <v>642.59484536690752</v>
      </c>
      <c r="BH131" s="62">
        <f t="shared" si="62"/>
        <v>933.31284810932391</v>
      </c>
      <c r="BI131" s="62">
        <f ca="1">AVERAGE(OFFSET($BH$3,0,0,'Données projet'!$E$11+1,1))-AVERAGE(OFFSET($H$3,0,0,'Données projet'!$E$11+1,1))</f>
        <v>514.86487884889584</v>
      </c>
      <c r="BJ131" s="62">
        <f t="shared" si="92"/>
        <v>272.4206208356191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projet'!$B$11,Paramètres!$A$1:$I$88,3,0)*0.475*44/12</f>
        <v>0</v>
      </c>
      <c r="BQ131" s="23">
        <f>EXP(-LN(2)/25)*BQ130+(1-EXP(-LN(2)/25))/(LN(2)/25)*Calculateur!BL131*Calculateur!BN131*VLOOKUP('Données projet'!$B$11,Paramètres!$A$1:$I$88,3,0)*0.475*44/12</f>
        <v>0</v>
      </c>
      <c r="BR131" s="23">
        <f>EXP(-LN(2)/2)*BR130+(1-EXP(-LN(2)/2))/(LN(2)/2)*BL131*BO131*VLOOKUP('Données projet'!$B$11,Paramètres!$A$1:$I$88,3,0)*0.475*44/12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69.286728020659012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-1.7053025658242404E-13</v>
      </c>
      <c r="BZ131" s="14">
        <f>BY131*VLOOKUP('Données projet'!$B$12,Paramètres!$A$1:$I$88,3,0)*VLOOKUP('Données projet'!$B$12,Paramètres!$A$1:$I$88,5,0)</f>
        <v>-1.1173142411280423E-13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270.10151451661864</v>
      </c>
      <c r="CE131" s="62">
        <f t="shared" si="94"/>
        <v>294.47934482366804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projet'!$B$12,Paramètres!$A$1:$I$88,3,0)*0.475*44/12</f>
        <v>0</v>
      </c>
      <c r="CL131" s="23">
        <f>EXP(-LN(2)/25)*CL130+(1-EXP(-LN(2)/25))/(LN(2)/25)*Calculateur!CG131*Calculateur!CI131*VLOOKUP('Données projet'!$B$12,Paramètres!$A$1:$I$88,3,0)*0.475*44/12</f>
        <v>0</v>
      </c>
      <c r="CM131" s="23">
        <f>EXP(-LN(2)/2)*CM130+(1-EXP(-LN(2)/2))/(LN(2)/2)*CG131*CJ131*VLOOKUP('Données projet'!$B$12,Paramètres!$A$1:$I$88,3,0)*0.475*44/12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69.286728020659012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-1.7053025658242404E-13</v>
      </c>
      <c r="CU131" s="18">
        <f>CT131*VLOOKUP('Données projet'!$B$13,Paramètres!$A$1:$I$88,3,0)*VLOOKUP('Données projet'!$B$13,Paramètres!$A$1:$I$88,5,0)</f>
        <v>-1.1173142411280423E-13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270.10151451661864</v>
      </c>
      <c r="CZ131" s="62">
        <f t="shared" si="96"/>
        <v>294.47934482366804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projet'!$B$13,Paramètres!$A$1:$I$88,3,0)*0.475*44/12</f>
        <v>0</v>
      </c>
      <c r="DG131" s="23">
        <f>EXP(-LN(2)/25)*DG130+(1-EXP(-LN(2)/25))/(LN(2)/25)*Calculateur!DB131*Calculateur!DD131*VLOOKUP('Données projet'!$B$13,Paramètres!$A$1:$I$88,3,0)*0.475*44/12</f>
        <v>0</v>
      </c>
      <c r="DH131" s="23">
        <f>EXP(-LN(2)/2)*DH130+(1-EXP(-LN(2)/2))/(LN(2)/2)*DB131*DE131*VLOOKUP('Données projet'!$B$13,Paramètres!$A$1:$I$88,3,0)*0.475*44/12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69.286728020659012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projet'!$B$14,Paramètres!$A$1:$I$88,3,0)*0.475*44/12</f>
        <v>#N/A</v>
      </c>
      <c r="EB131" s="23" t="e">
        <f>EXP(-LN(2)/25)*EB130+(1-EXP(-LN(2)/25))/(LN(2)/25)*Calculateur!DW131*Calculateur!DY131*VLOOKUP('Données projet'!$B$14,Paramètres!$A$1:$I$88,3,0)*0.475*44/12</f>
        <v>#N/A</v>
      </c>
      <c r="EC131" s="23" t="e">
        <f>EXP(-LN(2)/2)*EC130+(1-EXP(-LN(2)/2))/(LN(2)/2)*DW131*DZ131*VLOOKUP('Données projet'!$B$14,Paramètres!$A$1:$I$88,3,0)*0.475*44/12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69.286728020659012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69.286728020659012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69.286728020659012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69.286728020659012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1.34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4.9133333333333331</v>
      </c>
      <c r="H132" s="70">
        <f t="shared" ref="H132:H195" si="110">(B132+E132+F132)*44/12+(C132+D132)*0.475*44/12</f>
        <v>237.01333333333332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69.299101694863324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</v>
      </c>
      <c r="N132" s="14">
        <f>IF('Données projet'!$A$36&gt;35,N131+M132-V131,IF(A132&lt;'Données projet'!$A$36,$K$205^A132,IF(A132='Données projet'!$A$36,'Données projet'!$B$36,N131+M132-V131)))</f>
        <v>279.99999999999932</v>
      </c>
      <c r="O132" s="14">
        <f>N132*VLOOKUP('Données projet'!$B$9,Paramètres!$A$1:$I$88,3,0)*VLOOKUP('Données projet'!$B$9,Paramètres!$A$1:$I$88,5,0)</f>
        <v>283.91999999999933</v>
      </c>
      <c r="P132" s="14">
        <f t="shared" si="87"/>
        <v>67.794746071143507</v>
      </c>
      <c r="Q132" s="22">
        <f t="shared" si="108"/>
        <v>612.56984940724044</v>
      </c>
      <c r="R132" s="62">
        <f t="shared" si="109"/>
        <v>903.33322228840598</v>
      </c>
      <c r="S132" s="62">
        <f ca="1">AVERAGE(OFFSET($R$3,0,0,'Données projet'!$E$9+1,1))-AVERAGE(OFFSET($H$3,0,0,'Données projet'!$E$9+1,1))</f>
        <v>488.16146816015231</v>
      </c>
      <c r="T132" s="62">
        <f t="shared" si="88"/>
        <v>259.37115195552127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0</v>
      </c>
      <c r="AA132" s="23">
        <f>EXP(-LN(2)/25)*AA131+(1-EXP(-LN(2)/25))/(LN(2)/25)*Calculateur!V132*Calculateur!X132*VLOOKUP('Données projet'!$B$9,Paramètres!$A$1:$I$88,3,0)*0.475*44/12</f>
        <v>0</v>
      </c>
      <c r="AB132" s="23">
        <f>EXP(-LN(2)/2)*AB131+(1-EXP(-LN(2)/2))/(LN(2)/2)*V132*Y132*VLOOKUP('Données projet'!$B$9,Paramètres!$A$1:$I$88,3,0)*0.475*44/12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69.299101694863324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</v>
      </c>
      <c r="AI132" s="14">
        <f>IF('Données projet'!$A$62&gt;35,AI131+AH132-AQ131,IF(A132&lt;'Données projet'!$A$62,$AF$205^A132,IF(A132='Données projet'!$A$62,'Données projet'!$B$62,AI131+AH132-AQ131)))</f>
        <v>279.99999999999932</v>
      </c>
      <c r="AJ132" s="14">
        <f>AI132*VLOOKUP('Données projet'!$B$10,Paramètres!$A$1:$I$88,3,0)*VLOOKUP('Données projet'!$B$10,Paramètres!$A$1:$I$88,5,0)</f>
        <v>253.34399999999934</v>
      </c>
      <c r="AK132" s="14">
        <f t="shared" si="89"/>
        <v>61.301453431926141</v>
      </c>
      <c r="AL132" s="22">
        <f t="shared" ref="AL132:AL153" si="112">(AJ132+AK132)*0.475*44/12</f>
        <v>548.00749806060355</v>
      </c>
      <c r="AM132" s="62">
        <f t="shared" ref="AM132:AM195" si="113">AL132+(AD132+AE132)*44/12</f>
        <v>838.77087094176909</v>
      </c>
      <c r="AN132" s="62">
        <f ca="1">AVERAGE(OFFSET($AM$3,0,0,'Données projet'!$E$10+1,1))-AVERAGE(OFFSET($H$3,0,0,'Données projet'!$E$10+1,1))</f>
        <v>441.34749554136755</v>
      </c>
      <c r="AO132" s="62">
        <f t="shared" si="90"/>
        <v>236.49038586666222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0</v>
      </c>
      <c r="AV132" s="23">
        <f>EXP(-LN(2)/25)*AV131+(1-EXP(-LN(2)/25))/(LN(2)/25)*Calculateur!AQ132*Calculateur!AS132*VLOOKUP('Données projet'!$B$10,Paramètres!$A$1:$I$88,3,0)*0.475*44/12</f>
        <v>0</v>
      </c>
      <c r="AW132" s="23">
        <f>EXP(-LN(2)/2)*AW131+(1-EXP(-LN(2)/2))/(LN(2)/2)*AQ132*AT132*VLOOKUP('Données projet'!$B$10,Paramètres!$A$1:$I$88,3,0)*0.475*44/12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69.299101694863324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3</v>
      </c>
      <c r="BD132" s="13">
        <f>IF('Données projet'!$A$88&gt;35,BD131+BC132-BL131,IF(A132&lt;'Données projet'!$A$88,$BA$205^A132,IF(A132='Données projet'!$A$88,'Données projet'!$B$88,BD131+BC132-BL131)))</f>
        <v>279.99999999999932</v>
      </c>
      <c r="BE132" s="14">
        <f>BD132*VLOOKUP('Données projet'!$B$11,Paramètres!$A$1:$I$88,3,0)*VLOOKUP('Données projet'!$B$11,Paramètres!$A$1:$I$88,5,0)</f>
        <v>301.39199999999926</v>
      </c>
      <c r="BF132" s="14">
        <f t="shared" si="91"/>
        <v>71.46820147422909</v>
      </c>
      <c r="BG132" s="22">
        <f t="shared" ref="BG132:BG153" si="115">(BE132+BF132)*0.475*44/12</f>
        <v>649.39818423428108</v>
      </c>
      <c r="BH132" s="62">
        <f t="shared" ref="BH132:BH195" si="116">BG132+(AY132+AZ132)*44/12</f>
        <v>940.16155711544661</v>
      </c>
      <c r="BI132" s="62">
        <f ca="1">AVERAGE(OFFSET($BH$3,0,0,'Données projet'!$E$11+1,1))-AVERAGE(OFFSET($H$3,0,0,'Données projet'!$E$11+1,1))</f>
        <v>514.86487884889584</v>
      </c>
      <c r="BJ132" s="62">
        <f t="shared" si="92"/>
        <v>272.4206208356191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projet'!$B$11,Paramètres!$A$1:$I$88,3,0)*0.475*44/12</f>
        <v>0</v>
      </c>
      <c r="BQ132" s="23">
        <f>EXP(-LN(2)/25)*BQ131+(1-EXP(-LN(2)/25))/(LN(2)/25)*Calculateur!BL132*Calculateur!BN132*VLOOKUP('Données projet'!$B$11,Paramètres!$A$1:$I$88,3,0)*0.475*44/12</f>
        <v>0</v>
      </c>
      <c r="BR132" s="23">
        <f>EXP(-LN(2)/2)*BR131+(1-EXP(-LN(2)/2))/(LN(2)/2)*BL132*BO132*VLOOKUP('Données projet'!$B$11,Paramètres!$A$1:$I$88,3,0)*0.475*44/12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69.299101694863324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-1.7053025658242404E-13</v>
      </c>
      <c r="BZ132" s="14">
        <f>BY132*VLOOKUP('Données projet'!$B$12,Paramètres!$A$1:$I$88,3,0)*VLOOKUP('Données projet'!$B$12,Paramètres!$A$1:$I$88,5,0)</f>
        <v>-1.1173142411280423E-13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270.10151451661864</v>
      </c>
      <c r="CE132" s="62">
        <f t="shared" si="94"/>
        <v>294.47934482366804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projet'!$B$12,Paramètres!$A$1:$I$88,3,0)*0.475*44/12</f>
        <v>0</v>
      </c>
      <c r="CL132" s="23">
        <f>EXP(-LN(2)/25)*CL131+(1-EXP(-LN(2)/25))/(LN(2)/25)*Calculateur!CG132*Calculateur!CI132*VLOOKUP('Données projet'!$B$12,Paramètres!$A$1:$I$88,3,0)*0.475*44/12</f>
        <v>0</v>
      </c>
      <c r="CM132" s="23">
        <f>EXP(-LN(2)/2)*CM131+(1-EXP(-LN(2)/2))/(LN(2)/2)*CG132*CJ132*VLOOKUP('Données projet'!$B$12,Paramètres!$A$1:$I$88,3,0)*0.475*44/12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69.299101694863324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-1.7053025658242404E-13</v>
      </c>
      <c r="CU132" s="18">
        <f>CT132*VLOOKUP('Données projet'!$B$13,Paramètres!$A$1:$I$88,3,0)*VLOOKUP('Données projet'!$B$13,Paramètres!$A$1:$I$88,5,0)</f>
        <v>-1.1173142411280423E-13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270.10151451661864</v>
      </c>
      <c r="CZ132" s="62">
        <f t="shared" si="96"/>
        <v>294.47934482366804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projet'!$B$13,Paramètres!$A$1:$I$88,3,0)*0.475*44/12</f>
        <v>0</v>
      </c>
      <c r="DG132" s="23">
        <f>EXP(-LN(2)/25)*DG131+(1-EXP(-LN(2)/25))/(LN(2)/25)*Calculateur!DB132*Calculateur!DD132*VLOOKUP('Données projet'!$B$13,Paramètres!$A$1:$I$88,3,0)*0.475*44/12</f>
        <v>0</v>
      </c>
      <c r="DH132" s="23">
        <f>EXP(-LN(2)/2)*DH131+(1-EXP(-LN(2)/2))/(LN(2)/2)*DB132*DE132*VLOOKUP('Données projet'!$B$13,Paramètres!$A$1:$I$88,3,0)*0.475*44/12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69.299101694863324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projet'!$B$14,Paramètres!$A$1:$I$88,3,0)*0.475*44/12</f>
        <v>#N/A</v>
      </c>
      <c r="EB132" s="23" t="e">
        <f>EXP(-LN(2)/25)*EB131+(1-EXP(-LN(2)/25))/(LN(2)/25)*Calculateur!DW132*Calculateur!DY132*VLOOKUP('Données projet'!$B$14,Paramètres!$A$1:$I$88,3,0)*0.475*44/12</f>
        <v>#N/A</v>
      </c>
      <c r="EC132" s="23" t="e">
        <f>EXP(-LN(2)/2)*EC131+(1-EXP(-LN(2)/2))/(LN(2)/2)*DW132*DZ132*VLOOKUP('Données projet'!$B$14,Paramètres!$A$1:$I$88,3,0)*0.475*44/12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69.299101694863324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69.299101694863324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69.299101694863324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69.299101694863324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1.34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4.9133333333333331</v>
      </c>
      <c r="H133" s="70">
        <f t="shared" si="110"/>
        <v>237.01333333333332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69.311260713483591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3</v>
      </c>
      <c r="N133" s="14">
        <f>IF('Données projet'!$A$36&gt;35,N132+M133-V132,IF(A133&lt;'Données projet'!$A$36,$K$205^A133,IF(A133='Données projet'!$A$36,'Données projet'!$B$36,N132+M133-V132)))</f>
        <v>282.99999999999932</v>
      </c>
      <c r="O133" s="14">
        <f>N133*VLOOKUP('Données projet'!$B$9,Paramètres!$A$1:$I$88,3,0)*VLOOKUP('Données projet'!$B$9,Paramètres!$A$1:$I$88,5,0)</f>
        <v>286.96199999999931</v>
      </c>
      <c r="P133" s="14">
        <f t="shared" ref="P133:P196" si="141">EXP(-1.0587+0.8836*LN(O133)+0.284)</f>
        <v>68.436169981717669</v>
      </c>
      <c r="Q133" s="22">
        <f t="shared" si="108"/>
        <v>618.98514605149035</v>
      </c>
      <c r="R133" s="62">
        <f t="shared" si="109"/>
        <v>909.79310200093028</v>
      </c>
      <c r="S133" s="62">
        <f ca="1">AVERAGE(OFFSET($R$3,0,0,'Données projet'!$E$9+1,1))-AVERAGE(OFFSET($H$3,0,0,'Données projet'!$E$9+1,1))</f>
        <v>488.16146816015231</v>
      </c>
      <c r="T133" s="62">
        <f t="shared" ref="T133:T196" si="142">$T$3</f>
        <v>259.37115195552127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0</v>
      </c>
      <c r="AA133" s="23">
        <f>EXP(-LN(2)/25)*AA132+(1-EXP(-LN(2)/25))/(LN(2)/25)*Calculateur!V133*Calculateur!X133*VLOOKUP('Données projet'!$B$9,Paramètres!$A$1:$I$88,3,0)*0.475*44/12</f>
        <v>0</v>
      </c>
      <c r="AB133" s="23">
        <f>EXP(-LN(2)/2)*AB132+(1-EXP(-LN(2)/2))/(LN(2)/2)*V133*Y133*VLOOKUP('Données projet'!$B$9,Paramètres!$A$1:$I$88,3,0)*0.475*44/12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69.311260713483591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3</v>
      </c>
      <c r="AI133" s="14">
        <f>IF('Données projet'!$A$62&gt;35,AI132+AH133-AQ132,IF(A133&lt;'Données projet'!$A$62,$AF$205^A133,IF(A133='Données projet'!$A$62,'Données projet'!$B$62,AI132+AH133-AQ132)))</f>
        <v>282.99999999999932</v>
      </c>
      <c r="AJ133" s="14">
        <f>AI133*VLOOKUP('Données projet'!$B$10,Paramètres!$A$1:$I$88,3,0)*VLOOKUP('Données projet'!$B$10,Paramètres!$A$1:$I$88,5,0)</f>
        <v>256.05839999999938</v>
      </c>
      <c r="AK133" s="14">
        <f t="shared" ref="AK133:AK153" si="143">EXP(-1.0587+0.8836*LN(AJ133)+0.284)</f>
        <v>61.88144259425632</v>
      </c>
      <c r="AL133" s="22">
        <f t="shared" si="112"/>
        <v>553.74522585166198</v>
      </c>
      <c r="AM133" s="62">
        <f t="shared" si="113"/>
        <v>844.5531818011018</v>
      </c>
      <c r="AN133" s="62">
        <f ca="1">AVERAGE(OFFSET($AM$3,0,0,'Données projet'!$E$10+1,1))-AVERAGE(OFFSET($H$3,0,0,'Données projet'!$E$10+1,1))</f>
        <v>441.34749554136755</v>
      </c>
      <c r="AO133" s="62">
        <f t="shared" ref="AO133:AO196" si="144">$AO$3</f>
        <v>236.49038586666222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0</v>
      </c>
      <c r="AV133" s="23">
        <f>EXP(-LN(2)/25)*AV132+(1-EXP(-LN(2)/25))/(LN(2)/25)*Calculateur!AQ133*Calculateur!AS133*VLOOKUP('Données projet'!$B$10,Paramètres!$A$1:$I$88,3,0)*0.475*44/12</f>
        <v>0</v>
      </c>
      <c r="AW133" s="23">
        <f>EXP(-LN(2)/2)*AW132+(1-EXP(-LN(2)/2))/(LN(2)/2)*AQ133*AT133*VLOOKUP('Données projet'!$B$10,Paramètres!$A$1:$I$88,3,0)*0.475*44/12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69.311260713483591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3</v>
      </c>
      <c r="BD133" s="13">
        <f>IF('Données projet'!$A$88&gt;35,BD132+BC133-BL132,IF(A133&lt;'Données projet'!$A$88,$BA$205^A133,IF(A133='Données projet'!$A$88,'Données projet'!$B$88,BD132+BC133-BL132)))</f>
        <v>282.99999999999932</v>
      </c>
      <c r="BE133" s="14">
        <f>BD133*VLOOKUP('Données projet'!$B$11,Paramètres!$A$1:$I$88,3,0)*VLOOKUP('Données projet'!$B$11,Paramètres!$A$1:$I$88,5,0)</f>
        <v>304.62119999999925</v>
      </c>
      <c r="BF133" s="14">
        <f t="shared" ref="BF133:BF153" si="145">EXP(-1.0587+0.8836*LN(BE133)+0.284)</f>
        <v>72.144380911839278</v>
      </c>
      <c r="BG133" s="22">
        <f t="shared" si="115"/>
        <v>656.20005342145203</v>
      </c>
      <c r="BH133" s="62">
        <f t="shared" si="116"/>
        <v>947.00800937089184</v>
      </c>
      <c r="BI133" s="62">
        <f ca="1">AVERAGE(OFFSET($BH$3,0,0,'Données projet'!$E$11+1,1))-AVERAGE(OFFSET($H$3,0,0,'Données projet'!$E$11+1,1))</f>
        <v>514.86487884889584</v>
      </c>
      <c r="BJ133" s="62">
        <f t="shared" ref="BJ133:BJ196" si="146">$BJ$3</f>
        <v>272.4206208356191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projet'!$B$11,Paramètres!$A$1:$I$88,3,0)*0.475*44/12</f>
        <v>0</v>
      </c>
      <c r="BQ133" s="23">
        <f>EXP(-LN(2)/25)*BQ132+(1-EXP(-LN(2)/25))/(LN(2)/25)*Calculateur!BL133*Calculateur!BN133*VLOOKUP('Données projet'!$B$11,Paramètres!$A$1:$I$88,3,0)*0.475*44/12</f>
        <v>0</v>
      </c>
      <c r="BR133" s="23">
        <f>EXP(-LN(2)/2)*BR132+(1-EXP(-LN(2)/2))/(LN(2)/2)*BL133*BO133*VLOOKUP('Données projet'!$B$11,Paramètres!$A$1:$I$88,3,0)*0.475*44/12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69.311260713483591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-1.7053025658242404E-13</v>
      </c>
      <c r="BZ133" s="14">
        <f>BY133*VLOOKUP('Données projet'!$B$12,Paramètres!$A$1:$I$88,3,0)*VLOOKUP('Données projet'!$B$12,Paramètres!$A$1:$I$88,5,0)</f>
        <v>-1.1173142411280423E-13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270.10151451661864</v>
      </c>
      <c r="CE133" s="62">
        <f t="shared" ref="CE133:CE196" si="148">$CE$3</f>
        <v>294.47934482366804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projet'!$B$12,Paramètres!$A$1:$I$88,3,0)*0.475*44/12</f>
        <v>0</v>
      </c>
      <c r="CL133" s="23">
        <f>EXP(-LN(2)/25)*CL132+(1-EXP(-LN(2)/25))/(LN(2)/25)*Calculateur!CG133*Calculateur!CI133*VLOOKUP('Données projet'!$B$12,Paramètres!$A$1:$I$88,3,0)*0.475*44/12</f>
        <v>0</v>
      </c>
      <c r="CM133" s="23">
        <f>EXP(-LN(2)/2)*CM132+(1-EXP(-LN(2)/2))/(LN(2)/2)*CG133*CJ133*VLOOKUP('Données projet'!$B$12,Paramètres!$A$1:$I$88,3,0)*0.475*44/12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69.311260713483591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-1.7053025658242404E-13</v>
      </c>
      <c r="CU133" s="18">
        <f>CT133*VLOOKUP('Données projet'!$B$13,Paramètres!$A$1:$I$88,3,0)*VLOOKUP('Données projet'!$B$13,Paramètres!$A$1:$I$88,5,0)</f>
        <v>-1.1173142411280423E-13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270.10151451661864</v>
      </c>
      <c r="CZ133" s="62">
        <f t="shared" ref="CZ133:CZ196" si="150">$CZ$3</f>
        <v>294.47934482366804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projet'!$B$13,Paramètres!$A$1:$I$88,3,0)*0.475*44/12</f>
        <v>0</v>
      </c>
      <c r="DG133" s="23">
        <f>EXP(-LN(2)/25)*DG132+(1-EXP(-LN(2)/25))/(LN(2)/25)*Calculateur!DB133*Calculateur!DD133*VLOOKUP('Données projet'!$B$13,Paramètres!$A$1:$I$88,3,0)*0.475*44/12</f>
        <v>0</v>
      </c>
      <c r="DH133" s="23">
        <f>EXP(-LN(2)/2)*DH132+(1-EXP(-LN(2)/2))/(LN(2)/2)*DB133*DE133*VLOOKUP('Données projet'!$B$13,Paramètres!$A$1:$I$88,3,0)*0.475*44/12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69.311260713483591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projet'!$B$14,Paramètres!$A$1:$I$88,3,0)*0.475*44/12</f>
        <v>#N/A</v>
      </c>
      <c r="EB133" s="23" t="e">
        <f>EXP(-LN(2)/25)*EB132+(1-EXP(-LN(2)/25))/(LN(2)/25)*Calculateur!DW133*Calculateur!DY133*VLOOKUP('Données projet'!$B$14,Paramètres!$A$1:$I$88,3,0)*0.475*44/12</f>
        <v>#N/A</v>
      </c>
      <c r="EC133" s="23" t="e">
        <f>EXP(-LN(2)/2)*EC132+(1-EXP(-LN(2)/2))/(LN(2)/2)*DW133*DZ133*VLOOKUP('Données projet'!$B$14,Paramètres!$A$1:$I$88,3,0)*0.475*44/12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69.311260713483591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69.311260713483591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69.311260713483591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69.311260713483591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1.34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4.9133333333333331</v>
      </c>
      <c r="H134" s="70">
        <f t="shared" si="110"/>
        <v>237.01333333333332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69.323208800314276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</v>
      </c>
      <c r="N134" s="14">
        <f>IF('Données projet'!$A$36&gt;35,N133+M134-V133,IF(A134&lt;'Données projet'!$A$36,$K$205^A134,IF(A134='Données projet'!$A$36,'Données projet'!$B$36,N133+M134-V133)))</f>
        <v>285.99999999999932</v>
      </c>
      <c r="O134" s="14">
        <f>N134*VLOOKUP('Données projet'!$B$9,Paramètres!$A$1:$I$88,3,0)*VLOOKUP('Données projet'!$B$9,Paramètres!$A$1:$I$88,5,0)</f>
        <v>290.00399999999934</v>
      </c>
      <c r="P134" s="14">
        <f t="shared" si="141"/>
        <v>69.076802897485763</v>
      </c>
      <c r="Q134" s="22">
        <f t="shared" si="108"/>
        <v>625.39906504645319</v>
      </c>
      <c r="R134" s="62">
        <f t="shared" si="109"/>
        <v>916.25083064760554</v>
      </c>
      <c r="S134" s="62">
        <f ca="1">AVERAGE(OFFSET($R$3,0,0,'Données projet'!$E$9+1,1))-AVERAGE(OFFSET($H$3,0,0,'Données projet'!$E$9+1,1))</f>
        <v>488.16146816015231</v>
      </c>
      <c r="T134" s="62">
        <f t="shared" si="142"/>
        <v>259.37115195552127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0</v>
      </c>
      <c r="AA134" s="23">
        <f>EXP(-LN(2)/25)*AA133+(1-EXP(-LN(2)/25))/(LN(2)/25)*Calculateur!V134*Calculateur!X134*VLOOKUP('Données projet'!$B$9,Paramètres!$A$1:$I$88,3,0)*0.475*44/12</f>
        <v>0</v>
      </c>
      <c r="AB134" s="23">
        <f>EXP(-LN(2)/2)*AB133+(1-EXP(-LN(2)/2))/(LN(2)/2)*V134*Y134*VLOOKUP('Données projet'!$B$9,Paramètres!$A$1:$I$88,3,0)*0.475*44/12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69.323208800314276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3</v>
      </c>
      <c r="AI134" s="14">
        <f>IF('Données projet'!$A$62&gt;35,AI133+AH134-AQ133,IF(A134&lt;'Données projet'!$A$62,$AF$205^A134,IF(A134='Données projet'!$A$62,'Données projet'!$B$62,AI133+AH134-AQ133)))</f>
        <v>285.99999999999932</v>
      </c>
      <c r="AJ134" s="14">
        <f>AI134*VLOOKUP('Données projet'!$B$10,Paramètres!$A$1:$I$88,3,0)*VLOOKUP('Données projet'!$B$10,Paramètres!$A$1:$I$88,5,0)</f>
        <v>258.77279999999939</v>
      </c>
      <c r="AK134" s="14">
        <f t="shared" si="143"/>
        <v>62.460716522234527</v>
      </c>
      <c r="AL134" s="22">
        <f t="shared" si="112"/>
        <v>559.48170794289069</v>
      </c>
      <c r="AM134" s="62">
        <f t="shared" si="113"/>
        <v>850.33347354404304</v>
      </c>
      <c r="AN134" s="62">
        <f ca="1">AVERAGE(OFFSET($AM$3,0,0,'Données projet'!$E$10+1,1))-AVERAGE(OFFSET($H$3,0,0,'Données projet'!$E$10+1,1))</f>
        <v>441.34749554136755</v>
      </c>
      <c r="AO134" s="62">
        <f t="shared" si="144"/>
        <v>236.49038586666222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0</v>
      </c>
      <c r="AV134" s="23">
        <f>EXP(-LN(2)/25)*AV133+(1-EXP(-LN(2)/25))/(LN(2)/25)*Calculateur!AQ134*Calculateur!AS134*VLOOKUP('Données projet'!$B$10,Paramètres!$A$1:$I$88,3,0)*0.475*44/12</f>
        <v>0</v>
      </c>
      <c r="AW134" s="23">
        <f>EXP(-LN(2)/2)*AW133+(1-EXP(-LN(2)/2))/(LN(2)/2)*AQ134*AT134*VLOOKUP('Données projet'!$B$10,Paramètres!$A$1:$I$88,3,0)*0.475*44/12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69.323208800314276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3</v>
      </c>
      <c r="BD134" s="13">
        <f>IF('Données projet'!$A$88&gt;35,BD133+BC134-BL133,IF(A134&lt;'Données projet'!$A$88,$BA$205^A134,IF(A134='Données projet'!$A$88,'Données projet'!$B$88,BD133+BC134-BL133)))</f>
        <v>285.99999999999932</v>
      </c>
      <c r="BE134" s="14">
        <f>BD134*VLOOKUP('Données projet'!$B$11,Paramètres!$A$1:$I$88,3,0)*VLOOKUP('Données projet'!$B$11,Paramètres!$A$1:$I$88,5,0)</f>
        <v>307.85039999999924</v>
      </c>
      <c r="BF134" s="14">
        <f t="shared" si="145"/>
        <v>72.819726494623595</v>
      </c>
      <c r="BG134" s="22">
        <f t="shared" si="115"/>
        <v>663.00047031146812</v>
      </c>
      <c r="BH134" s="62">
        <f t="shared" si="116"/>
        <v>953.85223591262047</v>
      </c>
      <c r="BI134" s="62">
        <f ca="1">AVERAGE(OFFSET($BH$3,0,0,'Données projet'!$E$11+1,1))-AVERAGE(OFFSET($H$3,0,0,'Données projet'!$E$11+1,1))</f>
        <v>514.86487884889584</v>
      </c>
      <c r="BJ134" s="62">
        <f t="shared" si="146"/>
        <v>272.4206208356191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projet'!$B$11,Paramètres!$A$1:$I$88,3,0)*0.475*44/12</f>
        <v>0</v>
      </c>
      <c r="BQ134" s="23">
        <f>EXP(-LN(2)/25)*BQ133+(1-EXP(-LN(2)/25))/(LN(2)/25)*Calculateur!BL134*Calculateur!BN134*VLOOKUP('Données projet'!$B$11,Paramètres!$A$1:$I$88,3,0)*0.475*44/12</f>
        <v>0</v>
      </c>
      <c r="BR134" s="23">
        <f>EXP(-LN(2)/2)*BR133+(1-EXP(-LN(2)/2))/(LN(2)/2)*BL134*BO134*VLOOKUP('Données projet'!$B$11,Paramètres!$A$1:$I$88,3,0)*0.475*44/12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69.323208800314276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-1.7053025658242404E-13</v>
      </c>
      <c r="BZ134" s="14">
        <f>BY134*VLOOKUP('Données projet'!$B$12,Paramètres!$A$1:$I$88,3,0)*VLOOKUP('Données projet'!$B$12,Paramètres!$A$1:$I$88,5,0)</f>
        <v>-1.1173142411280423E-13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270.10151451661864</v>
      </c>
      <c r="CE134" s="62">
        <f t="shared" si="148"/>
        <v>294.47934482366804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projet'!$B$12,Paramètres!$A$1:$I$88,3,0)*0.475*44/12</f>
        <v>0</v>
      </c>
      <c r="CL134" s="23">
        <f>EXP(-LN(2)/25)*CL133+(1-EXP(-LN(2)/25))/(LN(2)/25)*Calculateur!CG134*Calculateur!CI134*VLOOKUP('Données projet'!$B$12,Paramètres!$A$1:$I$88,3,0)*0.475*44/12</f>
        <v>0</v>
      </c>
      <c r="CM134" s="23">
        <f>EXP(-LN(2)/2)*CM133+(1-EXP(-LN(2)/2))/(LN(2)/2)*CG134*CJ134*VLOOKUP('Données projet'!$B$12,Paramètres!$A$1:$I$88,3,0)*0.475*44/12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69.323208800314276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-1.7053025658242404E-13</v>
      </c>
      <c r="CU134" s="18">
        <f>CT134*VLOOKUP('Données projet'!$B$13,Paramètres!$A$1:$I$88,3,0)*VLOOKUP('Données projet'!$B$13,Paramètres!$A$1:$I$88,5,0)</f>
        <v>-1.1173142411280423E-13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270.10151451661864</v>
      </c>
      <c r="CZ134" s="62">
        <f t="shared" si="150"/>
        <v>294.47934482366804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projet'!$B$13,Paramètres!$A$1:$I$88,3,0)*0.475*44/12</f>
        <v>0</v>
      </c>
      <c r="DG134" s="23">
        <f>EXP(-LN(2)/25)*DG133+(1-EXP(-LN(2)/25))/(LN(2)/25)*Calculateur!DB134*Calculateur!DD134*VLOOKUP('Données projet'!$B$13,Paramètres!$A$1:$I$88,3,0)*0.475*44/12</f>
        <v>0</v>
      </c>
      <c r="DH134" s="23">
        <f>EXP(-LN(2)/2)*DH133+(1-EXP(-LN(2)/2))/(LN(2)/2)*DB134*DE134*VLOOKUP('Données projet'!$B$13,Paramètres!$A$1:$I$88,3,0)*0.475*44/12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69.323208800314276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projet'!$B$14,Paramètres!$A$1:$I$88,3,0)*0.475*44/12</f>
        <v>#N/A</v>
      </c>
      <c r="EB134" s="23" t="e">
        <f>EXP(-LN(2)/25)*EB133+(1-EXP(-LN(2)/25))/(LN(2)/25)*Calculateur!DW134*Calculateur!DY134*VLOOKUP('Données projet'!$B$14,Paramètres!$A$1:$I$88,3,0)*0.475*44/12</f>
        <v>#N/A</v>
      </c>
      <c r="EC134" s="23" t="e">
        <f>EXP(-LN(2)/2)*EC133+(1-EXP(-LN(2)/2))/(LN(2)/2)*DW134*DZ134*VLOOKUP('Données projet'!$B$14,Paramètres!$A$1:$I$88,3,0)*0.475*44/12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69.323208800314276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69.323208800314276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69.323208800314276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69.323208800314276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1.34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4.9133333333333331</v>
      </c>
      <c r="H135" s="70">
        <f t="shared" si="110"/>
        <v>237.01333333333332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69.334949614550382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</v>
      </c>
      <c r="N135" s="14">
        <f>IF('Données projet'!$A$36&gt;35,N134+M135-V134,IF(A135&lt;'Données projet'!$A$36,$K$205^A135,IF(A135='Données projet'!$A$36,'Données projet'!$B$36,N134+M135-V134)))</f>
        <v>288.99999999999932</v>
      </c>
      <c r="O135" s="14">
        <f>N135*VLOOKUP('Données projet'!$B$9,Paramètres!$A$1:$I$88,3,0)*VLOOKUP('Données projet'!$B$9,Paramètres!$A$1:$I$88,5,0)</f>
        <v>293.04599999999931</v>
      </c>
      <c r="P135" s="14">
        <f t="shared" si="141"/>
        <v>69.716654076072487</v>
      </c>
      <c r="Q135" s="22">
        <f t="shared" si="108"/>
        <v>631.81162251582498</v>
      </c>
      <c r="R135" s="62">
        <f t="shared" si="109"/>
        <v>922.70643776917632</v>
      </c>
      <c r="S135" s="62">
        <f ca="1">AVERAGE(OFFSET($R$3,0,0,'Données projet'!$E$9+1,1))-AVERAGE(OFFSET($H$3,0,0,'Données projet'!$E$9+1,1))</f>
        <v>488.16146816015231</v>
      </c>
      <c r="T135" s="62">
        <f t="shared" si="142"/>
        <v>259.37115195552127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0</v>
      </c>
      <c r="AA135" s="23">
        <f>EXP(-LN(2)/25)*AA134+(1-EXP(-LN(2)/25))/(LN(2)/25)*Calculateur!V135*Calculateur!X135*VLOOKUP('Données projet'!$B$9,Paramètres!$A$1:$I$88,3,0)*0.475*44/12</f>
        <v>0</v>
      </c>
      <c r="AB135" s="23">
        <f>EXP(-LN(2)/2)*AB134+(1-EXP(-LN(2)/2))/(LN(2)/2)*V135*Y135*VLOOKUP('Données projet'!$B$9,Paramètres!$A$1:$I$88,3,0)*0.475*44/12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69.334949614550382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3</v>
      </c>
      <c r="AI135" s="14">
        <f>IF('Données projet'!$A$62&gt;35,AI134+AH135-AQ134,IF(A135&lt;'Données projet'!$A$62,$AF$205^A135,IF(A135='Données projet'!$A$62,'Données projet'!$B$62,AI134+AH135-AQ134)))</f>
        <v>288.99999999999932</v>
      </c>
      <c r="AJ135" s="14">
        <f>AI135*VLOOKUP('Données projet'!$B$10,Paramètres!$A$1:$I$88,3,0)*VLOOKUP('Données projet'!$B$10,Paramètres!$A$1:$I$88,5,0)</f>
        <v>261.4871999999994</v>
      </c>
      <c r="AK135" s="14">
        <f t="shared" si="143"/>
        <v>63.03928358680222</v>
      </c>
      <c r="AL135" s="22">
        <f t="shared" si="112"/>
        <v>565.21695891367949</v>
      </c>
      <c r="AM135" s="62">
        <f t="shared" si="113"/>
        <v>856.11177416703094</v>
      </c>
      <c r="AN135" s="62">
        <f ca="1">AVERAGE(OFFSET($AM$3,0,0,'Données projet'!$E$10+1,1))-AVERAGE(OFFSET($H$3,0,0,'Données projet'!$E$10+1,1))</f>
        <v>441.34749554136755</v>
      </c>
      <c r="AO135" s="62">
        <f t="shared" si="144"/>
        <v>236.49038586666222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0</v>
      </c>
      <c r="AV135" s="23">
        <f>EXP(-LN(2)/25)*AV134+(1-EXP(-LN(2)/25))/(LN(2)/25)*Calculateur!AQ135*Calculateur!AS135*VLOOKUP('Données projet'!$B$10,Paramètres!$A$1:$I$88,3,0)*0.475*44/12</f>
        <v>0</v>
      </c>
      <c r="AW135" s="23">
        <f>EXP(-LN(2)/2)*AW134+(1-EXP(-LN(2)/2))/(LN(2)/2)*AQ135*AT135*VLOOKUP('Données projet'!$B$10,Paramètres!$A$1:$I$88,3,0)*0.475*44/12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69.334949614550382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3</v>
      </c>
      <c r="BD135" s="13">
        <f>IF('Données projet'!$A$88&gt;35,BD134+BC135-BL134,IF(A135&lt;'Données projet'!$A$88,$BA$205^A135,IF(A135='Données projet'!$A$88,'Données projet'!$B$88,BD134+BC135-BL134)))</f>
        <v>288.99999999999932</v>
      </c>
      <c r="BE135" s="14">
        <f>BD135*VLOOKUP('Données projet'!$B$11,Paramètres!$A$1:$I$88,3,0)*VLOOKUP('Données projet'!$B$11,Paramètres!$A$1:$I$88,5,0)</f>
        <v>311.07959999999923</v>
      </c>
      <c r="BF135" s="14">
        <f t="shared" si="145"/>
        <v>73.494247981831052</v>
      </c>
      <c r="BG135" s="22">
        <f t="shared" si="115"/>
        <v>669.79945190168769</v>
      </c>
      <c r="BH135" s="62">
        <f t="shared" si="116"/>
        <v>960.69426715503914</v>
      </c>
      <c r="BI135" s="62">
        <f ca="1">AVERAGE(OFFSET($BH$3,0,0,'Données projet'!$E$11+1,1))-AVERAGE(OFFSET($H$3,0,0,'Données projet'!$E$11+1,1))</f>
        <v>514.86487884889584</v>
      </c>
      <c r="BJ135" s="62">
        <f t="shared" si="146"/>
        <v>272.4206208356191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projet'!$B$11,Paramètres!$A$1:$I$88,3,0)*0.475*44/12</f>
        <v>0</v>
      </c>
      <c r="BQ135" s="23">
        <f>EXP(-LN(2)/25)*BQ134+(1-EXP(-LN(2)/25))/(LN(2)/25)*Calculateur!BL135*Calculateur!BN135*VLOOKUP('Données projet'!$B$11,Paramètres!$A$1:$I$88,3,0)*0.475*44/12</f>
        <v>0</v>
      </c>
      <c r="BR135" s="23">
        <f>EXP(-LN(2)/2)*BR134+(1-EXP(-LN(2)/2))/(LN(2)/2)*BL135*BO135*VLOOKUP('Données projet'!$B$11,Paramètres!$A$1:$I$88,3,0)*0.475*44/12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69.334949614550382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-1.7053025658242404E-13</v>
      </c>
      <c r="BZ135" s="14">
        <f>BY135*VLOOKUP('Données projet'!$B$12,Paramètres!$A$1:$I$88,3,0)*VLOOKUP('Données projet'!$B$12,Paramètres!$A$1:$I$88,5,0)</f>
        <v>-1.1173142411280423E-13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270.10151451661864</v>
      </c>
      <c r="CE135" s="62">
        <f t="shared" si="148"/>
        <v>294.47934482366804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projet'!$B$12,Paramètres!$A$1:$I$88,3,0)*0.475*44/12</f>
        <v>0</v>
      </c>
      <c r="CL135" s="23">
        <f>EXP(-LN(2)/25)*CL134+(1-EXP(-LN(2)/25))/(LN(2)/25)*Calculateur!CG135*Calculateur!CI135*VLOOKUP('Données projet'!$B$12,Paramètres!$A$1:$I$88,3,0)*0.475*44/12</f>
        <v>0</v>
      </c>
      <c r="CM135" s="23">
        <f>EXP(-LN(2)/2)*CM134+(1-EXP(-LN(2)/2))/(LN(2)/2)*CG135*CJ135*VLOOKUP('Données projet'!$B$12,Paramètres!$A$1:$I$88,3,0)*0.475*44/12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69.334949614550382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-1.7053025658242404E-13</v>
      </c>
      <c r="CU135" s="18">
        <f>CT135*VLOOKUP('Données projet'!$B$13,Paramètres!$A$1:$I$88,3,0)*VLOOKUP('Données projet'!$B$13,Paramètres!$A$1:$I$88,5,0)</f>
        <v>-1.1173142411280423E-13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270.10151451661864</v>
      </c>
      <c r="CZ135" s="62">
        <f t="shared" si="150"/>
        <v>294.47934482366804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projet'!$B$13,Paramètres!$A$1:$I$88,3,0)*0.475*44/12</f>
        <v>0</v>
      </c>
      <c r="DG135" s="23">
        <f>EXP(-LN(2)/25)*DG134+(1-EXP(-LN(2)/25))/(LN(2)/25)*Calculateur!DB135*Calculateur!DD135*VLOOKUP('Données projet'!$B$13,Paramètres!$A$1:$I$88,3,0)*0.475*44/12</f>
        <v>0</v>
      </c>
      <c r="DH135" s="23">
        <f>EXP(-LN(2)/2)*DH134+(1-EXP(-LN(2)/2))/(LN(2)/2)*DB135*DE135*VLOOKUP('Données projet'!$B$13,Paramètres!$A$1:$I$88,3,0)*0.475*44/12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69.334949614550382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projet'!$B$14,Paramètres!$A$1:$I$88,3,0)*0.475*44/12</f>
        <v>#N/A</v>
      </c>
      <c r="EB135" s="23" t="e">
        <f>EXP(-LN(2)/25)*EB134+(1-EXP(-LN(2)/25))/(LN(2)/25)*Calculateur!DW135*Calculateur!DY135*VLOOKUP('Données projet'!$B$14,Paramètres!$A$1:$I$88,3,0)*0.475*44/12</f>
        <v>#N/A</v>
      </c>
      <c r="EC135" s="23" t="e">
        <f>EXP(-LN(2)/2)*EC134+(1-EXP(-LN(2)/2))/(LN(2)/2)*DW135*DZ135*VLOOKUP('Données projet'!$B$14,Paramètres!$A$1:$I$88,3,0)*0.475*44/12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69.334949614550382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69.334949614550382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69.334949614550382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69.334949614550382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1.34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4.9133333333333331</v>
      </c>
      <c r="H136" s="70">
        <f t="shared" si="110"/>
        <v>237.01333333333332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69.346486751908003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</v>
      </c>
      <c r="N136" s="14">
        <f>IF('Données projet'!$A$36&gt;35,N135+M136-V135,IF(A136&lt;'Données projet'!$A$36,$K$205^A136,IF(A136='Données projet'!$A$36,'Données projet'!$B$36,N135+M136-V135)))</f>
        <v>291.99999999999932</v>
      </c>
      <c r="O136" s="14">
        <f>N136*VLOOKUP('Données projet'!$B$9,Paramètres!$A$1:$I$88,3,0)*VLOOKUP('Données projet'!$B$9,Paramètres!$A$1:$I$88,5,0)</f>
        <v>296.08799999999934</v>
      </c>
      <c r="P136" s="14">
        <f t="shared" si="141"/>
        <v>70.355732571828923</v>
      </c>
      <c r="Q136" s="22">
        <f t="shared" si="108"/>
        <v>638.22283422926751</v>
      </c>
      <c r="R136" s="62">
        <f t="shared" si="109"/>
        <v>929.15995231959687</v>
      </c>
      <c r="S136" s="62">
        <f ca="1">AVERAGE(OFFSET($R$3,0,0,'Données projet'!$E$9+1,1))-AVERAGE(OFFSET($H$3,0,0,'Données projet'!$E$9+1,1))</f>
        <v>488.16146816015231</v>
      </c>
      <c r="T136" s="62">
        <f t="shared" si="142"/>
        <v>259.37115195552127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0</v>
      </c>
      <c r="AA136" s="23">
        <f>EXP(-LN(2)/25)*AA135+(1-EXP(-LN(2)/25))/(LN(2)/25)*Calculateur!V136*Calculateur!X136*VLOOKUP('Données projet'!$B$9,Paramètres!$A$1:$I$88,3,0)*0.475*44/12</f>
        <v>0</v>
      </c>
      <c r="AB136" s="23">
        <f>EXP(-LN(2)/2)*AB135+(1-EXP(-LN(2)/2))/(LN(2)/2)*V136*Y136*VLOOKUP('Données projet'!$B$9,Paramètres!$A$1:$I$88,3,0)*0.475*44/12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69.346486751908003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3</v>
      </c>
      <c r="AI136" s="14">
        <f>IF('Données projet'!$A$62&gt;35,AI135+AH136-AQ135,IF(A136&lt;'Données projet'!$A$62,$AF$205^A136,IF(A136='Données projet'!$A$62,'Données projet'!$B$62,AI135+AH136-AQ135)))</f>
        <v>291.99999999999932</v>
      </c>
      <c r="AJ136" s="14">
        <f>AI136*VLOOKUP('Données projet'!$B$10,Paramètres!$A$1:$I$88,3,0)*VLOOKUP('Données projet'!$B$10,Paramètres!$A$1:$I$88,5,0)</f>
        <v>264.20159999999936</v>
      </c>
      <c r="AK136" s="14">
        <f t="shared" si="143"/>
        <v>63.617151975096597</v>
      </c>
      <c r="AL136" s="22">
        <f t="shared" si="112"/>
        <v>570.95099302329209</v>
      </c>
      <c r="AM136" s="62">
        <f t="shared" si="113"/>
        <v>861.88811111362133</v>
      </c>
      <c r="AN136" s="62">
        <f ca="1">AVERAGE(OFFSET($AM$3,0,0,'Données projet'!$E$10+1,1))-AVERAGE(OFFSET($H$3,0,0,'Données projet'!$E$10+1,1))</f>
        <v>441.34749554136755</v>
      </c>
      <c r="AO136" s="62">
        <f t="shared" si="144"/>
        <v>236.49038586666222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0</v>
      </c>
      <c r="AV136" s="23">
        <f>EXP(-LN(2)/25)*AV135+(1-EXP(-LN(2)/25))/(LN(2)/25)*Calculateur!AQ136*Calculateur!AS136*VLOOKUP('Données projet'!$B$10,Paramètres!$A$1:$I$88,3,0)*0.475*44/12</f>
        <v>0</v>
      </c>
      <c r="AW136" s="23">
        <f>EXP(-LN(2)/2)*AW135+(1-EXP(-LN(2)/2))/(LN(2)/2)*AQ136*AT136*VLOOKUP('Données projet'!$B$10,Paramètres!$A$1:$I$88,3,0)*0.475*44/12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69.346486751908003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3</v>
      </c>
      <c r="BD136" s="13">
        <f>IF('Données projet'!$A$88&gt;35,BD135+BC136-BL135,IF(A136&lt;'Données projet'!$A$88,$BA$205^A136,IF(A136='Données projet'!$A$88,'Données projet'!$B$88,BD135+BC136-BL135)))</f>
        <v>291.99999999999932</v>
      </c>
      <c r="BE136" s="14">
        <f>BD136*VLOOKUP('Données projet'!$B$11,Paramètres!$A$1:$I$88,3,0)*VLOOKUP('Données projet'!$B$11,Paramètres!$A$1:$I$88,5,0)</f>
        <v>314.30879999999922</v>
      </c>
      <c r="BF136" s="14">
        <f t="shared" si="145"/>
        <v>74.16795491842224</v>
      </c>
      <c r="BG136" s="22">
        <f t="shared" si="115"/>
        <v>676.59701481625063</v>
      </c>
      <c r="BH136" s="62">
        <f t="shared" si="116"/>
        <v>967.53413290658</v>
      </c>
      <c r="BI136" s="62">
        <f ca="1">AVERAGE(OFFSET($BH$3,0,0,'Données projet'!$E$11+1,1))-AVERAGE(OFFSET($H$3,0,0,'Données projet'!$E$11+1,1))</f>
        <v>514.86487884889584</v>
      </c>
      <c r="BJ136" s="62">
        <f t="shared" si="146"/>
        <v>272.4206208356191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projet'!$B$11,Paramètres!$A$1:$I$88,3,0)*0.475*44/12</f>
        <v>0</v>
      </c>
      <c r="BQ136" s="23">
        <f>EXP(-LN(2)/25)*BQ135+(1-EXP(-LN(2)/25))/(LN(2)/25)*Calculateur!BL136*Calculateur!BN136*VLOOKUP('Données projet'!$B$11,Paramètres!$A$1:$I$88,3,0)*0.475*44/12</f>
        <v>0</v>
      </c>
      <c r="BR136" s="23">
        <f>EXP(-LN(2)/2)*BR135+(1-EXP(-LN(2)/2))/(LN(2)/2)*BL136*BO136*VLOOKUP('Données projet'!$B$11,Paramètres!$A$1:$I$88,3,0)*0.475*44/12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69.346486751908003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-1.7053025658242404E-13</v>
      </c>
      <c r="BZ136" s="14">
        <f>BY136*VLOOKUP('Données projet'!$B$12,Paramètres!$A$1:$I$88,3,0)*VLOOKUP('Données projet'!$B$12,Paramètres!$A$1:$I$88,5,0)</f>
        <v>-1.1173142411280423E-13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270.10151451661864</v>
      </c>
      <c r="CE136" s="62">
        <f t="shared" si="148"/>
        <v>294.47934482366804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projet'!$B$12,Paramètres!$A$1:$I$88,3,0)*0.475*44/12</f>
        <v>0</v>
      </c>
      <c r="CL136" s="23">
        <f>EXP(-LN(2)/25)*CL135+(1-EXP(-LN(2)/25))/(LN(2)/25)*Calculateur!CG136*Calculateur!CI136*VLOOKUP('Données projet'!$B$12,Paramètres!$A$1:$I$88,3,0)*0.475*44/12</f>
        <v>0</v>
      </c>
      <c r="CM136" s="23">
        <f>EXP(-LN(2)/2)*CM135+(1-EXP(-LN(2)/2))/(LN(2)/2)*CG136*CJ136*VLOOKUP('Données projet'!$B$12,Paramètres!$A$1:$I$88,3,0)*0.475*44/12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69.346486751908003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-1.7053025658242404E-13</v>
      </c>
      <c r="CU136" s="18">
        <f>CT136*VLOOKUP('Données projet'!$B$13,Paramètres!$A$1:$I$88,3,0)*VLOOKUP('Données projet'!$B$13,Paramètres!$A$1:$I$88,5,0)</f>
        <v>-1.1173142411280423E-13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270.10151451661864</v>
      </c>
      <c r="CZ136" s="62">
        <f t="shared" si="150"/>
        <v>294.47934482366804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projet'!$B$13,Paramètres!$A$1:$I$88,3,0)*0.475*44/12</f>
        <v>0</v>
      </c>
      <c r="DG136" s="23">
        <f>EXP(-LN(2)/25)*DG135+(1-EXP(-LN(2)/25))/(LN(2)/25)*Calculateur!DB136*Calculateur!DD136*VLOOKUP('Données projet'!$B$13,Paramètres!$A$1:$I$88,3,0)*0.475*44/12</f>
        <v>0</v>
      </c>
      <c r="DH136" s="23">
        <f>EXP(-LN(2)/2)*DH135+(1-EXP(-LN(2)/2))/(LN(2)/2)*DB136*DE136*VLOOKUP('Données projet'!$B$13,Paramètres!$A$1:$I$88,3,0)*0.475*44/12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69.346486751908003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projet'!$B$14,Paramètres!$A$1:$I$88,3,0)*0.475*44/12</f>
        <v>#N/A</v>
      </c>
      <c r="EB136" s="23" t="e">
        <f>EXP(-LN(2)/25)*EB135+(1-EXP(-LN(2)/25))/(LN(2)/25)*Calculateur!DW136*Calculateur!DY136*VLOOKUP('Données projet'!$B$14,Paramètres!$A$1:$I$88,3,0)*0.475*44/12</f>
        <v>#N/A</v>
      </c>
      <c r="EC136" s="23" t="e">
        <f>EXP(-LN(2)/2)*EC135+(1-EXP(-LN(2)/2))/(LN(2)/2)*DW136*DZ136*VLOOKUP('Données projet'!$B$14,Paramètres!$A$1:$I$88,3,0)*0.475*44/12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69.346486751908003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69.346486751908003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69.346486751908003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69.346486751908003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1.34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4.9133333333333331</v>
      </c>
      <c r="H137" s="70">
        <f t="shared" si="110"/>
        <v>237.01333333333332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69.357823745725653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</v>
      </c>
      <c r="N137" s="14">
        <f>IF('Données projet'!$A$36&gt;35,N136+M137-V136,IF(A137&lt;'Données projet'!$A$36,$K$205^A137,IF(A137='Données projet'!$A$36,'Données projet'!$B$36,N136+M137-V136)))</f>
        <v>294.99999999999932</v>
      </c>
      <c r="O137" s="14">
        <f>N137*VLOOKUP('Données projet'!$B$9,Paramètres!$A$1:$I$88,3,0)*VLOOKUP('Données projet'!$B$9,Paramètres!$A$1:$I$88,5,0)</f>
        <v>299.12999999999937</v>
      </c>
      <c r="P137" s="14">
        <f t="shared" si="141"/>
        <v>70.994047242337089</v>
      </c>
      <c r="Q137" s="22">
        <f t="shared" si="108"/>
        <v>644.63271561373597</v>
      </c>
      <c r="R137" s="62">
        <f t="shared" si="109"/>
        <v>935.61140268139661</v>
      </c>
      <c r="S137" s="62">
        <f ca="1">AVERAGE(OFFSET($R$3,0,0,'Données projet'!$E$9+1,1))-AVERAGE(OFFSET($H$3,0,0,'Données projet'!$E$9+1,1))</f>
        <v>488.16146816015231</v>
      </c>
      <c r="T137" s="62">
        <f t="shared" si="142"/>
        <v>259.37115195552127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0</v>
      </c>
      <c r="AA137" s="23">
        <f>EXP(-LN(2)/25)*AA136+(1-EXP(-LN(2)/25))/(LN(2)/25)*Calculateur!V137*Calculateur!X137*VLOOKUP('Données projet'!$B$9,Paramètres!$A$1:$I$88,3,0)*0.475*44/12</f>
        <v>0</v>
      </c>
      <c r="AB137" s="23">
        <f>EXP(-LN(2)/2)*AB136+(1-EXP(-LN(2)/2))/(LN(2)/2)*V137*Y137*VLOOKUP('Données projet'!$B$9,Paramètres!$A$1:$I$88,3,0)*0.475*44/12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69.357823745725653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3</v>
      </c>
      <c r="AI137" s="14">
        <f>IF('Données projet'!$A$62&gt;35,AI136+AH137-AQ136,IF(A137&lt;'Données projet'!$A$62,$AF$205^A137,IF(A137='Données projet'!$A$62,'Données projet'!$B$62,AI136+AH137-AQ136)))</f>
        <v>294.99999999999932</v>
      </c>
      <c r="AJ137" s="14">
        <f>AI137*VLOOKUP('Données projet'!$B$10,Paramètres!$A$1:$I$88,3,0)*VLOOKUP('Données projet'!$B$10,Paramètres!$A$1:$I$88,5,0)</f>
        <v>266.91599999999937</v>
      </c>
      <c r="AK137" s="14">
        <f t="shared" si="143"/>
        <v>64.194329696332005</v>
      </c>
      <c r="AL137" s="22">
        <f t="shared" si="112"/>
        <v>576.68382422111051</v>
      </c>
      <c r="AM137" s="62">
        <f t="shared" si="113"/>
        <v>867.66251128877116</v>
      </c>
      <c r="AN137" s="62">
        <f ca="1">AVERAGE(OFFSET($AM$3,0,0,'Données projet'!$E$10+1,1))-AVERAGE(OFFSET($H$3,0,0,'Données projet'!$E$10+1,1))</f>
        <v>441.34749554136755</v>
      </c>
      <c r="AO137" s="62">
        <f t="shared" si="144"/>
        <v>236.49038586666222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0</v>
      </c>
      <c r="AV137" s="23">
        <f>EXP(-LN(2)/25)*AV136+(1-EXP(-LN(2)/25))/(LN(2)/25)*Calculateur!AQ137*Calculateur!AS137*VLOOKUP('Données projet'!$B$10,Paramètres!$A$1:$I$88,3,0)*0.475*44/12</f>
        <v>0</v>
      </c>
      <c r="AW137" s="23">
        <f>EXP(-LN(2)/2)*AW136+(1-EXP(-LN(2)/2))/(LN(2)/2)*AQ137*AT137*VLOOKUP('Données projet'!$B$10,Paramètres!$A$1:$I$88,3,0)*0.475*44/12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69.357823745725653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3</v>
      </c>
      <c r="BD137" s="13">
        <f>IF('Données projet'!$A$88&gt;35,BD136+BC137-BL136,IF(A137&lt;'Données projet'!$A$88,$BA$205^A137,IF(A137='Données projet'!$A$88,'Données projet'!$B$88,BD136+BC137-BL136)))</f>
        <v>294.99999999999932</v>
      </c>
      <c r="BE137" s="14">
        <f>BD137*VLOOKUP('Données projet'!$B$11,Paramètres!$A$1:$I$88,3,0)*VLOOKUP('Données projet'!$B$11,Paramètres!$A$1:$I$88,5,0)</f>
        <v>317.53799999999922</v>
      </c>
      <c r="BF137" s="14">
        <f t="shared" si="145"/>
        <v>74.840856641926919</v>
      </c>
      <c r="BG137" s="22">
        <f t="shared" si="115"/>
        <v>683.39317531802135</v>
      </c>
      <c r="BH137" s="62">
        <f t="shared" si="116"/>
        <v>974.37186238568211</v>
      </c>
      <c r="BI137" s="62">
        <f ca="1">AVERAGE(OFFSET($BH$3,0,0,'Données projet'!$E$11+1,1))-AVERAGE(OFFSET($H$3,0,0,'Données projet'!$E$11+1,1))</f>
        <v>514.86487884889584</v>
      </c>
      <c r="BJ137" s="62">
        <f t="shared" si="146"/>
        <v>272.4206208356191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projet'!$B$11,Paramètres!$A$1:$I$88,3,0)*0.475*44/12</f>
        <v>0</v>
      </c>
      <c r="BQ137" s="23">
        <f>EXP(-LN(2)/25)*BQ136+(1-EXP(-LN(2)/25))/(LN(2)/25)*Calculateur!BL137*Calculateur!BN137*VLOOKUP('Données projet'!$B$11,Paramètres!$A$1:$I$88,3,0)*0.475*44/12</f>
        <v>0</v>
      </c>
      <c r="BR137" s="23">
        <f>EXP(-LN(2)/2)*BR136+(1-EXP(-LN(2)/2))/(LN(2)/2)*BL137*BO137*VLOOKUP('Données projet'!$B$11,Paramètres!$A$1:$I$88,3,0)*0.475*44/12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69.357823745725653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-1.7053025658242404E-13</v>
      </c>
      <c r="BZ137" s="14">
        <f>BY137*VLOOKUP('Données projet'!$B$12,Paramètres!$A$1:$I$88,3,0)*VLOOKUP('Données projet'!$B$12,Paramètres!$A$1:$I$88,5,0)</f>
        <v>-1.1173142411280423E-13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270.10151451661864</v>
      </c>
      <c r="CE137" s="62">
        <f t="shared" si="148"/>
        <v>294.47934482366804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projet'!$B$12,Paramètres!$A$1:$I$88,3,0)*0.475*44/12</f>
        <v>0</v>
      </c>
      <c r="CL137" s="23">
        <f>EXP(-LN(2)/25)*CL136+(1-EXP(-LN(2)/25))/(LN(2)/25)*Calculateur!CG137*Calculateur!CI137*VLOOKUP('Données projet'!$B$12,Paramètres!$A$1:$I$88,3,0)*0.475*44/12</f>
        <v>0</v>
      </c>
      <c r="CM137" s="23">
        <f>EXP(-LN(2)/2)*CM136+(1-EXP(-LN(2)/2))/(LN(2)/2)*CG137*CJ137*VLOOKUP('Données projet'!$B$12,Paramètres!$A$1:$I$88,3,0)*0.475*44/12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69.357823745725653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-1.7053025658242404E-13</v>
      </c>
      <c r="CU137" s="18">
        <f>CT137*VLOOKUP('Données projet'!$B$13,Paramètres!$A$1:$I$88,3,0)*VLOOKUP('Données projet'!$B$13,Paramètres!$A$1:$I$88,5,0)</f>
        <v>-1.1173142411280423E-13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270.10151451661864</v>
      </c>
      <c r="CZ137" s="62">
        <f t="shared" si="150"/>
        <v>294.47934482366804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projet'!$B$13,Paramètres!$A$1:$I$88,3,0)*0.475*44/12</f>
        <v>0</v>
      </c>
      <c r="DG137" s="23">
        <f>EXP(-LN(2)/25)*DG136+(1-EXP(-LN(2)/25))/(LN(2)/25)*Calculateur!DB137*Calculateur!DD137*VLOOKUP('Données projet'!$B$13,Paramètres!$A$1:$I$88,3,0)*0.475*44/12</f>
        <v>0</v>
      </c>
      <c r="DH137" s="23">
        <f>EXP(-LN(2)/2)*DH136+(1-EXP(-LN(2)/2))/(LN(2)/2)*DB137*DE137*VLOOKUP('Données projet'!$B$13,Paramètres!$A$1:$I$88,3,0)*0.475*44/12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69.357823745725653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projet'!$B$14,Paramètres!$A$1:$I$88,3,0)*0.475*44/12</f>
        <v>#N/A</v>
      </c>
      <c r="EB137" s="23" t="e">
        <f>EXP(-LN(2)/25)*EB136+(1-EXP(-LN(2)/25))/(LN(2)/25)*Calculateur!DW137*Calculateur!DY137*VLOOKUP('Données projet'!$B$14,Paramètres!$A$1:$I$88,3,0)*0.475*44/12</f>
        <v>#N/A</v>
      </c>
      <c r="EC137" s="23" t="e">
        <f>EXP(-LN(2)/2)*EC136+(1-EXP(-LN(2)/2))/(LN(2)/2)*DW137*DZ137*VLOOKUP('Données projet'!$B$14,Paramètres!$A$1:$I$88,3,0)*0.475*44/12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69.357823745725653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69.357823745725653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69.357823745725653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69.357823745725653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1.34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4.9133333333333331</v>
      </c>
      <c r="H138" s="70">
        <f t="shared" si="110"/>
        <v>237.01333333333332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69.368964068046296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298</v>
      </c>
      <c r="L138" s="13">
        <f>VLOOKUP(A138,'Données projet'!$A$35:$I$55,9,0)</f>
        <v>3</v>
      </c>
      <c r="M138" s="13">
        <f t="array" ref="M138">INDEX(L:L,MIN(IF(ISNUMBER(L138:L334),ROW(L138:L334),"")))</f>
        <v>3</v>
      </c>
      <c r="N138" s="14">
        <f>IF('Données projet'!$A$36&gt;35,N137+M138-V137,IF(A138&lt;'Données projet'!$A$36,$K$205^A138,IF(A138='Données projet'!$A$36,'Données projet'!$B$36,N137+M138-V137)))</f>
        <v>297.99999999999932</v>
      </c>
      <c r="O138" s="14">
        <f>N138*VLOOKUP('Données projet'!$B$9,Paramètres!$A$1:$I$88,3,0)*VLOOKUP('Données projet'!$B$9,Paramètres!$A$1:$I$88,5,0)</f>
        <v>302.17199999999934</v>
      </c>
      <c r="P138" s="14">
        <f t="shared" si="141"/>
        <v>71.631606754643101</v>
      </c>
      <c r="Q138" s="22">
        <f t="shared" si="108"/>
        <v>651.04128176433551</v>
      </c>
      <c r="R138" s="62">
        <f t="shared" si="109"/>
        <v>942.06081668050524</v>
      </c>
      <c r="S138" s="62">
        <f ca="1">AVERAGE(OFFSET($R$3,0,0,'Données projet'!$E$9+1,1))-AVERAGE(OFFSET($H$3,0,0,'Données projet'!$E$9+1,1))</f>
        <v>488.16146816015231</v>
      </c>
      <c r="T138" s="62">
        <f t="shared" si="142"/>
        <v>259.37115195552127</v>
      </c>
      <c r="U138" s="16">
        <f>IF(ISNA(VLOOKUP(A138,'Données projet'!$A$35:$I$55,3,0)),0,VLOOKUP(A138,'Données projet'!$A$35:$I$55,3,0))</f>
        <v>12</v>
      </c>
      <c r="V138" s="16">
        <f>IF(ISNA(VLOOKUP(A138,'Données projet'!$A$35:$I$55,4,0)),0,VLOOKUP(A138,'Données projet'!$A$35:$I$55,4,0))</f>
        <v>29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0</v>
      </c>
      <c r="AA138" s="23">
        <f>EXP(-LN(2)/25)*AA137+(1-EXP(-LN(2)/25))/(LN(2)/25)*Calculateur!V138*Calculateur!X138*VLOOKUP('Données projet'!$B$9,Paramètres!$A$1:$I$88,3,0)*0.475*44/12</f>
        <v>0</v>
      </c>
      <c r="AB138" s="23">
        <f>EXP(-LN(2)/2)*AB137+(1-EXP(-LN(2)/2))/(LN(2)/2)*V138*Y138*VLOOKUP('Données projet'!$B$9,Paramètres!$A$1:$I$88,3,0)*0.475*44/12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69.368964068046296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>
        <f>VLOOKUP(A138,'Données projet'!$A$61:$I$81,2,0)</f>
        <v>298</v>
      </c>
      <c r="AG138" s="13">
        <f>VLOOKUP(A138,'Données projet'!$A$61:$I$81,9,0)</f>
        <v>3</v>
      </c>
      <c r="AH138" s="13">
        <f t="array" ref="AH138">INDEX(AG:AG,MIN(IF(ISNUMBER(AG138:AG334),ROW(AG138:AG334),"")))</f>
        <v>3</v>
      </c>
      <c r="AI138" s="14">
        <f>IF('Données projet'!$A$62&gt;35,AI137+AH138-AQ137,IF(A138&lt;'Données projet'!$A$62,$AF$205^A138,IF(A138='Données projet'!$A$62,'Données projet'!$B$62,AI137+AH138-AQ137)))</f>
        <v>297.99999999999932</v>
      </c>
      <c r="AJ138" s="14">
        <f>AI138*VLOOKUP('Données projet'!$B$10,Paramètres!$A$1:$I$88,3,0)*VLOOKUP('Données projet'!$B$10,Paramètres!$A$1:$I$88,5,0)</f>
        <v>269.63039999999938</v>
      </c>
      <c r="AK138" s="14">
        <f t="shared" si="143"/>
        <v>64.770824587435968</v>
      </c>
      <c r="AL138" s="22">
        <f t="shared" si="112"/>
        <v>582.41546615644995</v>
      </c>
      <c r="AM138" s="62">
        <f t="shared" si="113"/>
        <v>873.43500107261968</v>
      </c>
      <c r="AN138" s="62">
        <f ca="1">AVERAGE(OFFSET($AM$3,0,0,'Données projet'!$E$10+1,1))-AVERAGE(OFFSET($H$3,0,0,'Données projet'!$E$10+1,1))</f>
        <v>441.34749554136755</v>
      </c>
      <c r="AO138" s="62">
        <f t="shared" si="144"/>
        <v>236.49038586666222</v>
      </c>
      <c r="AP138" s="16">
        <f>IF(ISNA(VLOOKUP(A138,'Données projet'!$A$61:$I$81,3,0)),0,VLOOKUP(A138,'Données projet'!$A$61:$I$81,3,0))</f>
        <v>12</v>
      </c>
      <c r="AQ138" s="16">
        <f>IF(ISNA(VLOOKUP(A138,'Données projet'!$A$61:$I$81,4,0)),0,VLOOKUP(A138,'Données projet'!$A$61:$I$81,4,0))</f>
        <v>29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0</v>
      </c>
      <c r="AV138" s="23">
        <f>EXP(-LN(2)/25)*AV137+(1-EXP(-LN(2)/25))/(LN(2)/25)*Calculateur!AQ138*Calculateur!AS138*VLOOKUP('Données projet'!$B$10,Paramètres!$A$1:$I$88,3,0)*0.475*44/12</f>
        <v>0</v>
      </c>
      <c r="AW138" s="23">
        <f>EXP(-LN(2)/2)*AW137+(1-EXP(-LN(2)/2))/(LN(2)/2)*AQ138*AT138*VLOOKUP('Données projet'!$B$10,Paramètres!$A$1:$I$88,3,0)*0.475*44/12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69.368964068046296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>
        <f>VLOOKUP(A138,'Données projet'!$A$87:$I$107,2,0)</f>
        <v>298</v>
      </c>
      <c r="BB138" s="13">
        <f>VLOOKUP(A138,'Données projet'!$A$87:$I$107,9,0)</f>
        <v>3</v>
      </c>
      <c r="BC138" s="13">
        <f t="array" ref="BC138">INDEX(BB:BB,MIN(IF(ISNUMBER(BB138:BB334),ROW(BB138:BB334),"")))</f>
        <v>3</v>
      </c>
      <c r="BD138" s="13">
        <f>IF('Données projet'!$A$88&gt;35,BD137+BC138-BL137,IF(A138&lt;'Données projet'!$A$88,$BA$205^A138,IF(A138='Données projet'!$A$88,'Données projet'!$B$88,BD137+BC138-BL137)))</f>
        <v>297.99999999999932</v>
      </c>
      <c r="BE138" s="14">
        <f>BD138*VLOOKUP('Données projet'!$B$11,Paramètres!$A$1:$I$88,3,0)*VLOOKUP('Données projet'!$B$11,Paramètres!$A$1:$I$88,5,0)</f>
        <v>320.76719999999926</v>
      </c>
      <c r="BF138" s="14">
        <f t="shared" si="145"/>
        <v>75.512962289014695</v>
      </c>
      <c r="BG138" s="22">
        <f t="shared" si="115"/>
        <v>690.18794932003266</v>
      </c>
      <c r="BH138" s="62">
        <f t="shared" si="116"/>
        <v>981.20748423620239</v>
      </c>
      <c r="BI138" s="62">
        <f ca="1">AVERAGE(OFFSET($BH$3,0,0,'Données projet'!$E$11+1,1))-AVERAGE(OFFSET($H$3,0,0,'Données projet'!$E$11+1,1))</f>
        <v>514.86487884889584</v>
      </c>
      <c r="BJ138" s="62">
        <f t="shared" si="146"/>
        <v>272.4206208356191</v>
      </c>
      <c r="BK138" s="16">
        <f>IF(ISNA(VLOOKUP(A138,'Données projet'!$A$87:$I$107,3,0)),0,VLOOKUP(A138,'Données projet'!$A$87:$I$107,3,0))</f>
        <v>12</v>
      </c>
      <c r="BL138" s="16">
        <f>IF(ISNA(VLOOKUP(A138,'Données projet'!$A$87:$I$107,4,0)),0,VLOOKUP(A138,'Données projet'!$A$87:$I$107,4,0))</f>
        <v>29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projet'!$B$11,Paramètres!$A$1:$I$88,3,0)*0.475*44/12</f>
        <v>0</v>
      </c>
      <c r="BQ138" s="23">
        <f>EXP(-LN(2)/25)*BQ137+(1-EXP(-LN(2)/25))/(LN(2)/25)*Calculateur!BL138*Calculateur!BN138*VLOOKUP('Données projet'!$B$11,Paramètres!$A$1:$I$88,3,0)*0.475*44/12</f>
        <v>0</v>
      </c>
      <c r="BR138" s="23">
        <f>EXP(-LN(2)/2)*BR137+(1-EXP(-LN(2)/2))/(LN(2)/2)*BL138*BO138*VLOOKUP('Données projet'!$B$11,Paramètres!$A$1:$I$88,3,0)*0.475*44/12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69.368964068046296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-1.7053025658242404E-13</v>
      </c>
      <c r="BZ138" s="14">
        <f>BY138*VLOOKUP('Données projet'!$B$12,Paramètres!$A$1:$I$88,3,0)*VLOOKUP('Données projet'!$B$12,Paramètres!$A$1:$I$88,5,0)</f>
        <v>-1.1173142411280423E-13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270.10151451661864</v>
      </c>
      <c r="CE138" s="62">
        <f t="shared" si="148"/>
        <v>294.47934482366804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projet'!$B$12,Paramètres!$A$1:$I$88,3,0)*0.475*44/12</f>
        <v>0</v>
      </c>
      <c r="CL138" s="23">
        <f>EXP(-LN(2)/25)*CL137+(1-EXP(-LN(2)/25))/(LN(2)/25)*Calculateur!CG138*Calculateur!CI138*VLOOKUP('Données projet'!$B$12,Paramètres!$A$1:$I$88,3,0)*0.475*44/12</f>
        <v>0</v>
      </c>
      <c r="CM138" s="23">
        <f>EXP(-LN(2)/2)*CM137+(1-EXP(-LN(2)/2))/(LN(2)/2)*CG138*CJ138*VLOOKUP('Données projet'!$B$12,Paramètres!$A$1:$I$88,3,0)*0.475*44/12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69.368964068046296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-1.7053025658242404E-13</v>
      </c>
      <c r="CU138" s="18">
        <f>CT138*VLOOKUP('Données projet'!$B$13,Paramètres!$A$1:$I$88,3,0)*VLOOKUP('Données projet'!$B$13,Paramètres!$A$1:$I$88,5,0)</f>
        <v>-1.1173142411280423E-13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270.10151451661864</v>
      </c>
      <c r="CZ138" s="62">
        <f t="shared" si="150"/>
        <v>294.47934482366804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projet'!$B$13,Paramètres!$A$1:$I$88,3,0)*0.475*44/12</f>
        <v>0</v>
      </c>
      <c r="DG138" s="23">
        <f>EXP(-LN(2)/25)*DG137+(1-EXP(-LN(2)/25))/(LN(2)/25)*Calculateur!DB138*Calculateur!DD138*VLOOKUP('Données projet'!$B$13,Paramètres!$A$1:$I$88,3,0)*0.475*44/12</f>
        <v>0</v>
      </c>
      <c r="DH138" s="23">
        <f>EXP(-LN(2)/2)*DH137+(1-EXP(-LN(2)/2))/(LN(2)/2)*DB138*DE138*VLOOKUP('Données projet'!$B$13,Paramètres!$A$1:$I$88,3,0)*0.475*44/12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69.368964068046296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projet'!$B$14,Paramètres!$A$1:$I$88,3,0)*0.475*44/12</f>
        <v>#N/A</v>
      </c>
      <c r="EB138" s="23" t="e">
        <f>EXP(-LN(2)/25)*EB137+(1-EXP(-LN(2)/25))/(LN(2)/25)*Calculateur!DW138*Calculateur!DY138*VLOOKUP('Données projet'!$B$14,Paramètres!$A$1:$I$88,3,0)*0.475*44/12</f>
        <v>#N/A</v>
      </c>
      <c r="EC138" s="23" t="e">
        <f>EXP(-LN(2)/2)*EC137+(1-EXP(-LN(2)/2))/(LN(2)/2)*DW138*DZ138*VLOOKUP('Données projet'!$B$14,Paramètres!$A$1:$I$88,3,0)*0.475*44/12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69.368964068046296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69.368964068046296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69.368964068046296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69.368964068046296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1.34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4.9133333333333331</v>
      </c>
      <c r="H139" s="70">
        <f t="shared" si="110"/>
        <v>237.01333333333332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69.379911130680711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2.6</v>
      </c>
      <c r="N139" s="14">
        <f>IF('Données projet'!$A$36&gt;35,N138+M139-V138,IF(A139&lt;'Données projet'!$A$36,$K$205^A139,IF(A139='Données projet'!$A$36,'Données projet'!$B$36,N138+M139-V138)))</f>
        <v>271.59999999999934</v>
      </c>
      <c r="O139" s="14">
        <f>N139*VLOOKUP('Données projet'!$B$9,Paramètres!$A$1:$I$88,3,0)*VLOOKUP('Données projet'!$B$9,Paramètres!$A$1:$I$88,5,0)</f>
        <v>275.40239999999932</v>
      </c>
      <c r="P139" s="14">
        <f t="shared" si="141"/>
        <v>65.994469603831334</v>
      </c>
      <c r="Q139" s="22">
        <f t="shared" si="108"/>
        <v>594.59954789333835</v>
      </c>
      <c r="R139" s="62">
        <f t="shared" si="109"/>
        <v>885.65922203916762</v>
      </c>
      <c r="S139" s="62">
        <f ca="1">AVERAGE(OFFSET($R$3,0,0,'Données projet'!$E$9+1,1))-AVERAGE(OFFSET($H$3,0,0,'Données projet'!$E$9+1,1))</f>
        <v>488.16146816015231</v>
      </c>
      <c r="T139" s="62">
        <f t="shared" si="142"/>
        <v>259.37115195552127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0</v>
      </c>
      <c r="AA139" s="23">
        <f>EXP(-LN(2)/25)*AA138+(1-EXP(-LN(2)/25))/(LN(2)/25)*Calculateur!V139*Calculateur!X139*VLOOKUP('Données projet'!$B$9,Paramètres!$A$1:$I$88,3,0)*0.475*44/12</f>
        <v>0</v>
      </c>
      <c r="AB139" s="23">
        <f>EXP(-LN(2)/2)*AB138+(1-EXP(-LN(2)/2))/(LN(2)/2)*V139*Y139*VLOOKUP('Données projet'!$B$9,Paramètres!$A$1:$I$88,3,0)*0.475*44/12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69.379911130680711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2.6</v>
      </c>
      <c r="AI139" s="14">
        <f>IF('Données projet'!$A$62&gt;35,AI138+AH139-AQ138,IF(A139&lt;'Données projet'!$A$62,$AF$205^A139,IF(A139='Données projet'!$A$62,'Données projet'!$B$62,AI138+AH139-AQ138)))</f>
        <v>271.59999999999934</v>
      </c>
      <c r="AJ139" s="14">
        <f>AI139*VLOOKUP('Données projet'!$B$10,Paramètres!$A$1:$I$88,3,0)*VLOOKUP('Données projet'!$B$10,Paramètres!$A$1:$I$88,5,0)</f>
        <v>245.74367999999939</v>
      </c>
      <c r="AK139" s="14">
        <f t="shared" si="143"/>
        <v>59.673605104126288</v>
      </c>
      <c r="AL139" s="22">
        <f t="shared" si="112"/>
        <v>531.93510488968548</v>
      </c>
      <c r="AM139" s="62">
        <f t="shared" si="113"/>
        <v>822.99477903551474</v>
      </c>
      <c r="AN139" s="62">
        <f ca="1">AVERAGE(OFFSET($AM$3,0,0,'Données projet'!$E$10+1,1))-AVERAGE(OFFSET($H$3,0,0,'Données projet'!$E$10+1,1))</f>
        <v>441.34749554136755</v>
      </c>
      <c r="AO139" s="62">
        <f t="shared" si="144"/>
        <v>236.49038586666222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0</v>
      </c>
      <c r="AV139" s="23">
        <f>EXP(-LN(2)/25)*AV138+(1-EXP(-LN(2)/25))/(LN(2)/25)*Calculateur!AQ139*Calculateur!AS139*VLOOKUP('Données projet'!$B$10,Paramètres!$A$1:$I$88,3,0)*0.475*44/12</f>
        <v>0</v>
      </c>
      <c r="AW139" s="23">
        <f>EXP(-LN(2)/2)*AW138+(1-EXP(-LN(2)/2))/(LN(2)/2)*AQ139*AT139*VLOOKUP('Données projet'!$B$10,Paramètres!$A$1:$I$88,3,0)*0.475*44/12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69.379911130680711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2.6</v>
      </c>
      <c r="BD139" s="13">
        <f>IF('Données projet'!$A$88&gt;35,BD138+BC139-BL138,IF(A139&lt;'Données projet'!$A$88,$BA$205^A139,IF(A139='Données projet'!$A$88,'Données projet'!$B$88,BD138+BC139-BL138)))</f>
        <v>271.59999999999934</v>
      </c>
      <c r="BE139" s="14">
        <f>BD139*VLOOKUP('Données projet'!$B$11,Paramètres!$A$1:$I$88,3,0)*VLOOKUP('Données projet'!$B$11,Paramètres!$A$1:$I$88,5,0)</f>
        <v>292.3502399999993</v>
      </c>
      <c r="BF139" s="14">
        <f t="shared" si="145"/>
        <v>69.570377103884013</v>
      </c>
      <c r="BG139" s="22">
        <f t="shared" si="115"/>
        <v>630.34507478926355</v>
      </c>
      <c r="BH139" s="62">
        <f t="shared" si="116"/>
        <v>921.40474893509281</v>
      </c>
      <c r="BI139" s="62">
        <f ca="1">AVERAGE(OFFSET($BH$3,0,0,'Données projet'!$E$11+1,1))-AVERAGE(OFFSET($H$3,0,0,'Données projet'!$E$11+1,1))</f>
        <v>514.86487884889584</v>
      </c>
      <c r="BJ139" s="62">
        <f t="shared" si="146"/>
        <v>272.4206208356191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projet'!$B$11,Paramètres!$A$1:$I$88,3,0)*0.475*44/12</f>
        <v>0</v>
      </c>
      <c r="BQ139" s="23">
        <f>EXP(-LN(2)/25)*BQ138+(1-EXP(-LN(2)/25))/(LN(2)/25)*Calculateur!BL139*Calculateur!BN139*VLOOKUP('Données projet'!$B$11,Paramètres!$A$1:$I$88,3,0)*0.475*44/12</f>
        <v>0</v>
      </c>
      <c r="BR139" s="23">
        <f>EXP(-LN(2)/2)*BR138+(1-EXP(-LN(2)/2))/(LN(2)/2)*BL139*BO139*VLOOKUP('Données projet'!$B$11,Paramètres!$A$1:$I$88,3,0)*0.475*44/12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69.379911130680711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-1.7053025658242404E-13</v>
      </c>
      <c r="BZ139" s="14">
        <f>BY139*VLOOKUP('Données projet'!$B$12,Paramètres!$A$1:$I$88,3,0)*VLOOKUP('Données projet'!$B$12,Paramètres!$A$1:$I$88,5,0)</f>
        <v>-1.1173142411280423E-13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270.10151451661864</v>
      </c>
      <c r="CE139" s="62">
        <f t="shared" si="148"/>
        <v>294.47934482366804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projet'!$B$12,Paramètres!$A$1:$I$88,3,0)*0.475*44/12</f>
        <v>0</v>
      </c>
      <c r="CL139" s="23">
        <f>EXP(-LN(2)/25)*CL138+(1-EXP(-LN(2)/25))/(LN(2)/25)*Calculateur!CG139*Calculateur!CI139*VLOOKUP('Données projet'!$B$12,Paramètres!$A$1:$I$88,3,0)*0.475*44/12</f>
        <v>0</v>
      </c>
      <c r="CM139" s="23">
        <f>EXP(-LN(2)/2)*CM138+(1-EXP(-LN(2)/2))/(LN(2)/2)*CG139*CJ139*VLOOKUP('Données projet'!$B$12,Paramètres!$A$1:$I$88,3,0)*0.475*44/12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69.379911130680711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-1.7053025658242404E-13</v>
      </c>
      <c r="CU139" s="18">
        <f>CT139*VLOOKUP('Données projet'!$B$13,Paramètres!$A$1:$I$88,3,0)*VLOOKUP('Données projet'!$B$13,Paramètres!$A$1:$I$88,5,0)</f>
        <v>-1.1173142411280423E-13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270.10151451661864</v>
      </c>
      <c r="CZ139" s="62">
        <f t="shared" si="150"/>
        <v>294.47934482366804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projet'!$B$13,Paramètres!$A$1:$I$88,3,0)*0.475*44/12</f>
        <v>0</v>
      </c>
      <c r="DG139" s="23">
        <f>EXP(-LN(2)/25)*DG138+(1-EXP(-LN(2)/25))/(LN(2)/25)*Calculateur!DB139*Calculateur!DD139*VLOOKUP('Données projet'!$B$13,Paramètres!$A$1:$I$88,3,0)*0.475*44/12</f>
        <v>0</v>
      </c>
      <c r="DH139" s="23">
        <f>EXP(-LN(2)/2)*DH138+(1-EXP(-LN(2)/2))/(LN(2)/2)*DB139*DE139*VLOOKUP('Données projet'!$B$13,Paramètres!$A$1:$I$88,3,0)*0.475*44/12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69.379911130680711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projet'!$B$14,Paramètres!$A$1:$I$88,3,0)*0.475*44/12</f>
        <v>#N/A</v>
      </c>
      <c r="EB139" s="23" t="e">
        <f>EXP(-LN(2)/25)*EB138+(1-EXP(-LN(2)/25))/(LN(2)/25)*Calculateur!DW139*Calculateur!DY139*VLOOKUP('Données projet'!$B$14,Paramètres!$A$1:$I$88,3,0)*0.475*44/12</f>
        <v>#N/A</v>
      </c>
      <c r="EC139" s="23" t="e">
        <f>EXP(-LN(2)/2)*EC138+(1-EXP(-LN(2)/2))/(LN(2)/2)*DW139*DZ139*VLOOKUP('Données projet'!$B$14,Paramètres!$A$1:$I$88,3,0)*0.475*44/12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69.379911130680711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69.379911130680711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69.379911130680711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69.379911130680711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1.34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4.9133333333333331</v>
      </c>
      <c r="H140" s="70">
        <f t="shared" si="110"/>
        <v>237.01333333333332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69.390668286252364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2.6</v>
      </c>
      <c r="N140" s="14">
        <f>IF('Données projet'!$A$36&gt;35,N139+M140-V139,IF(A140&lt;'Données projet'!$A$36,$K$205^A140,IF(A140='Données projet'!$A$36,'Données projet'!$B$36,N139+M140-V139)))</f>
        <v>274.19999999999936</v>
      </c>
      <c r="O140" s="14">
        <f>N140*VLOOKUP('Données projet'!$B$9,Paramètres!$A$1:$I$88,3,0)*VLOOKUP('Données projet'!$B$9,Paramètres!$A$1:$I$88,5,0)</f>
        <v>278.03879999999936</v>
      </c>
      <c r="P140" s="14">
        <f t="shared" si="141"/>
        <v>66.552381547717616</v>
      </c>
      <c r="Q140" s="22">
        <f t="shared" si="108"/>
        <v>600.16297452894037</v>
      </c>
      <c r="R140" s="62">
        <f t="shared" si="109"/>
        <v>891.26209157853236</v>
      </c>
      <c r="S140" s="62">
        <f ca="1">AVERAGE(OFFSET($R$3,0,0,'Données projet'!$E$9+1,1))-AVERAGE(OFFSET($H$3,0,0,'Données projet'!$E$9+1,1))</f>
        <v>488.16146816015231</v>
      </c>
      <c r="T140" s="62">
        <f t="shared" si="142"/>
        <v>259.37115195552127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0</v>
      </c>
      <c r="AA140" s="23">
        <f>EXP(-LN(2)/25)*AA139+(1-EXP(-LN(2)/25))/(LN(2)/25)*Calculateur!V140*Calculateur!X140*VLOOKUP('Données projet'!$B$9,Paramètres!$A$1:$I$88,3,0)*0.475*44/12</f>
        <v>0</v>
      </c>
      <c r="AB140" s="23">
        <f>EXP(-LN(2)/2)*AB139+(1-EXP(-LN(2)/2))/(LN(2)/2)*V140*Y140*VLOOKUP('Données projet'!$B$9,Paramètres!$A$1:$I$88,3,0)*0.475*44/12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69.390668286252364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2.6</v>
      </c>
      <c r="AI140" s="14">
        <f>IF('Données projet'!$A$62&gt;35,AI139+AH140-AQ139,IF(A140&lt;'Données projet'!$A$62,$AF$205^A140,IF(A140='Données projet'!$A$62,'Données projet'!$B$62,AI139+AH140-AQ139)))</f>
        <v>274.19999999999936</v>
      </c>
      <c r="AJ140" s="14">
        <f>AI140*VLOOKUP('Données projet'!$B$10,Paramètres!$A$1:$I$88,3,0)*VLOOKUP('Données projet'!$B$10,Paramètres!$A$1:$I$88,5,0)</f>
        <v>248.09615999999943</v>
      </c>
      <c r="AK140" s="14">
        <f t="shared" si="143"/>
        <v>60.178080967364579</v>
      </c>
      <c r="AL140" s="22">
        <f t="shared" si="112"/>
        <v>536.91096968482555</v>
      </c>
      <c r="AM140" s="62">
        <f t="shared" si="113"/>
        <v>828.01008673441754</v>
      </c>
      <c r="AN140" s="62">
        <f ca="1">AVERAGE(OFFSET($AM$3,0,0,'Données projet'!$E$10+1,1))-AVERAGE(OFFSET($H$3,0,0,'Données projet'!$E$10+1,1))</f>
        <v>441.34749554136755</v>
      </c>
      <c r="AO140" s="62">
        <f t="shared" si="144"/>
        <v>236.49038586666222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0</v>
      </c>
      <c r="AV140" s="23">
        <f>EXP(-LN(2)/25)*AV139+(1-EXP(-LN(2)/25))/(LN(2)/25)*Calculateur!AQ140*Calculateur!AS140*VLOOKUP('Données projet'!$B$10,Paramètres!$A$1:$I$88,3,0)*0.475*44/12</f>
        <v>0</v>
      </c>
      <c r="AW140" s="23">
        <f>EXP(-LN(2)/2)*AW139+(1-EXP(-LN(2)/2))/(LN(2)/2)*AQ140*AT140*VLOOKUP('Données projet'!$B$10,Paramètres!$A$1:$I$88,3,0)*0.475*44/12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69.390668286252364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2.6</v>
      </c>
      <c r="BD140" s="13">
        <f>IF('Données projet'!$A$88&gt;35,BD139+BC140-BL139,IF(A140&lt;'Données projet'!$A$88,$BA$205^A140,IF(A140='Données projet'!$A$88,'Données projet'!$B$88,BD139+BC140-BL139)))</f>
        <v>274.19999999999936</v>
      </c>
      <c r="BE140" s="14">
        <f>BD140*VLOOKUP('Données projet'!$B$11,Paramètres!$A$1:$I$88,3,0)*VLOOKUP('Données projet'!$B$11,Paramètres!$A$1:$I$88,5,0)</f>
        <v>295.14887999999934</v>
      </c>
      <c r="BF140" s="14">
        <f t="shared" si="145"/>
        <v>70.158519482479221</v>
      </c>
      <c r="BG140" s="22">
        <f t="shared" si="115"/>
        <v>636.24372076531688</v>
      </c>
      <c r="BH140" s="62">
        <f t="shared" si="116"/>
        <v>927.34283781490888</v>
      </c>
      <c r="BI140" s="62">
        <f ca="1">AVERAGE(OFFSET($BH$3,0,0,'Données projet'!$E$11+1,1))-AVERAGE(OFFSET($H$3,0,0,'Données projet'!$E$11+1,1))</f>
        <v>514.86487884889584</v>
      </c>
      <c r="BJ140" s="62">
        <f t="shared" si="146"/>
        <v>272.4206208356191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projet'!$B$11,Paramètres!$A$1:$I$88,3,0)*0.475*44/12</f>
        <v>0</v>
      </c>
      <c r="BQ140" s="23">
        <f>EXP(-LN(2)/25)*BQ139+(1-EXP(-LN(2)/25))/(LN(2)/25)*Calculateur!BL140*Calculateur!BN140*VLOOKUP('Données projet'!$B$11,Paramètres!$A$1:$I$88,3,0)*0.475*44/12</f>
        <v>0</v>
      </c>
      <c r="BR140" s="23">
        <f>EXP(-LN(2)/2)*BR139+(1-EXP(-LN(2)/2))/(LN(2)/2)*BL140*BO140*VLOOKUP('Données projet'!$B$11,Paramètres!$A$1:$I$88,3,0)*0.475*44/12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69.390668286252364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-1.7053025658242404E-13</v>
      </c>
      <c r="BZ140" s="14">
        <f>BY140*VLOOKUP('Données projet'!$B$12,Paramètres!$A$1:$I$88,3,0)*VLOOKUP('Données projet'!$B$12,Paramètres!$A$1:$I$88,5,0)</f>
        <v>-1.1173142411280423E-13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270.10151451661864</v>
      </c>
      <c r="CE140" s="62">
        <f t="shared" si="148"/>
        <v>294.47934482366804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projet'!$B$12,Paramètres!$A$1:$I$88,3,0)*0.475*44/12</f>
        <v>0</v>
      </c>
      <c r="CL140" s="23">
        <f>EXP(-LN(2)/25)*CL139+(1-EXP(-LN(2)/25))/(LN(2)/25)*Calculateur!CG140*Calculateur!CI140*VLOOKUP('Données projet'!$B$12,Paramètres!$A$1:$I$88,3,0)*0.475*44/12</f>
        <v>0</v>
      </c>
      <c r="CM140" s="23">
        <f>EXP(-LN(2)/2)*CM139+(1-EXP(-LN(2)/2))/(LN(2)/2)*CG140*CJ140*VLOOKUP('Données projet'!$B$12,Paramètres!$A$1:$I$88,3,0)*0.475*44/12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69.390668286252364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-1.7053025658242404E-13</v>
      </c>
      <c r="CU140" s="18">
        <f>CT140*VLOOKUP('Données projet'!$B$13,Paramètres!$A$1:$I$88,3,0)*VLOOKUP('Données projet'!$B$13,Paramètres!$A$1:$I$88,5,0)</f>
        <v>-1.1173142411280423E-13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270.10151451661864</v>
      </c>
      <c r="CZ140" s="62">
        <f t="shared" si="150"/>
        <v>294.47934482366804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projet'!$B$13,Paramètres!$A$1:$I$88,3,0)*0.475*44/12</f>
        <v>0</v>
      </c>
      <c r="DG140" s="23">
        <f>EXP(-LN(2)/25)*DG139+(1-EXP(-LN(2)/25))/(LN(2)/25)*Calculateur!DB140*Calculateur!DD140*VLOOKUP('Données projet'!$B$13,Paramètres!$A$1:$I$88,3,0)*0.475*44/12</f>
        <v>0</v>
      </c>
      <c r="DH140" s="23">
        <f>EXP(-LN(2)/2)*DH139+(1-EXP(-LN(2)/2))/(LN(2)/2)*DB140*DE140*VLOOKUP('Données projet'!$B$13,Paramètres!$A$1:$I$88,3,0)*0.475*44/12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69.390668286252364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projet'!$B$14,Paramètres!$A$1:$I$88,3,0)*0.475*44/12</f>
        <v>#N/A</v>
      </c>
      <c r="EB140" s="23" t="e">
        <f>EXP(-LN(2)/25)*EB139+(1-EXP(-LN(2)/25))/(LN(2)/25)*Calculateur!DW140*Calculateur!DY140*VLOOKUP('Données projet'!$B$14,Paramètres!$A$1:$I$88,3,0)*0.475*44/12</f>
        <v>#N/A</v>
      </c>
      <c r="EC140" s="23" t="e">
        <f>EXP(-LN(2)/2)*EC139+(1-EXP(-LN(2)/2))/(LN(2)/2)*DW140*DZ140*VLOOKUP('Données projet'!$B$14,Paramètres!$A$1:$I$88,3,0)*0.475*44/12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69.390668286252364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69.390668286252364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69.390668286252364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69.390668286252364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1.34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4.9133333333333331</v>
      </c>
      <c r="H141" s="70">
        <f t="shared" si="110"/>
        <v>237.01333333333332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69.401238829224255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2.6</v>
      </c>
      <c r="N141" s="14">
        <f>IF('Données projet'!$A$36&gt;35,N140+M141-V140,IF(A141&lt;'Données projet'!$A$36,$K$205^A141,IF(A141='Données projet'!$A$36,'Données projet'!$B$36,N140+M141-V140)))</f>
        <v>276.79999999999939</v>
      </c>
      <c r="O141" s="14">
        <f>N141*VLOOKUP('Données projet'!$B$9,Paramètres!$A$1:$I$88,3,0)*VLOOKUP('Données projet'!$B$9,Paramètres!$A$1:$I$88,5,0)</f>
        <v>280.67519999999939</v>
      </c>
      <c r="P141" s="14">
        <f t="shared" si="141"/>
        <v>67.109678043026364</v>
      </c>
      <c r="Q141" s="22">
        <f t="shared" si="108"/>
        <v>605.72532925826988</v>
      </c>
      <c r="R141" s="62">
        <f t="shared" si="109"/>
        <v>896.86320496542544</v>
      </c>
      <c r="S141" s="62">
        <f ca="1">AVERAGE(OFFSET($R$3,0,0,'Données projet'!$E$9+1,1))-AVERAGE(OFFSET($H$3,0,0,'Données projet'!$E$9+1,1))</f>
        <v>488.16146816015231</v>
      </c>
      <c r="T141" s="62">
        <f t="shared" si="142"/>
        <v>259.37115195552127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0</v>
      </c>
      <c r="AA141" s="23">
        <f>EXP(-LN(2)/25)*AA140+(1-EXP(-LN(2)/25))/(LN(2)/25)*Calculateur!V141*Calculateur!X141*VLOOKUP('Données projet'!$B$9,Paramètres!$A$1:$I$88,3,0)*0.475*44/12</f>
        <v>0</v>
      </c>
      <c r="AB141" s="23">
        <f>EXP(-LN(2)/2)*AB140+(1-EXP(-LN(2)/2))/(LN(2)/2)*V141*Y141*VLOOKUP('Données projet'!$B$9,Paramètres!$A$1:$I$88,3,0)*0.475*44/12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69.401238829224255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2.6</v>
      </c>
      <c r="AI141" s="14">
        <f>IF('Données projet'!$A$62&gt;35,AI140+AH141-AQ140,IF(A141&lt;'Données projet'!$A$62,$AF$205^A141,IF(A141='Données projet'!$A$62,'Données projet'!$B$62,AI140+AH141-AQ140)))</f>
        <v>276.79999999999939</v>
      </c>
      <c r="AJ141" s="14">
        <f>AI141*VLOOKUP('Données projet'!$B$10,Paramètres!$A$1:$I$88,3,0)*VLOOKUP('Données projet'!$B$10,Paramètres!$A$1:$I$88,5,0)</f>
        <v>250.44863999999944</v>
      </c>
      <c r="AK141" s="14">
        <f t="shared" si="143"/>
        <v>60.682000328889892</v>
      </c>
      <c r="AL141" s="22">
        <f t="shared" si="112"/>
        <v>541.88586523948231</v>
      </c>
      <c r="AM141" s="62">
        <f t="shared" si="113"/>
        <v>833.02374094663787</v>
      </c>
      <c r="AN141" s="62">
        <f ca="1">AVERAGE(OFFSET($AM$3,0,0,'Données projet'!$E$10+1,1))-AVERAGE(OFFSET($H$3,0,0,'Données projet'!$E$10+1,1))</f>
        <v>441.34749554136755</v>
      </c>
      <c r="AO141" s="62">
        <f t="shared" si="144"/>
        <v>236.49038586666222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0</v>
      </c>
      <c r="AV141" s="23">
        <f>EXP(-LN(2)/25)*AV140+(1-EXP(-LN(2)/25))/(LN(2)/25)*Calculateur!AQ141*Calculateur!AS141*VLOOKUP('Données projet'!$B$10,Paramètres!$A$1:$I$88,3,0)*0.475*44/12</f>
        <v>0</v>
      </c>
      <c r="AW141" s="23">
        <f>EXP(-LN(2)/2)*AW140+(1-EXP(-LN(2)/2))/(LN(2)/2)*AQ141*AT141*VLOOKUP('Données projet'!$B$10,Paramètres!$A$1:$I$88,3,0)*0.475*44/12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69.401238829224255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2.6</v>
      </c>
      <c r="BD141" s="13">
        <f>IF('Données projet'!$A$88&gt;35,BD140+BC141-BL140,IF(A141&lt;'Données projet'!$A$88,$BA$205^A141,IF(A141='Données projet'!$A$88,'Données projet'!$B$88,BD140+BC141-BL140)))</f>
        <v>276.79999999999939</v>
      </c>
      <c r="BE141" s="14">
        <f>BD141*VLOOKUP('Données projet'!$B$11,Paramètres!$A$1:$I$88,3,0)*VLOOKUP('Données projet'!$B$11,Paramètres!$A$1:$I$88,5,0)</f>
        <v>297.94751999999932</v>
      </c>
      <c r="BF141" s="14">
        <f t="shared" si="145"/>
        <v>70.746013064442209</v>
      </c>
      <c r="BG141" s="22">
        <f t="shared" si="115"/>
        <v>642.14123675390226</v>
      </c>
      <c r="BH141" s="62">
        <f t="shared" si="116"/>
        <v>933.27911246105782</v>
      </c>
      <c r="BI141" s="62">
        <f ca="1">AVERAGE(OFFSET($BH$3,0,0,'Données projet'!$E$11+1,1))-AVERAGE(OFFSET($H$3,0,0,'Données projet'!$E$11+1,1))</f>
        <v>514.86487884889584</v>
      </c>
      <c r="BJ141" s="62">
        <f t="shared" si="146"/>
        <v>272.4206208356191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projet'!$B$11,Paramètres!$A$1:$I$88,3,0)*0.475*44/12</f>
        <v>0</v>
      </c>
      <c r="BQ141" s="23">
        <f>EXP(-LN(2)/25)*BQ140+(1-EXP(-LN(2)/25))/(LN(2)/25)*Calculateur!BL141*Calculateur!BN141*VLOOKUP('Données projet'!$B$11,Paramètres!$A$1:$I$88,3,0)*0.475*44/12</f>
        <v>0</v>
      </c>
      <c r="BR141" s="23">
        <f>EXP(-LN(2)/2)*BR140+(1-EXP(-LN(2)/2))/(LN(2)/2)*BL141*BO141*VLOOKUP('Données projet'!$B$11,Paramètres!$A$1:$I$88,3,0)*0.475*44/12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69.401238829224255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-1.7053025658242404E-13</v>
      </c>
      <c r="BZ141" s="14">
        <f>BY141*VLOOKUP('Données projet'!$B$12,Paramètres!$A$1:$I$88,3,0)*VLOOKUP('Données projet'!$B$12,Paramètres!$A$1:$I$88,5,0)</f>
        <v>-1.1173142411280423E-13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270.10151451661864</v>
      </c>
      <c r="CE141" s="62">
        <f t="shared" si="148"/>
        <v>294.47934482366804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projet'!$B$12,Paramètres!$A$1:$I$88,3,0)*0.475*44/12</f>
        <v>0</v>
      </c>
      <c r="CL141" s="23">
        <f>EXP(-LN(2)/25)*CL140+(1-EXP(-LN(2)/25))/(LN(2)/25)*Calculateur!CG141*Calculateur!CI141*VLOOKUP('Données projet'!$B$12,Paramètres!$A$1:$I$88,3,0)*0.475*44/12</f>
        <v>0</v>
      </c>
      <c r="CM141" s="23">
        <f>EXP(-LN(2)/2)*CM140+(1-EXP(-LN(2)/2))/(LN(2)/2)*CG141*CJ141*VLOOKUP('Données projet'!$B$12,Paramètres!$A$1:$I$88,3,0)*0.475*44/12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69.401238829224255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-1.7053025658242404E-13</v>
      </c>
      <c r="CU141" s="18">
        <f>CT141*VLOOKUP('Données projet'!$B$13,Paramètres!$A$1:$I$88,3,0)*VLOOKUP('Données projet'!$B$13,Paramètres!$A$1:$I$88,5,0)</f>
        <v>-1.1173142411280423E-13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270.10151451661864</v>
      </c>
      <c r="CZ141" s="62">
        <f t="shared" si="150"/>
        <v>294.47934482366804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projet'!$B$13,Paramètres!$A$1:$I$88,3,0)*0.475*44/12</f>
        <v>0</v>
      </c>
      <c r="DG141" s="23">
        <f>EXP(-LN(2)/25)*DG140+(1-EXP(-LN(2)/25))/(LN(2)/25)*Calculateur!DB141*Calculateur!DD141*VLOOKUP('Données projet'!$B$13,Paramètres!$A$1:$I$88,3,0)*0.475*44/12</f>
        <v>0</v>
      </c>
      <c r="DH141" s="23">
        <f>EXP(-LN(2)/2)*DH140+(1-EXP(-LN(2)/2))/(LN(2)/2)*DB141*DE141*VLOOKUP('Données projet'!$B$13,Paramètres!$A$1:$I$88,3,0)*0.475*44/12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69.401238829224255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projet'!$B$14,Paramètres!$A$1:$I$88,3,0)*0.475*44/12</f>
        <v>#N/A</v>
      </c>
      <c r="EB141" s="23" t="e">
        <f>EXP(-LN(2)/25)*EB140+(1-EXP(-LN(2)/25))/(LN(2)/25)*Calculateur!DW141*Calculateur!DY141*VLOOKUP('Données projet'!$B$14,Paramètres!$A$1:$I$88,3,0)*0.475*44/12</f>
        <v>#N/A</v>
      </c>
      <c r="EC141" s="23" t="e">
        <f>EXP(-LN(2)/2)*EC140+(1-EXP(-LN(2)/2))/(LN(2)/2)*DW141*DZ141*VLOOKUP('Données projet'!$B$14,Paramètres!$A$1:$I$88,3,0)*0.475*44/12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69.401238829224255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69.401238829224255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69.401238829224255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69.401238829224255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1.34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4.9133333333333331</v>
      </c>
      <c r="H142" s="70">
        <f t="shared" si="110"/>
        <v>237.01333333333332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69.411625996907787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2.6</v>
      </c>
      <c r="N142" s="14">
        <f>IF('Données projet'!$A$36&gt;35,N141+M142-V141,IF(A142&lt;'Données projet'!$A$36,$K$205^A142,IF(A142='Données projet'!$A$36,'Données projet'!$B$36,N141+M142-V141)))</f>
        <v>279.39999999999941</v>
      </c>
      <c r="O142" s="14">
        <f>N142*VLOOKUP('Données projet'!$B$9,Paramètres!$A$1:$I$88,3,0)*VLOOKUP('Données projet'!$B$9,Paramètres!$A$1:$I$88,5,0)</f>
        <v>283.31159999999943</v>
      </c>
      <c r="P142" s="14">
        <f t="shared" si="141"/>
        <v>67.666365540271144</v>
      </c>
      <c r="Q142" s="22">
        <f t="shared" si="108"/>
        <v>611.28662331597127</v>
      </c>
      <c r="R142" s="62">
        <f t="shared" si="109"/>
        <v>902.46258530463319</v>
      </c>
      <c r="S142" s="62">
        <f ca="1">AVERAGE(OFFSET($R$3,0,0,'Données projet'!$E$9+1,1))-AVERAGE(OFFSET($H$3,0,0,'Données projet'!$E$9+1,1))</f>
        <v>488.16146816015231</v>
      </c>
      <c r="T142" s="62">
        <f t="shared" si="142"/>
        <v>259.37115195552127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0</v>
      </c>
      <c r="AA142" s="23">
        <f>EXP(-LN(2)/25)*AA141+(1-EXP(-LN(2)/25))/(LN(2)/25)*Calculateur!V142*Calculateur!X142*VLOOKUP('Données projet'!$B$9,Paramètres!$A$1:$I$88,3,0)*0.475*44/12</f>
        <v>0</v>
      </c>
      <c r="AB142" s="23">
        <f>EXP(-LN(2)/2)*AB141+(1-EXP(-LN(2)/2))/(LN(2)/2)*V142*Y142*VLOOKUP('Données projet'!$B$9,Paramètres!$A$1:$I$88,3,0)*0.475*44/12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69.411625996907787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2.6</v>
      </c>
      <c r="AI142" s="14">
        <f>IF('Données projet'!$A$62&gt;35,AI141+AH142-AQ141,IF(A142&lt;'Données projet'!$A$62,$AF$205^A142,IF(A142='Données projet'!$A$62,'Données projet'!$B$62,AI141+AH142-AQ141)))</f>
        <v>279.39999999999941</v>
      </c>
      <c r="AJ142" s="14">
        <f>AI142*VLOOKUP('Données projet'!$B$10,Paramètres!$A$1:$I$88,3,0)*VLOOKUP('Données projet'!$B$10,Paramètres!$A$1:$I$88,5,0)</f>
        <v>252.80111999999946</v>
      </c>
      <c r="AK142" s="14">
        <f t="shared" si="143"/>
        <v>61.185369021394152</v>
      </c>
      <c r="AL142" s="22">
        <f t="shared" si="112"/>
        <v>546.85980171226049</v>
      </c>
      <c r="AM142" s="62">
        <f t="shared" si="113"/>
        <v>838.03576370092242</v>
      </c>
      <c r="AN142" s="62">
        <f ca="1">AVERAGE(OFFSET($AM$3,0,0,'Données projet'!$E$10+1,1))-AVERAGE(OFFSET($H$3,0,0,'Données projet'!$E$10+1,1))</f>
        <v>441.34749554136755</v>
      </c>
      <c r="AO142" s="62">
        <f t="shared" si="144"/>
        <v>236.49038586666222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0</v>
      </c>
      <c r="AV142" s="23">
        <f>EXP(-LN(2)/25)*AV141+(1-EXP(-LN(2)/25))/(LN(2)/25)*Calculateur!AQ142*Calculateur!AS142*VLOOKUP('Données projet'!$B$10,Paramètres!$A$1:$I$88,3,0)*0.475*44/12</f>
        <v>0</v>
      </c>
      <c r="AW142" s="23">
        <f>EXP(-LN(2)/2)*AW141+(1-EXP(-LN(2)/2))/(LN(2)/2)*AQ142*AT142*VLOOKUP('Données projet'!$B$10,Paramètres!$A$1:$I$88,3,0)*0.475*44/12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69.411625996907787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2.6</v>
      </c>
      <c r="BD142" s="13">
        <f>IF('Données projet'!$A$88&gt;35,BD141+BC142-BL141,IF(A142&lt;'Données projet'!$A$88,$BA$205^A142,IF(A142='Données projet'!$A$88,'Données projet'!$B$88,BD141+BC142-BL141)))</f>
        <v>279.39999999999941</v>
      </c>
      <c r="BE142" s="14">
        <f>BD142*VLOOKUP('Données projet'!$B$11,Paramètres!$A$1:$I$88,3,0)*VLOOKUP('Données projet'!$B$11,Paramètres!$A$1:$I$88,5,0)</f>
        <v>300.74615999999935</v>
      </c>
      <c r="BF142" s="14">
        <f t="shared" si="145"/>
        <v>71.332864649807306</v>
      </c>
      <c r="BG142" s="22">
        <f t="shared" si="115"/>
        <v>648.03763459841321</v>
      </c>
      <c r="BH142" s="62">
        <f t="shared" si="116"/>
        <v>939.21359658707502</v>
      </c>
      <c r="BI142" s="62">
        <f ca="1">AVERAGE(OFFSET($BH$3,0,0,'Données projet'!$E$11+1,1))-AVERAGE(OFFSET($H$3,0,0,'Données projet'!$E$11+1,1))</f>
        <v>514.86487884889584</v>
      </c>
      <c r="BJ142" s="62">
        <f t="shared" si="146"/>
        <v>272.4206208356191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projet'!$B$11,Paramètres!$A$1:$I$88,3,0)*0.475*44/12</f>
        <v>0</v>
      </c>
      <c r="BQ142" s="23">
        <f>EXP(-LN(2)/25)*BQ141+(1-EXP(-LN(2)/25))/(LN(2)/25)*Calculateur!BL142*Calculateur!BN142*VLOOKUP('Données projet'!$B$11,Paramètres!$A$1:$I$88,3,0)*0.475*44/12</f>
        <v>0</v>
      </c>
      <c r="BR142" s="23">
        <f>EXP(-LN(2)/2)*BR141+(1-EXP(-LN(2)/2))/(LN(2)/2)*BL142*BO142*VLOOKUP('Données projet'!$B$11,Paramètres!$A$1:$I$88,3,0)*0.475*44/12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69.411625996907787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-1.7053025658242404E-13</v>
      </c>
      <c r="BZ142" s="14">
        <f>BY142*VLOOKUP('Données projet'!$B$12,Paramètres!$A$1:$I$88,3,0)*VLOOKUP('Données projet'!$B$12,Paramètres!$A$1:$I$88,5,0)</f>
        <v>-1.1173142411280423E-13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270.10151451661864</v>
      </c>
      <c r="CE142" s="62">
        <f t="shared" si="148"/>
        <v>294.47934482366804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projet'!$B$12,Paramètres!$A$1:$I$88,3,0)*0.475*44/12</f>
        <v>0</v>
      </c>
      <c r="CL142" s="23">
        <f>EXP(-LN(2)/25)*CL141+(1-EXP(-LN(2)/25))/(LN(2)/25)*Calculateur!CG142*Calculateur!CI142*VLOOKUP('Données projet'!$B$12,Paramètres!$A$1:$I$88,3,0)*0.475*44/12</f>
        <v>0</v>
      </c>
      <c r="CM142" s="23">
        <f>EXP(-LN(2)/2)*CM141+(1-EXP(-LN(2)/2))/(LN(2)/2)*CG142*CJ142*VLOOKUP('Données projet'!$B$12,Paramètres!$A$1:$I$88,3,0)*0.475*44/12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69.411625996907787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-1.7053025658242404E-13</v>
      </c>
      <c r="CU142" s="18">
        <f>CT142*VLOOKUP('Données projet'!$B$13,Paramètres!$A$1:$I$88,3,0)*VLOOKUP('Données projet'!$B$13,Paramètres!$A$1:$I$88,5,0)</f>
        <v>-1.1173142411280423E-13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270.10151451661864</v>
      </c>
      <c r="CZ142" s="62">
        <f t="shared" si="150"/>
        <v>294.47934482366804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projet'!$B$13,Paramètres!$A$1:$I$88,3,0)*0.475*44/12</f>
        <v>0</v>
      </c>
      <c r="DG142" s="23">
        <f>EXP(-LN(2)/25)*DG141+(1-EXP(-LN(2)/25))/(LN(2)/25)*Calculateur!DB142*Calculateur!DD142*VLOOKUP('Données projet'!$B$13,Paramètres!$A$1:$I$88,3,0)*0.475*44/12</f>
        <v>0</v>
      </c>
      <c r="DH142" s="23">
        <f>EXP(-LN(2)/2)*DH141+(1-EXP(-LN(2)/2))/(LN(2)/2)*DB142*DE142*VLOOKUP('Données projet'!$B$13,Paramètres!$A$1:$I$88,3,0)*0.475*44/12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69.411625996907787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projet'!$B$14,Paramètres!$A$1:$I$88,3,0)*0.475*44/12</f>
        <v>#N/A</v>
      </c>
      <c r="EB142" s="23" t="e">
        <f>EXP(-LN(2)/25)*EB141+(1-EXP(-LN(2)/25))/(LN(2)/25)*Calculateur!DW142*Calculateur!DY142*VLOOKUP('Données projet'!$B$14,Paramètres!$A$1:$I$88,3,0)*0.475*44/12</f>
        <v>#N/A</v>
      </c>
      <c r="EC142" s="23" t="e">
        <f>EXP(-LN(2)/2)*EC141+(1-EXP(-LN(2)/2))/(LN(2)/2)*DW142*DZ142*VLOOKUP('Données projet'!$B$14,Paramètres!$A$1:$I$88,3,0)*0.475*44/12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69.411625996907787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69.411625996907787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69.411625996907787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69.411625996907787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1.34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4.9133333333333331</v>
      </c>
      <c r="H143" s="70">
        <f t="shared" si="110"/>
        <v>237.01333333333332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69.421832970454219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2.6</v>
      </c>
      <c r="N143" s="14">
        <f>IF('Données projet'!$A$36&gt;35,N142+M143-V142,IF(A143&lt;'Données projet'!$A$36,$K$205^A143,IF(A143='Données projet'!$A$36,'Données projet'!$B$36,N142+M143-V142)))</f>
        <v>281.99999999999943</v>
      </c>
      <c r="O143" s="14">
        <f>N143*VLOOKUP('Données projet'!$B$9,Paramètres!$A$1:$I$88,3,0)*VLOOKUP('Données projet'!$B$9,Paramètres!$A$1:$I$88,5,0)</f>
        <v>285.94799999999947</v>
      </c>
      <c r="P143" s="14">
        <f t="shared" si="141"/>
        <v>68.222450362989306</v>
      </c>
      <c r="Q143" s="22">
        <f t="shared" si="108"/>
        <v>616.84686771553879</v>
      </c>
      <c r="R143" s="62">
        <f t="shared" si="109"/>
        <v>908.06025527387101</v>
      </c>
      <c r="S143" s="62">
        <f ca="1">AVERAGE(OFFSET($R$3,0,0,'Données projet'!$E$9+1,1))-AVERAGE(OFFSET($H$3,0,0,'Données projet'!$E$9+1,1))</f>
        <v>488.16146816015231</v>
      </c>
      <c r="T143" s="62">
        <f t="shared" si="142"/>
        <v>259.37115195552127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0</v>
      </c>
      <c r="AA143" s="23">
        <f>EXP(-LN(2)/25)*AA142+(1-EXP(-LN(2)/25))/(LN(2)/25)*Calculateur!V143*Calculateur!X143*VLOOKUP('Données projet'!$B$9,Paramètres!$A$1:$I$88,3,0)*0.475*44/12</f>
        <v>0</v>
      </c>
      <c r="AB143" s="23">
        <f>EXP(-LN(2)/2)*AB142+(1-EXP(-LN(2)/2))/(LN(2)/2)*V143*Y143*VLOOKUP('Données projet'!$B$9,Paramètres!$A$1:$I$88,3,0)*0.475*44/12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69.421832970454219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2.6</v>
      </c>
      <c r="AI143" s="14">
        <f>IF('Données projet'!$A$62&gt;35,AI142+AH143-AQ142,IF(A143&lt;'Données projet'!$A$62,$AF$205^A143,IF(A143='Données projet'!$A$62,'Données projet'!$B$62,AI142+AH143-AQ142)))</f>
        <v>281.99999999999943</v>
      </c>
      <c r="AJ143" s="14">
        <f>AI143*VLOOKUP('Données projet'!$B$10,Paramètres!$A$1:$I$88,3,0)*VLOOKUP('Données projet'!$B$10,Paramètres!$A$1:$I$88,5,0)</f>
        <v>255.15359999999947</v>
      </c>
      <c r="AK143" s="14">
        <f t="shared" si="143"/>
        <v>61.688192762754319</v>
      </c>
      <c r="AL143" s="22">
        <f t="shared" si="112"/>
        <v>551.83278906179623</v>
      </c>
      <c r="AM143" s="62">
        <f t="shared" si="113"/>
        <v>843.04617662012834</v>
      </c>
      <c r="AN143" s="62">
        <f ca="1">AVERAGE(OFFSET($AM$3,0,0,'Données projet'!$E$10+1,1))-AVERAGE(OFFSET($H$3,0,0,'Données projet'!$E$10+1,1))</f>
        <v>441.34749554136755</v>
      </c>
      <c r="AO143" s="62">
        <f t="shared" si="144"/>
        <v>236.49038586666222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0</v>
      </c>
      <c r="AV143" s="23">
        <f>EXP(-LN(2)/25)*AV142+(1-EXP(-LN(2)/25))/(LN(2)/25)*Calculateur!AQ143*Calculateur!AS143*VLOOKUP('Données projet'!$B$10,Paramètres!$A$1:$I$88,3,0)*0.475*44/12</f>
        <v>0</v>
      </c>
      <c r="AW143" s="23">
        <f>EXP(-LN(2)/2)*AW142+(1-EXP(-LN(2)/2))/(LN(2)/2)*AQ143*AT143*VLOOKUP('Données projet'!$B$10,Paramètres!$A$1:$I$88,3,0)*0.475*44/12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69.421832970454219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2.6</v>
      </c>
      <c r="BD143" s="13">
        <f>IF('Données projet'!$A$88&gt;35,BD142+BC143-BL142,IF(A143&lt;'Données projet'!$A$88,$BA$205^A143,IF(A143='Données projet'!$A$88,'Données projet'!$B$88,BD142+BC143-BL142)))</f>
        <v>281.99999999999943</v>
      </c>
      <c r="BE143" s="14">
        <f>BD143*VLOOKUP('Données projet'!$B$11,Paramètres!$A$1:$I$88,3,0)*VLOOKUP('Données projet'!$B$11,Paramètres!$A$1:$I$88,5,0)</f>
        <v>303.54479999999938</v>
      </c>
      <c r="BF143" s="14">
        <f t="shared" si="145"/>
        <v>71.919080904752448</v>
      </c>
      <c r="BG143" s="22">
        <f t="shared" si="115"/>
        <v>653.93292590910937</v>
      </c>
      <c r="BH143" s="62">
        <f t="shared" si="116"/>
        <v>945.14631346744159</v>
      </c>
      <c r="BI143" s="62">
        <f ca="1">AVERAGE(OFFSET($BH$3,0,0,'Données projet'!$E$11+1,1))-AVERAGE(OFFSET($H$3,0,0,'Données projet'!$E$11+1,1))</f>
        <v>514.86487884889584</v>
      </c>
      <c r="BJ143" s="62">
        <f t="shared" si="146"/>
        <v>272.4206208356191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projet'!$B$11,Paramètres!$A$1:$I$88,3,0)*0.475*44/12</f>
        <v>0</v>
      </c>
      <c r="BQ143" s="23">
        <f>EXP(-LN(2)/25)*BQ142+(1-EXP(-LN(2)/25))/(LN(2)/25)*Calculateur!BL143*Calculateur!BN143*VLOOKUP('Données projet'!$B$11,Paramètres!$A$1:$I$88,3,0)*0.475*44/12</f>
        <v>0</v>
      </c>
      <c r="BR143" s="23">
        <f>EXP(-LN(2)/2)*BR142+(1-EXP(-LN(2)/2))/(LN(2)/2)*BL143*BO143*VLOOKUP('Données projet'!$B$11,Paramètres!$A$1:$I$88,3,0)*0.475*44/12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69.421832970454219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-1.7053025658242404E-13</v>
      </c>
      <c r="BZ143" s="14">
        <f>BY143*VLOOKUP('Données projet'!$B$12,Paramètres!$A$1:$I$88,3,0)*VLOOKUP('Données projet'!$B$12,Paramètres!$A$1:$I$88,5,0)</f>
        <v>-1.1173142411280423E-13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270.10151451661864</v>
      </c>
      <c r="CE143" s="62">
        <f t="shared" si="148"/>
        <v>294.47934482366804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projet'!$B$12,Paramètres!$A$1:$I$88,3,0)*0.475*44/12</f>
        <v>0</v>
      </c>
      <c r="CL143" s="23">
        <f>EXP(-LN(2)/25)*CL142+(1-EXP(-LN(2)/25))/(LN(2)/25)*Calculateur!CG143*Calculateur!CI143*VLOOKUP('Données projet'!$B$12,Paramètres!$A$1:$I$88,3,0)*0.475*44/12</f>
        <v>0</v>
      </c>
      <c r="CM143" s="23">
        <f>EXP(-LN(2)/2)*CM142+(1-EXP(-LN(2)/2))/(LN(2)/2)*CG143*CJ143*VLOOKUP('Données projet'!$B$12,Paramètres!$A$1:$I$88,3,0)*0.475*44/12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69.421832970454219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-1.7053025658242404E-13</v>
      </c>
      <c r="CU143" s="18">
        <f>CT143*VLOOKUP('Données projet'!$B$13,Paramètres!$A$1:$I$88,3,0)*VLOOKUP('Données projet'!$B$13,Paramètres!$A$1:$I$88,5,0)</f>
        <v>-1.1173142411280423E-13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270.10151451661864</v>
      </c>
      <c r="CZ143" s="62">
        <f t="shared" si="150"/>
        <v>294.47934482366804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projet'!$B$13,Paramètres!$A$1:$I$88,3,0)*0.475*44/12</f>
        <v>0</v>
      </c>
      <c r="DG143" s="23">
        <f>EXP(-LN(2)/25)*DG142+(1-EXP(-LN(2)/25))/(LN(2)/25)*Calculateur!DB143*Calculateur!DD143*VLOOKUP('Données projet'!$B$13,Paramètres!$A$1:$I$88,3,0)*0.475*44/12</f>
        <v>0</v>
      </c>
      <c r="DH143" s="23">
        <f>EXP(-LN(2)/2)*DH142+(1-EXP(-LN(2)/2))/(LN(2)/2)*DB143*DE143*VLOOKUP('Données projet'!$B$13,Paramètres!$A$1:$I$88,3,0)*0.475*44/12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69.421832970454219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projet'!$B$14,Paramètres!$A$1:$I$88,3,0)*0.475*44/12</f>
        <v>#N/A</v>
      </c>
      <c r="EB143" s="23" t="e">
        <f>EXP(-LN(2)/25)*EB142+(1-EXP(-LN(2)/25))/(LN(2)/25)*Calculateur!DW143*Calculateur!DY143*VLOOKUP('Données projet'!$B$14,Paramètres!$A$1:$I$88,3,0)*0.475*44/12</f>
        <v>#N/A</v>
      </c>
      <c r="EC143" s="23" t="e">
        <f>EXP(-LN(2)/2)*EC142+(1-EXP(-LN(2)/2))/(LN(2)/2)*DW143*DZ143*VLOOKUP('Données projet'!$B$14,Paramètres!$A$1:$I$88,3,0)*0.475*44/12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69.421832970454219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69.421832970454219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69.421832970454219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69.421832970454219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1.34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4.9133333333333331</v>
      </c>
      <c r="H144" s="70">
        <f t="shared" si="110"/>
        <v>237.01333333333332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69.431862875829012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2.6</v>
      </c>
      <c r="N144" s="14">
        <f>IF('Données projet'!$A$36&gt;35,N143+M144-V143,IF(A144&lt;'Données projet'!$A$36,$K$205^A144,IF(A144='Données projet'!$A$36,'Données projet'!$B$36,N143+M144-V143)))</f>
        <v>284.59999999999945</v>
      </c>
      <c r="O144" s="14">
        <f>N144*VLOOKUP('Données projet'!$B$9,Paramètres!$A$1:$I$88,3,0)*VLOOKUP('Données projet'!$B$9,Paramètres!$A$1:$I$88,5,0)</f>
        <v>288.58439999999945</v>
      </c>
      <c r="P144" s="14">
        <f t="shared" si="141"/>
        <v>68.777938711388487</v>
      </c>
      <c r="Q144" s="22">
        <f t="shared" si="108"/>
        <v>622.40607325566725</v>
      </c>
      <c r="R144" s="62">
        <f t="shared" si="109"/>
        <v>913.65623713370701</v>
      </c>
      <c r="S144" s="62">
        <f ca="1">AVERAGE(OFFSET($R$3,0,0,'Données projet'!$E$9+1,1))-AVERAGE(OFFSET($H$3,0,0,'Données projet'!$E$9+1,1))</f>
        <v>488.16146816015231</v>
      </c>
      <c r="T144" s="62">
        <f t="shared" si="142"/>
        <v>259.37115195552127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0</v>
      </c>
      <c r="AA144" s="23">
        <f>EXP(-LN(2)/25)*AA143+(1-EXP(-LN(2)/25))/(LN(2)/25)*Calculateur!V144*Calculateur!X144*VLOOKUP('Données projet'!$B$9,Paramètres!$A$1:$I$88,3,0)*0.475*44/12</f>
        <v>0</v>
      </c>
      <c r="AB144" s="23">
        <f>EXP(-LN(2)/2)*AB143+(1-EXP(-LN(2)/2))/(LN(2)/2)*V144*Y144*VLOOKUP('Données projet'!$B$9,Paramètres!$A$1:$I$88,3,0)*0.475*44/12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69.431862875829012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2.6</v>
      </c>
      <c r="AI144" s="14">
        <f>IF('Données projet'!$A$62&gt;35,AI143+AH144-AQ143,IF(A144&lt;'Données projet'!$A$62,$AF$205^A144,IF(A144='Données projet'!$A$62,'Données projet'!$B$62,AI143+AH144-AQ143)))</f>
        <v>284.59999999999945</v>
      </c>
      <c r="AJ144" s="14">
        <f>AI144*VLOOKUP('Données projet'!$B$10,Paramètres!$A$1:$I$88,3,0)*VLOOKUP('Données projet'!$B$10,Paramètres!$A$1:$I$88,5,0)</f>
        <v>257.50607999999949</v>
      </c>
      <c r="AK144" s="14">
        <f t="shared" si="143"/>
        <v>62.190477159330406</v>
      </c>
      <c r="AL144" s="22">
        <f t="shared" si="112"/>
        <v>556.80483705249947</v>
      </c>
      <c r="AM144" s="62">
        <f t="shared" si="113"/>
        <v>848.05500093053911</v>
      </c>
      <c r="AN144" s="62">
        <f ca="1">AVERAGE(OFFSET($AM$3,0,0,'Données projet'!$E$10+1,1))-AVERAGE(OFFSET($H$3,0,0,'Données projet'!$E$10+1,1))</f>
        <v>441.34749554136755</v>
      </c>
      <c r="AO144" s="62">
        <f t="shared" si="144"/>
        <v>236.49038586666222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0</v>
      </c>
      <c r="AV144" s="23">
        <f>EXP(-LN(2)/25)*AV143+(1-EXP(-LN(2)/25))/(LN(2)/25)*Calculateur!AQ144*Calculateur!AS144*VLOOKUP('Données projet'!$B$10,Paramètres!$A$1:$I$88,3,0)*0.475*44/12</f>
        <v>0</v>
      </c>
      <c r="AW144" s="23">
        <f>EXP(-LN(2)/2)*AW143+(1-EXP(-LN(2)/2))/(LN(2)/2)*AQ144*AT144*VLOOKUP('Données projet'!$B$10,Paramètres!$A$1:$I$88,3,0)*0.475*44/12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69.431862875829012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2.6</v>
      </c>
      <c r="BD144" s="13">
        <f>IF('Données projet'!$A$88&gt;35,BD143+BC144-BL143,IF(A144&lt;'Données projet'!$A$88,$BA$205^A144,IF(A144='Données projet'!$A$88,'Données projet'!$B$88,BD143+BC144-BL143)))</f>
        <v>284.59999999999945</v>
      </c>
      <c r="BE144" s="14">
        <f>BD144*VLOOKUP('Données projet'!$B$11,Paramètres!$A$1:$I$88,3,0)*VLOOKUP('Données projet'!$B$11,Paramètres!$A$1:$I$88,5,0)</f>
        <v>306.34343999999936</v>
      </c>
      <c r="BF144" s="14">
        <f t="shared" si="145"/>
        <v>72.504668365443322</v>
      </c>
      <c r="BG144" s="22">
        <f t="shared" si="115"/>
        <v>659.82712206981262</v>
      </c>
      <c r="BH144" s="62">
        <f t="shared" si="116"/>
        <v>951.07728594785226</v>
      </c>
      <c r="BI144" s="62">
        <f ca="1">AVERAGE(OFFSET($BH$3,0,0,'Données projet'!$E$11+1,1))-AVERAGE(OFFSET($H$3,0,0,'Données projet'!$E$11+1,1))</f>
        <v>514.86487884889584</v>
      </c>
      <c r="BJ144" s="62">
        <f t="shared" si="146"/>
        <v>272.4206208356191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projet'!$B$11,Paramètres!$A$1:$I$88,3,0)*0.475*44/12</f>
        <v>0</v>
      </c>
      <c r="BQ144" s="23">
        <f>EXP(-LN(2)/25)*BQ143+(1-EXP(-LN(2)/25))/(LN(2)/25)*Calculateur!BL144*Calculateur!BN144*VLOOKUP('Données projet'!$B$11,Paramètres!$A$1:$I$88,3,0)*0.475*44/12</f>
        <v>0</v>
      </c>
      <c r="BR144" s="23">
        <f>EXP(-LN(2)/2)*BR143+(1-EXP(-LN(2)/2))/(LN(2)/2)*BL144*BO144*VLOOKUP('Données projet'!$B$11,Paramètres!$A$1:$I$88,3,0)*0.475*44/12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69.431862875829012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-1.7053025658242404E-13</v>
      </c>
      <c r="BZ144" s="14">
        <f>BY144*VLOOKUP('Données projet'!$B$12,Paramètres!$A$1:$I$88,3,0)*VLOOKUP('Données projet'!$B$12,Paramètres!$A$1:$I$88,5,0)</f>
        <v>-1.1173142411280423E-13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270.10151451661864</v>
      </c>
      <c r="CE144" s="62">
        <f t="shared" si="148"/>
        <v>294.47934482366804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projet'!$B$12,Paramètres!$A$1:$I$88,3,0)*0.475*44/12</f>
        <v>0</v>
      </c>
      <c r="CL144" s="23">
        <f>EXP(-LN(2)/25)*CL143+(1-EXP(-LN(2)/25))/(LN(2)/25)*Calculateur!CG144*Calculateur!CI144*VLOOKUP('Données projet'!$B$12,Paramètres!$A$1:$I$88,3,0)*0.475*44/12</f>
        <v>0</v>
      </c>
      <c r="CM144" s="23">
        <f>EXP(-LN(2)/2)*CM143+(1-EXP(-LN(2)/2))/(LN(2)/2)*CG144*CJ144*VLOOKUP('Données projet'!$B$12,Paramètres!$A$1:$I$88,3,0)*0.475*44/12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69.431862875829012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-1.7053025658242404E-13</v>
      </c>
      <c r="CU144" s="18">
        <f>CT144*VLOOKUP('Données projet'!$B$13,Paramètres!$A$1:$I$88,3,0)*VLOOKUP('Données projet'!$B$13,Paramètres!$A$1:$I$88,5,0)</f>
        <v>-1.1173142411280423E-13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270.10151451661864</v>
      </c>
      <c r="CZ144" s="62">
        <f t="shared" si="150"/>
        <v>294.47934482366804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projet'!$B$13,Paramètres!$A$1:$I$88,3,0)*0.475*44/12</f>
        <v>0</v>
      </c>
      <c r="DG144" s="23">
        <f>EXP(-LN(2)/25)*DG143+(1-EXP(-LN(2)/25))/(LN(2)/25)*Calculateur!DB144*Calculateur!DD144*VLOOKUP('Données projet'!$B$13,Paramètres!$A$1:$I$88,3,0)*0.475*44/12</f>
        <v>0</v>
      </c>
      <c r="DH144" s="23">
        <f>EXP(-LN(2)/2)*DH143+(1-EXP(-LN(2)/2))/(LN(2)/2)*DB144*DE144*VLOOKUP('Données projet'!$B$13,Paramètres!$A$1:$I$88,3,0)*0.475*44/12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69.431862875829012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projet'!$B$14,Paramètres!$A$1:$I$88,3,0)*0.475*44/12</f>
        <v>#N/A</v>
      </c>
      <c r="EB144" s="23" t="e">
        <f>EXP(-LN(2)/25)*EB143+(1-EXP(-LN(2)/25))/(LN(2)/25)*Calculateur!DW144*Calculateur!DY144*VLOOKUP('Données projet'!$B$14,Paramètres!$A$1:$I$88,3,0)*0.475*44/12</f>
        <v>#N/A</v>
      </c>
      <c r="EC144" s="23" t="e">
        <f>EXP(-LN(2)/2)*EC143+(1-EXP(-LN(2)/2))/(LN(2)/2)*DW144*DZ144*VLOOKUP('Données projet'!$B$14,Paramètres!$A$1:$I$88,3,0)*0.475*44/12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69.431862875829012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69.431862875829012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69.431862875829012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69.431862875829012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1.34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4.9133333333333331</v>
      </c>
      <c r="H145" s="70">
        <f t="shared" si="110"/>
        <v>237.01333333333332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69.441718784769051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2.6</v>
      </c>
      <c r="N145" s="14">
        <f>IF('Données projet'!$A$36&gt;35,N144+M145-V144,IF(A145&lt;'Données projet'!$A$36,$K$205^A145,IF(A145='Données projet'!$A$36,'Données projet'!$B$36,N144+M145-V144)))</f>
        <v>287.19999999999948</v>
      </c>
      <c r="O145" s="14">
        <f>N145*VLOOKUP('Données projet'!$B$9,Paramètres!$A$1:$I$88,3,0)*VLOOKUP('Données projet'!$B$9,Paramètres!$A$1:$I$88,5,0)</f>
        <v>291.22079999999949</v>
      </c>
      <c r="P145" s="14">
        <f t="shared" si="141"/>
        <v>69.332836665856547</v>
      </c>
      <c r="Q145" s="22">
        <f t="shared" si="108"/>
        <v>627.96425052636596</v>
      </c>
      <c r="R145" s="62">
        <f t="shared" si="109"/>
        <v>919.2505527371859</v>
      </c>
      <c r="S145" s="62">
        <f ca="1">AVERAGE(OFFSET($R$3,0,0,'Données projet'!$E$9+1,1))-AVERAGE(OFFSET($H$3,0,0,'Données projet'!$E$9+1,1))</f>
        <v>488.16146816015231</v>
      </c>
      <c r="T145" s="62">
        <f t="shared" si="142"/>
        <v>259.37115195552127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0</v>
      </c>
      <c r="AA145" s="23">
        <f>EXP(-LN(2)/25)*AA144+(1-EXP(-LN(2)/25))/(LN(2)/25)*Calculateur!V145*Calculateur!X145*VLOOKUP('Données projet'!$B$9,Paramètres!$A$1:$I$88,3,0)*0.475*44/12</f>
        <v>0</v>
      </c>
      <c r="AB145" s="23">
        <f>EXP(-LN(2)/2)*AB144+(1-EXP(-LN(2)/2))/(LN(2)/2)*V145*Y145*VLOOKUP('Données projet'!$B$9,Paramètres!$A$1:$I$88,3,0)*0.475*44/12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69.441718784769051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2.6</v>
      </c>
      <c r="AI145" s="14">
        <f>IF('Données projet'!$A$62&gt;35,AI144+AH145-AQ144,IF(A145&lt;'Données projet'!$A$62,$AF$205^A145,IF(A145='Données projet'!$A$62,'Données projet'!$B$62,AI144+AH145-AQ144)))</f>
        <v>287.19999999999948</v>
      </c>
      <c r="AJ145" s="14">
        <f>AI145*VLOOKUP('Données projet'!$B$10,Paramètres!$A$1:$I$88,3,0)*VLOOKUP('Données projet'!$B$10,Paramètres!$A$1:$I$88,5,0)</f>
        <v>259.8585599999995</v>
      </c>
      <c r="AK145" s="14">
        <f t="shared" si="143"/>
        <v>62.692227709138365</v>
      </c>
      <c r="AL145" s="22">
        <f t="shared" si="112"/>
        <v>561.77595526008179</v>
      </c>
      <c r="AM145" s="62">
        <f t="shared" si="113"/>
        <v>853.06225747090161</v>
      </c>
      <c r="AN145" s="62">
        <f ca="1">AVERAGE(OFFSET($AM$3,0,0,'Données projet'!$E$10+1,1))-AVERAGE(OFFSET($H$3,0,0,'Données projet'!$E$10+1,1))</f>
        <v>441.34749554136755</v>
      </c>
      <c r="AO145" s="62">
        <f t="shared" si="144"/>
        <v>236.49038586666222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0</v>
      </c>
      <c r="AV145" s="23">
        <f>EXP(-LN(2)/25)*AV144+(1-EXP(-LN(2)/25))/(LN(2)/25)*Calculateur!AQ145*Calculateur!AS145*VLOOKUP('Données projet'!$B$10,Paramètres!$A$1:$I$88,3,0)*0.475*44/12</f>
        <v>0</v>
      </c>
      <c r="AW145" s="23">
        <f>EXP(-LN(2)/2)*AW144+(1-EXP(-LN(2)/2))/(LN(2)/2)*AQ145*AT145*VLOOKUP('Données projet'!$B$10,Paramètres!$A$1:$I$88,3,0)*0.475*44/12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69.441718784769051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2.6</v>
      </c>
      <c r="BD145" s="13">
        <f>IF('Données projet'!$A$88&gt;35,BD144+BC145-BL144,IF(A145&lt;'Données projet'!$A$88,$BA$205^A145,IF(A145='Données projet'!$A$88,'Données projet'!$B$88,BD144+BC145-BL144)))</f>
        <v>287.19999999999948</v>
      </c>
      <c r="BE145" s="14">
        <f>BD145*VLOOKUP('Données projet'!$B$11,Paramètres!$A$1:$I$88,3,0)*VLOOKUP('Données projet'!$B$11,Paramètres!$A$1:$I$88,5,0)</f>
        <v>309.14207999999945</v>
      </c>
      <c r="BF145" s="14">
        <f t="shared" si="145"/>
        <v>73.089633441733085</v>
      </c>
      <c r="BG145" s="22">
        <f t="shared" si="115"/>
        <v>665.72023424435088</v>
      </c>
      <c r="BH145" s="62">
        <f t="shared" si="116"/>
        <v>957.00653645517082</v>
      </c>
      <c r="BI145" s="62">
        <f ca="1">AVERAGE(OFFSET($BH$3,0,0,'Données projet'!$E$11+1,1))-AVERAGE(OFFSET($H$3,0,0,'Données projet'!$E$11+1,1))</f>
        <v>514.86487884889584</v>
      </c>
      <c r="BJ145" s="62">
        <f t="shared" si="146"/>
        <v>272.4206208356191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projet'!$B$11,Paramètres!$A$1:$I$88,3,0)*0.475*44/12</f>
        <v>0</v>
      </c>
      <c r="BQ145" s="23">
        <f>EXP(-LN(2)/25)*BQ144+(1-EXP(-LN(2)/25))/(LN(2)/25)*Calculateur!BL145*Calculateur!BN145*VLOOKUP('Données projet'!$B$11,Paramètres!$A$1:$I$88,3,0)*0.475*44/12</f>
        <v>0</v>
      </c>
      <c r="BR145" s="23">
        <f>EXP(-LN(2)/2)*BR144+(1-EXP(-LN(2)/2))/(LN(2)/2)*BL145*BO145*VLOOKUP('Données projet'!$B$11,Paramètres!$A$1:$I$88,3,0)*0.475*44/12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69.441718784769051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-1.7053025658242404E-13</v>
      </c>
      <c r="BZ145" s="14">
        <f>BY145*VLOOKUP('Données projet'!$B$12,Paramètres!$A$1:$I$88,3,0)*VLOOKUP('Données projet'!$B$12,Paramètres!$A$1:$I$88,5,0)</f>
        <v>-1.1173142411280423E-13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270.10151451661864</v>
      </c>
      <c r="CE145" s="62">
        <f t="shared" si="148"/>
        <v>294.47934482366804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projet'!$B$12,Paramètres!$A$1:$I$88,3,0)*0.475*44/12</f>
        <v>0</v>
      </c>
      <c r="CL145" s="23">
        <f>EXP(-LN(2)/25)*CL144+(1-EXP(-LN(2)/25))/(LN(2)/25)*Calculateur!CG145*Calculateur!CI145*VLOOKUP('Données projet'!$B$12,Paramètres!$A$1:$I$88,3,0)*0.475*44/12</f>
        <v>0</v>
      </c>
      <c r="CM145" s="23">
        <f>EXP(-LN(2)/2)*CM144+(1-EXP(-LN(2)/2))/(LN(2)/2)*CG145*CJ145*VLOOKUP('Données projet'!$B$12,Paramètres!$A$1:$I$88,3,0)*0.475*44/12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69.441718784769051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-1.7053025658242404E-13</v>
      </c>
      <c r="CU145" s="18">
        <f>CT145*VLOOKUP('Données projet'!$B$13,Paramètres!$A$1:$I$88,3,0)*VLOOKUP('Données projet'!$B$13,Paramètres!$A$1:$I$88,5,0)</f>
        <v>-1.1173142411280423E-13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270.10151451661864</v>
      </c>
      <c r="CZ145" s="62">
        <f t="shared" si="150"/>
        <v>294.47934482366804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projet'!$B$13,Paramètres!$A$1:$I$88,3,0)*0.475*44/12</f>
        <v>0</v>
      </c>
      <c r="DG145" s="23">
        <f>EXP(-LN(2)/25)*DG144+(1-EXP(-LN(2)/25))/(LN(2)/25)*Calculateur!DB145*Calculateur!DD145*VLOOKUP('Données projet'!$B$13,Paramètres!$A$1:$I$88,3,0)*0.475*44/12</f>
        <v>0</v>
      </c>
      <c r="DH145" s="23">
        <f>EXP(-LN(2)/2)*DH144+(1-EXP(-LN(2)/2))/(LN(2)/2)*DB145*DE145*VLOOKUP('Données projet'!$B$13,Paramètres!$A$1:$I$88,3,0)*0.475*44/12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69.441718784769051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projet'!$B$14,Paramètres!$A$1:$I$88,3,0)*0.475*44/12</f>
        <v>#N/A</v>
      </c>
      <c r="EB145" s="23" t="e">
        <f>EXP(-LN(2)/25)*EB144+(1-EXP(-LN(2)/25))/(LN(2)/25)*Calculateur!DW145*Calculateur!DY145*VLOOKUP('Données projet'!$B$14,Paramètres!$A$1:$I$88,3,0)*0.475*44/12</f>
        <v>#N/A</v>
      </c>
      <c r="EC145" s="23" t="e">
        <f>EXP(-LN(2)/2)*EC144+(1-EXP(-LN(2)/2))/(LN(2)/2)*DW145*DZ145*VLOOKUP('Données projet'!$B$14,Paramètres!$A$1:$I$88,3,0)*0.475*44/12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69.441718784769051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69.441718784769051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69.441718784769051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69.441718784769051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1.34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4.9133333333333331</v>
      </c>
      <c r="H146" s="70">
        <f t="shared" si="110"/>
        <v>237.01333333333332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69.451403715723487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2.6</v>
      </c>
      <c r="N146" s="14">
        <f>IF('Données projet'!$A$36&gt;35,N145+M146-V145,IF(A146&lt;'Données projet'!$A$36,$K$205^A146,IF(A146='Données projet'!$A$36,'Données projet'!$B$36,N145+M146-V145)))</f>
        <v>289.7999999999995</v>
      </c>
      <c r="O146" s="14">
        <f>N146*VLOOKUP('Données projet'!$B$9,Paramètres!$A$1:$I$88,3,0)*VLOOKUP('Données projet'!$B$9,Paramètres!$A$1:$I$88,5,0)</f>
        <v>293.85719999999952</v>
      </c>
      <c r="P146" s="14">
        <f t="shared" si="141"/>
        <v>69.88715019033971</v>
      </c>
      <c r="Q146" s="22">
        <f t="shared" si="108"/>
        <v>633.52140991484077</v>
      </c>
      <c r="R146" s="62">
        <f t="shared" si="109"/>
        <v>924.84322353916014</v>
      </c>
      <c r="S146" s="62">
        <f ca="1">AVERAGE(OFFSET($R$3,0,0,'Données projet'!$E$9+1,1))-AVERAGE(OFFSET($H$3,0,0,'Données projet'!$E$9+1,1))</f>
        <v>488.16146816015231</v>
      </c>
      <c r="T146" s="62">
        <f t="shared" si="142"/>
        <v>259.37115195552127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0</v>
      </c>
      <c r="AA146" s="23">
        <f>EXP(-LN(2)/25)*AA145+(1-EXP(-LN(2)/25))/(LN(2)/25)*Calculateur!V146*Calculateur!X146*VLOOKUP('Données projet'!$B$9,Paramètres!$A$1:$I$88,3,0)*0.475*44/12</f>
        <v>0</v>
      </c>
      <c r="AB146" s="23">
        <f>EXP(-LN(2)/2)*AB145+(1-EXP(-LN(2)/2))/(LN(2)/2)*V146*Y146*VLOOKUP('Données projet'!$B$9,Paramètres!$A$1:$I$88,3,0)*0.475*44/12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69.451403715723487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2.6</v>
      </c>
      <c r="AI146" s="14">
        <f>IF('Données projet'!$A$62&gt;35,AI145+AH146-AQ145,IF(A146&lt;'Données projet'!$A$62,$AF$205^A146,IF(A146='Données projet'!$A$62,'Données projet'!$B$62,AI145+AH146-AQ145)))</f>
        <v>289.7999999999995</v>
      </c>
      <c r="AJ146" s="14">
        <f>AI146*VLOOKUP('Données projet'!$B$10,Paramètres!$A$1:$I$88,3,0)*VLOOKUP('Données projet'!$B$10,Paramètres!$A$1:$I$88,5,0)</f>
        <v>262.21103999999951</v>
      </c>
      <c r="AK146" s="14">
        <f t="shared" si="143"/>
        <v>63.19344980490574</v>
      </c>
      <c r="AL146" s="22">
        <f t="shared" si="112"/>
        <v>566.74615307687668</v>
      </c>
      <c r="AM146" s="62">
        <f t="shared" si="113"/>
        <v>858.06796670119616</v>
      </c>
      <c r="AN146" s="62">
        <f ca="1">AVERAGE(OFFSET($AM$3,0,0,'Données projet'!$E$10+1,1))-AVERAGE(OFFSET($H$3,0,0,'Données projet'!$E$10+1,1))</f>
        <v>441.34749554136755</v>
      </c>
      <c r="AO146" s="62">
        <f t="shared" si="144"/>
        <v>236.49038586666222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0</v>
      </c>
      <c r="AV146" s="23">
        <f>EXP(-LN(2)/25)*AV145+(1-EXP(-LN(2)/25))/(LN(2)/25)*Calculateur!AQ146*Calculateur!AS146*VLOOKUP('Données projet'!$B$10,Paramètres!$A$1:$I$88,3,0)*0.475*44/12</f>
        <v>0</v>
      </c>
      <c r="AW146" s="23">
        <f>EXP(-LN(2)/2)*AW145+(1-EXP(-LN(2)/2))/(LN(2)/2)*AQ146*AT146*VLOOKUP('Données projet'!$B$10,Paramètres!$A$1:$I$88,3,0)*0.475*44/12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69.451403715723487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2.6</v>
      </c>
      <c r="BD146" s="13">
        <f>IF('Données projet'!$A$88&gt;35,BD145+BC146-BL145,IF(A146&lt;'Données projet'!$A$88,$BA$205^A146,IF(A146='Données projet'!$A$88,'Données projet'!$B$88,BD145+BC146-BL145)))</f>
        <v>289.7999999999995</v>
      </c>
      <c r="BE146" s="14">
        <f>BD146*VLOOKUP('Données projet'!$B$11,Paramètres!$A$1:$I$88,3,0)*VLOOKUP('Données projet'!$B$11,Paramètres!$A$1:$I$88,5,0)</f>
        <v>311.94071999999949</v>
      </c>
      <c r="BF146" s="14">
        <f t="shared" si="145"/>
        <v>73.673982420724542</v>
      </c>
      <c r="BG146" s="22">
        <f t="shared" si="115"/>
        <v>671.61227338276092</v>
      </c>
      <c r="BH146" s="62">
        <f t="shared" si="116"/>
        <v>962.93408700708028</v>
      </c>
      <c r="BI146" s="62">
        <f ca="1">AVERAGE(OFFSET($BH$3,0,0,'Données projet'!$E$11+1,1))-AVERAGE(OFFSET($H$3,0,0,'Données projet'!$E$11+1,1))</f>
        <v>514.86487884889584</v>
      </c>
      <c r="BJ146" s="62">
        <f t="shared" si="146"/>
        <v>272.4206208356191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projet'!$B$11,Paramètres!$A$1:$I$88,3,0)*0.475*44/12</f>
        <v>0</v>
      </c>
      <c r="BQ146" s="23">
        <f>EXP(-LN(2)/25)*BQ145+(1-EXP(-LN(2)/25))/(LN(2)/25)*Calculateur!BL146*Calculateur!BN146*VLOOKUP('Données projet'!$B$11,Paramètres!$A$1:$I$88,3,0)*0.475*44/12</f>
        <v>0</v>
      </c>
      <c r="BR146" s="23">
        <f>EXP(-LN(2)/2)*BR145+(1-EXP(-LN(2)/2))/(LN(2)/2)*BL146*BO146*VLOOKUP('Données projet'!$B$11,Paramètres!$A$1:$I$88,3,0)*0.475*44/12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69.451403715723487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-1.7053025658242404E-13</v>
      </c>
      <c r="BZ146" s="14">
        <f>BY146*VLOOKUP('Données projet'!$B$12,Paramètres!$A$1:$I$88,3,0)*VLOOKUP('Données projet'!$B$12,Paramètres!$A$1:$I$88,5,0)</f>
        <v>-1.1173142411280423E-13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270.10151451661864</v>
      </c>
      <c r="CE146" s="62">
        <f t="shared" si="148"/>
        <v>294.47934482366804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projet'!$B$12,Paramètres!$A$1:$I$88,3,0)*0.475*44/12</f>
        <v>0</v>
      </c>
      <c r="CL146" s="23">
        <f>EXP(-LN(2)/25)*CL145+(1-EXP(-LN(2)/25))/(LN(2)/25)*Calculateur!CG146*Calculateur!CI146*VLOOKUP('Données projet'!$B$12,Paramètres!$A$1:$I$88,3,0)*0.475*44/12</f>
        <v>0</v>
      </c>
      <c r="CM146" s="23">
        <f>EXP(-LN(2)/2)*CM145+(1-EXP(-LN(2)/2))/(LN(2)/2)*CG146*CJ146*VLOOKUP('Données projet'!$B$12,Paramètres!$A$1:$I$88,3,0)*0.475*44/12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69.451403715723487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-1.7053025658242404E-13</v>
      </c>
      <c r="CU146" s="18">
        <f>CT146*VLOOKUP('Données projet'!$B$13,Paramètres!$A$1:$I$88,3,0)*VLOOKUP('Données projet'!$B$13,Paramètres!$A$1:$I$88,5,0)</f>
        <v>-1.1173142411280423E-13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270.10151451661864</v>
      </c>
      <c r="CZ146" s="62">
        <f t="shared" si="150"/>
        <v>294.47934482366804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projet'!$B$13,Paramètres!$A$1:$I$88,3,0)*0.475*44/12</f>
        <v>0</v>
      </c>
      <c r="DG146" s="23">
        <f>EXP(-LN(2)/25)*DG145+(1-EXP(-LN(2)/25))/(LN(2)/25)*Calculateur!DB146*Calculateur!DD146*VLOOKUP('Données projet'!$B$13,Paramètres!$A$1:$I$88,3,0)*0.475*44/12</f>
        <v>0</v>
      </c>
      <c r="DH146" s="23">
        <f>EXP(-LN(2)/2)*DH145+(1-EXP(-LN(2)/2))/(LN(2)/2)*DB146*DE146*VLOOKUP('Données projet'!$B$13,Paramètres!$A$1:$I$88,3,0)*0.475*44/12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69.451403715723487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projet'!$B$14,Paramètres!$A$1:$I$88,3,0)*0.475*44/12</f>
        <v>#N/A</v>
      </c>
      <c r="EB146" s="23" t="e">
        <f>EXP(-LN(2)/25)*EB145+(1-EXP(-LN(2)/25))/(LN(2)/25)*Calculateur!DW146*Calculateur!DY146*VLOOKUP('Données projet'!$B$14,Paramètres!$A$1:$I$88,3,0)*0.475*44/12</f>
        <v>#N/A</v>
      </c>
      <c r="EC146" s="23" t="e">
        <f>EXP(-LN(2)/2)*EC145+(1-EXP(-LN(2)/2))/(LN(2)/2)*DW146*DZ146*VLOOKUP('Données projet'!$B$14,Paramètres!$A$1:$I$88,3,0)*0.475*44/12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69.451403715723487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69.451403715723487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69.451403715723487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69.451403715723487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1.34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4.9133333333333331</v>
      </c>
      <c r="H147" s="70">
        <f t="shared" si="110"/>
        <v>237.01333333333332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69.460920634778134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2.6</v>
      </c>
      <c r="N147" s="14">
        <f>IF('Données projet'!$A$36&gt;35,N146+M147-V146,IF(A147&lt;'Données projet'!$A$36,$K$205^A147,IF(A147='Données projet'!$A$36,'Données projet'!$B$36,N146+M147-V146)))</f>
        <v>292.39999999999952</v>
      </c>
      <c r="O147" s="14">
        <f>N147*VLOOKUP('Données projet'!$B$9,Paramètres!$A$1:$I$88,3,0)*VLOOKUP('Données projet'!$B$9,Paramètres!$A$1:$I$88,5,0)</f>
        <v>296.4935999999995</v>
      </c>
      <c r="P147" s="14">
        <f t="shared" si="141"/>
        <v>70.440885135597512</v>
      </c>
      <c r="Q147" s="22">
        <f t="shared" si="108"/>
        <v>639.07756161116481</v>
      </c>
      <c r="R147" s="62">
        <f t="shared" si="109"/>
        <v>930.43427060535123</v>
      </c>
      <c r="S147" s="62">
        <f ca="1">AVERAGE(OFFSET($R$3,0,0,'Données projet'!$E$9+1,1))-AVERAGE(OFFSET($H$3,0,0,'Données projet'!$E$9+1,1))</f>
        <v>488.16146816015231</v>
      </c>
      <c r="T147" s="62">
        <f t="shared" si="142"/>
        <v>259.37115195552127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0</v>
      </c>
      <c r="AA147" s="23">
        <f>EXP(-LN(2)/25)*AA146+(1-EXP(-LN(2)/25))/(LN(2)/25)*Calculateur!V147*Calculateur!X147*VLOOKUP('Données projet'!$B$9,Paramètres!$A$1:$I$88,3,0)*0.475*44/12</f>
        <v>0</v>
      </c>
      <c r="AB147" s="23">
        <f>EXP(-LN(2)/2)*AB146+(1-EXP(-LN(2)/2))/(LN(2)/2)*V147*Y147*VLOOKUP('Données projet'!$B$9,Paramètres!$A$1:$I$88,3,0)*0.475*44/12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69.460920634778134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2.6</v>
      </c>
      <c r="AI147" s="14">
        <f>IF('Données projet'!$A$62&gt;35,AI146+AH147-AQ146,IF(A147&lt;'Données projet'!$A$62,$AF$205^A147,IF(A147='Données projet'!$A$62,'Données projet'!$B$62,AI146+AH147-AQ146)))</f>
        <v>292.39999999999952</v>
      </c>
      <c r="AJ147" s="14">
        <f>AI147*VLOOKUP('Données projet'!$B$10,Paramètres!$A$1:$I$88,3,0)*VLOOKUP('Données projet'!$B$10,Paramètres!$A$1:$I$88,5,0)</f>
        <v>264.56351999999953</v>
      </c>
      <c r="AK147" s="14">
        <f t="shared" si="143"/>
        <v>63.694148737013748</v>
      </c>
      <c r="AL147" s="22">
        <f t="shared" si="112"/>
        <v>571.71543971696474</v>
      </c>
      <c r="AM147" s="62">
        <f t="shared" si="113"/>
        <v>863.07214871115116</v>
      </c>
      <c r="AN147" s="62">
        <f ca="1">AVERAGE(OFFSET($AM$3,0,0,'Données projet'!$E$10+1,1))-AVERAGE(OFFSET($H$3,0,0,'Données projet'!$E$10+1,1))</f>
        <v>441.34749554136755</v>
      </c>
      <c r="AO147" s="62">
        <f t="shared" si="144"/>
        <v>236.49038586666222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0</v>
      </c>
      <c r="AV147" s="23">
        <f>EXP(-LN(2)/25)*AV146+(1-EXP(-LN(2)/25))/(LN(2)/25)*Calculateur!AQ147*Calculateur!AS147*VLOOKUP('Données projet'!$B$10,Paramètres!$A$1:$I$88,3,0)*0.475*44/12</f>
        <v>0</v>
      </c>
      <c r="AW147" s="23">
        <f>EXP(-LN(2)/2)*AW146+(1-EXP(-LN(2)/2))/(LN(2)/2)*AQ147*AT147*VLOOKUP('Données projet'!$B$10,Paramètres!$A$1:$I$88,3,0)*0.475*44/12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69.460920634778134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2.6</v>
      </c>
      <c r="BD147" s="13">
        <f>IF('Données projet'!$A$88&gt;35,BD146+BC147-BL146,IF(A147&lt;'Données projet'!$A$88,$BA$205^A147,IF(A147='Données projet'!$A$88,'Données projet'!$B$88,BD146+BC147-BL146)))</f>
        <v>292.39999999999952</v>
      </c>
      <c r="BE147" s="14">
        <f>BD147*VLOOKUP('Données projet'!$B$11,Paramètres!$A$1:$I$88,3,0)*VLOOKUP('Données projet'!$B$11,Paramètres!$A$1:$I$88,5,0)</f>
        <v>314.73935999999946</v>
      </c>
      <c r="BF147" s="14">
        <f t="shared" si="145"/>
        <v>74.257721470200096</v>
      </c>
      <c r="BG147" s="22">
        <f t="shared" si="115"/>
        <v>677.50325022726418</v>
      </c>
      <c r="BH147" s="62">
        <f t="shared" si="116"/>
        <v>968.85995922145071</v>
      </c>
      <c r="BI147" s="62">
        <f ca="1">AVERAGE(OFFSET($BH$3,0,0,'Données projet'!$E$11+1,1))-AVERAGE(OFFSET($H$3,0,0,'Données projet'!$E$11+1,1))</f>
        <v>514.86487884889584</v>
      </c>
      <c r="BJ147" s="62">
        <f t="shared" si="146"/>
        <v>272.4206208356191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projet'!$B$11,Paramètres!$A$1:$I$88,3,0)*0.475*44/12</f>
        <v>0</v>
      </c>
      <c r="BQ147" s="23">
        <f>EXP(-LN(2)/25)*BQ146+(1-EXP(-LN(2)/25))/(LN(2)/25)*Calculateur!BL147*Calculateur!BN147*VLOOKUP('Données projet'!$B$11,Paramètres!$A$1:$I$88,3,0)*0.475*44/12</f>
        <v>0</v>
      </c>
      <c r="BR147" s="23">
        <f>EXP(-LN(2)/2)*BR146+(1-EXP(-LN(2)/2))/(LN(2)/2)*BL147*BO147*VLOOKUP('Données projet'!$B$11,Paramètres!$A$1:$I$88,3,0)*0.475*44/12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69.460920634778134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-1.7053025658242404E-13</v>
      </c>
      <c r="BZ147" s="14">
        <f>BY147*VLOOKUP('Données projet'!$B$12,Paramètres!$A$1:$I$88,3,0)*VLOOKUP('Données projet'!$B$12,Paramètres!$A$1:$I$88,5,0)</f>
        <v>-1.1173142411280423E-13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270.10151451661864</v>
      </c>
      <c r="CE147" s="62">
        <f t="shared" si="148"/>
        <v>294.47934482366804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projet'!$B$12,Paramètres!$A$1:$I$88,3,0)*0.475*44/12</f>
        <v>0</v>
      </c>
      <c r="CL147" s="23">
        <f>EXP(-LN(2)/25)*CL146+(1-EXP(-LN(2)/25))/(LN(2)/25)*Calculateur!CG147*Calculateur!CI147*VLOOKUP('Données projet'!$B$12,Paramètres!$A$1:$I$88,3,0)*0.475*44/12</f>
        <v>0</v>
      </c>
      <c r="CM147" s="23">
        <f>EXP(-LN(2)/2)*CM146+(1-EXP(-LN(2)/2))/(LN(2)/2)*CG147*CJ147*VLOOKUP('Données projet'!$B$12,Paramètres!$A$1:$I$88,3,0)*0.475*44/12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69.460920634778134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-1.7053025658242404E-13</v>
      </c>
      <c r="CU147" s="18">
        <f>CT147*VLOOKUP('Données projet'!$B$13,Paramètres!$A$1:$I$88,3,0)*VLOOKUP('Données projet'!$B$13,Paramètres!$A$1:$I$88,5,0)</f>
        <v>-1.1173142411280423E-13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270.10151451661864</v>
      </c>
      <c r="CZ147" s="62">
        <f t="shared" si="150"/>
        <v>294.47934482366804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projet'!$B$13,Paramètres!$A$1:$I$88,3,0)*0.475*44/12</f>
        <v>0</v>
      </c>
      <c r="DG147" s="23">
        <f>EXP(-LN(2)/25)*DG146+(1-EXP(-LN(2)/25))/(LN(2)/25)*Calculateur!DB147*Calculateur!DD147*VLOOKUP('Données projet'!$B$13,Paramètres!$A$1:$I$88,3,0)*0.475*44/12</f>
        <v>0</v>
      </c>
      <c r="DH147" s="23">
        <f>EXP(-LN(2)/2)*DH146+(1-EXP(-LN(2)/2))/(LN(2)/2)*DB147*DE147*VLOOKUP('Données projet'!$B$13,Paramètres!$A$1:$I$88,3,0)*0.475*44/12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69.460920634778134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projet'!$B$14,Paramètres!$A$1:$I$88,3,0)*0.475*44/12</f>
        <v>#N/A</v>
      </c>
      <c r="EB147" s="23" t="e">
        <f>EXP(-LN(2)/25)*EB146+(1-EXP(-LN(2)/25))/(LN(2)/25)*Calculateur!DW147*Calculateur!DY147*VLOOKUP('Données projet'!$B$14,Paramètres!$A$1:$I$88,3,0)*0.475*44/12</f>
        <v>#N/A</v>
      </c>
      <c r="EC147" s="23" t="e">
        <f>EXP(-LN(2)/2)*EC146+(1-EXP(-LN(2)/2))/(LN(2)/2)*DW147*DZ147*VLOOKUP('Données projet'!$B$14,Paramètres!$A$1:$I$88,3,0)*0.475*44/12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69.460920634778134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69.460920634778134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69.460920634778134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69.460920634778134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1.34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4.9133333333333331</v>
      </c>
      <c r="H148" s="70">
        <f t="shared" si="110"/>
        <v>237.01333333333332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69.470272456563833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>
        <f>VLOOKUP(A148,'Données projet'!$A$35:$I$55,2,0)</f>
        <v>295</v>
      </c>
      <c r="L148" s="13">
        <f>VLOOKUP(A148,'Données projet'!$A$35:$I$55,9,0)</f>
        <v>2.6</v>
      </c>
      <c r="M148" s="13">
        <f t="array" ref="M148">INDEX(L:L,MIN(IF(ISNUMBER(L148:L344),ROW(L148:L344),"")))</f>
        <v>2.6</v>
      </c>
      <c r="N148" s="14">
        <f>IF('Données projet'!$A$36&gt;35,N147+M148-V147,IF(A148&lt;'Données projet'!$A$36,$K$205^A148,IF(A148='Données projet'!$A$36,'Données projet'!$B$36,N147+M148-V147)))</f>
        <v>294.99999999999955</v>
      </c>
      <c r="O148" s="14">
        <f>N148*VLOOKUP('Données projet'!$B$9,Paramètres!$A$1:$I$88,3,0)*VLOOKUP('Données projet'!$B$9,Paramètres!$A$1:$I$88,5,0)</f>
        <v>299.12999999999954</v>
      </c>
      <c r="P148" s="14">
        <f t="shared" si="141"/>
        <v>70.994047242337146</v>
      </c>
      <c r="Q148" s="22">
        <f t="shared" si="108"/>
        <v>644.63271561373642</v>
      </c>
      <c r="R148" s="62">
        <f t="shared" si="109"/>
        <v>936.02371462113706</v>
      </c>
      <c r="S148" s="62">
        <f ca="1">AVERAGE(OFFSET($R$3,0,0,'Données projet'!$E$9+1,1))-AVERAGE(OFFSET($H$3,0,0,'Données projet'!$E$9+1,1))</f>
        <v>488.16146816015231</v>
      </c>
      <c r="T148" s="62">
        <f t="shared" si="142"/>
        <v>259.37115195552127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0</v>
      </c>
      <c r="AA148" s="23">
        <f>EXP(-LN(2)/25)*AA147+(1-EXP(-LN(2)/25))/(LN(2)/25)*Calculateur!V148*Calculateur!X148*VLOOKUP('Données projet'!$B$9,Paramètres!$A$1:$I$88,3,0)*0.475*44/12</f>
        <v>0</v>
      </c>
      <c r="AB148" s="23">
        <f>EXP(-LN(2)/2)*AB147+(1-EXP(-LN(2)/2))/(LN(2)/2)*V148*Y148*VLOOKUP('Données projet'!$B$9,Paramètres!$A$1:$I$88,3,0)*0.475*44/12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69.470272456563833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>
        <f>VLOOKUP(A148,'Données projet'!$A$61:$I$81,2,0)</f>
        <v>295</v>
      </c>
      <c r="AG148" s="13">
        <f>VLOOKUP(A148,'Données projet'!$A$61:$I$81,9,0)</f>
        <v>2.6</v>
      </c>
      <c r="AH148" s="13">
        <f t="array" ref="AH148">INDEX(AG:AG,MIN(IF(ISNUMBER(AG148:AG344),ROW(AG148:AG344),"")))</f>
        <v>2.6</v>
      </c>
      <c r="AI148" s="14">
        <f>IF('Données projet'!$A$62&gt;35,AI147+AH148-AQ147,IF(A148&lt;'Données projet'!$A$62,$AF$205^A148,IF(A148='Données projet'!$A$62,'Données projet'!$B$62,AI147+AH148-AQ147)))</f>
        <v>294.99999999999955</v>
      </c>
      <c r="AJ148" s="14">
        <f>AI148*VLOOKUP('Données projet'!$B$10,Paramètres!$A$1:$I$88,3,0)*VLOOKUP('Données projet'!$B$10,Paramètres!$A$1:$I$88,5,0)</f>
        <v>266.9159999999996</v>
      </c>
      <c r="AK148" s="14">
        <f t="shared" si="143"/>
        <v>64.194329696332062</v>
      </c>
      <c r="AL148" s="22">
        <f t="shared" si="112"/>
        <v>576.68382422111085</v>
      </c>
      <c r="AM148" s="62">
        <f t="shared" si="113"/>
        <v>868.0748232285116</v>
      </c>
      <c r="AN148" s="62">
        <f ca="1">AVERAGE(OFFSET($AM$3,0,0,'Données projet'!$E$10+1,1))-AVERAGE(OFFSET($H$3,0,0,'Données projet'!$E$10+1,1))</f>
        <v>441.34749554136755</v>
      </c>
      <c r="AO148" s="62">
        <f t="shared" si="144"/>
        <v>236.49038586666222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0</v>
      </c>
      <c r="AV148" s="23">
        <f>EXP(-LN(2)/25)*AV147+(1-EXP(-LN(2)/25))/(LN(2)/25)*Calculateur!AQ148*Calculateur!AS148*VLOOKUP('Données projet'!$B$10,Paramètres!$A$1:$I$88,3,0)*0.475*44/12</f>
        <v>0</v>
      </c>
      <c r="AW148" s="23">
        <f>EXP(-LN(2)/2)*AW147+(1-EXP(-LN(2)/2))/(LN(2)/2)*AQ148*AT148*VLOOKUP('Données projet'!$B$10,Paramètres!$A$1:$I$88,3,0)*0.475*44/12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69.470272456563833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>
        <f>VLOOKUP(A148,'Données projet'!$A$87:$I$107,2,0)</f>
        <v>295</v>
      </c>
      <c r="BB148" s="13">
        <f>VLOOKUP(A148,'Données projet'!$A$87:$I$107,9,0)</f>
        <v>2.6</v>
      </c>
      <c r="BC148" s="13">
        <f t="array" ref="BC148">INDEX(BB:BB,MIN(IF(ISNUMBER(BB148:BB344),ROW(BB148:BB344),"")))</f>
        <v>2.6</v>
      </c>
      <c r="BD148" s="13">
        <f>IF('Données projet'!$A$88&gt;35,BD147+BC148-BL147,IF(A148&lt;'Données projet'!$A$88,$BA$205^A148,IF(A148='Données projet'!$A$88,'Données projet'!$B$88,BD147+BC148-BL147)))</f>
        <v>294.99999999999955</v>
      </c>
      <c r="BE148" s="14">
        <f>BD148*VLOOKUP('Données projet'!$B$11,Paramètres!$A$1:$I$88,3,0)*VLOOKUP('Données projet'!$B$11,Paramètres!$A$1:$I$88,5,0)</f>
        <v>317.5379999999995</v>
      </c>
      <c r="BF148" s="14">
        <f t="shared" si="145"/>
        <v>74.84085664192699</v>
      </c>
      <c r="BG148" s="22">
        <f t="shared" si="115"/>
        <v>683.39317531802192</v>
      </c>
      <c r="BH148" s="62">
        <f t="shared" si="116"/>
        <v>974.78417432542255</v>
      </c>
      <c r="BI148" s="62">
        <f ca="1">AVERAGE(OFFSET($BH$3,0,0,'Données projet'!$E$11+1,1))-AVERAGE(OFFSET($H$3,0,0,'Données projet'!$E$11+1,1))</f>
        <v>514.86487884889584</v>
      </c>
      <c r="BJ148" s="62">
        <f t="shared" si="146"/>
        <v>272.4206208356191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projet'!$B$11,Paramètres!$A$1:$I$88,3,0)*0.475*44/12</f>
        <v>0</v>
      </c>
      <c r="BQ148" s="23">
        <f>EXP(-LN(2)/25)*BQ147+(1-EXP(-LN(2)/25))/(LN(2)/25)*Calculateur!BL148*Calculateur!BN148*VLOOKUP('Données projet'!$B$11,Paramètres!$A$1:$I$88,3,0)*0.475*44/12</f>
        <v>0</v>
      </c>
      <c r="BR148" s="23">
        <f>EXP(-LN(2)/2)*BR147+(1-EXP(-LN(2)/2))/(LN(2)/2)*BL148*BO148*VLOOKUP('Données projet'!$B$11,Paramètres!$A$1:$I$88,3,0)*0.475*44/12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69.470272456563833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-1.7053025658242404E-13</v>
      </c>
      <c r="BZ148" s="14">
        <f>BY148*VLOOKUP('Données projet'!$B$12,Paramètres!$A$1:$I$88,3,0)*VLOOKUP('Données projet'!$B$12,Paramètres!$A$1:$I$88,5,0)</f>
        <v>-1.1173142411280423E-13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270.10151451661864</v>
      </c>
      <c r="CE148" s="62">
        <f t="shared" si="148"/>
        <v>294.47934482366804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projet'!$B$12,Paramètres!$A$1:$I$88,3,0)*0.475*44/12</f>
        <v>0</v>
      </c>
      <c r="CL148" s="23">
        <f>EXP(-LN(2)/25)*CL147+(1-EXP(-LN(2)/25))/(LN(2)/25)*Calculateur!CG148*Calculateur!CI148*VLOOKUP('Données projet'!$B$12,Paramètres!$A$1:$I$88,3,0)*0.475*44/12</f>
        <v>0</v>
      </c>
      <c r="CM148" s="23">
        <f>EXP(-LN(2)/2)*CM147+(1-EXP(-LN(2)/2))/(LN(2)/2)*CG148*CJ148*VLOOKUP('Données projet'!$B$12,Paramètres!$A$1:$I$88,3,0)*0.475*44/12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69.470272456563833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-1.7053025658242404E-13</v>
      </c>
      <c r="CU148" s="18">
        <f>CT148*VLOOKUP('Données projet'!$B$13,Paramètres!$A$1:$I$88,3,0)*VLOOKUP('Données projet'!$B$13,Paramètres!$A$1:$I$88,5,0)</f>
        <v>-1.1173142411280423E-13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270.10151451661864</v>
      </c>
      <c r="CZ148" s="62">
        <f t="shared" si="150"/>
        <v>294.47934482366804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projet'!$B$13,Paramètres!$A$1:$I$88,3,0)*0.475*44/12</f>
        <v>0</v>
      </c>
      <c r="DG148" s="23">
        <f>EXP(-LN(2)/25)*DG147+(1-EXP(-LN(2)/25))/(LN(2)/25)*Calculateur!DB148*Calculateur!DD148*VLOOKUP('Données projet'!$B$13,Paramètres!$A$1:$I$88,3,0)*0.475*44/12</f>
        <v>0</v>
      </c>
      <c r="DH148" s="23">
        <f>EXP(-LN(2)/2)*DH147+(1-EXP(-LN(2)/2))/(LN(2)/2)*DB148*DE148*VLOOKUP('Données projet'!$B$13,Paramètres!$A$1:$I$88,3,0)*0.475*44/12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69.470272456563833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projet'!$B$14,Paramètres!$A$1:$I$88,3,0)*0.475*44/12</f>
        <v>#N/A</v>
      </c>
      <c r="EB148" s="23" t="e">
        <f>EXP(-LN(2)/25)*EB147+(1-EXP(-LN(2)/25))/(LN(2)/25)*Calculateur!DW148*Calculateur!DY148*VLOOKUP('Données projet'!$B$14,Paramètres!$A$1:$I$88,3,0)*0.475*44/12</f>
        <v>#N/A</v>
      </c>
      <c r="EC148" s="23" t="e">
        <f>EXP(-LN(2)/2)*EC147+(1-EXP(-LN(2)/2))/(LN(2)/2)*DW148*DZ148*VLOOKUP('Données projet'!$B$14,Paramètres!$A$1:$I$88,3,0)*0.475*44/12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69.470272456563833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69.470272456563833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69.470272456563833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69.470272456563833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1.34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4.9133333333333331</v>
      </c>
      <c r="H149" s="70">
        <f t="shared" si="110"/>
        <v>237.01333333333332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69.479462045149077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2.2000000000000002</v>
      </c>
      <c r="N149" s="14">
        <f>IF('Données projet'!$A$36&gt;35,N148+M149-V148,IF(A149&lt;'Données projet'!$A$36,$K$205^A149,IF(A149='Données projet'!$A$36,'Données projet'!$B$36,N148+M149-V148)))</f>
        <v>297.19999999999953</v>
      </c>
      <c r="O149" s="14">
        <f>N149*VLOOKUP('Données projet'!$B$9,Paramètres!$A$1:$I$88,3,0)*VLOOKUP('Données projet'!$B$9,Paramètres!$A$1:$I$88,5,0)</f>
        <v>301.36079999999953</v>
      </c>
      <c r="P149" s="14">
        <f t="shared" si="141"/>
        <v>71.461664239932929</v>
      </c>
      <c r="Q149" s="22">
        <f t="shared" si="108"/>
        <v>649.33245855121572</v>
      </c>
      <c r="R149" s="62">
        <f t="shared" si="109"/>
        <v>940.75715271676233</v>
      </c>
      <c r="S149" s="62">
        <f ca="1">AVERAGE(OFFSET($R$3,0,0,'Données projet'!$E$9+1,1))-AVERAGE(OFFSET($H$3,0,0,'Données projet'!$E$9+1,1))</f>
        <v>488.16146816015231</v>
      </c>
      <c r="T149" s="62">
        <f t="shared" si="142"/>
        <v>259.37115195552127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0</v>
      </c>
      <c r="AA149" s="23">
        <f>EXP(-LN(2)/25)*AA148+(1-EXP(-LN(2)/25))/(LN(2)/25)*Calculateur!V149*Calculateur!X149*VLOOKUP('Données projet'!$B$9,Paramètres!$A$1:$I$88,3,0)*0.475*44/12</f>
        <v>0</v>
      </c>
      <c r="AB149" s="23">
        <f>EXP(-LN(2)/2)*AB148+(1-EXP(-LN(2)/2))/(LN(2)/2)*V149*Y149*VLOOKUP('Données projet'!$B$9,Paramètres!$A$1:$I$88,3,0)*0.475*44/12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69.479462045149077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2.2000000000000002</v>
      </c>
      <c r="AI149" s="14">
        <f>IF('Données projet'!$A$62&gt;35,AI148+AH149-AQ148,IF(A149&lt;'Données projet'!$A$62,$AF$205^A149,IF(A149='Données projet'!$A$62,'Données projet'!$B$62,AI148+AH149-AQ148)))</f>
        <v>297.19999999999953</v>
      </c>
      <c r="AJ149" s="14">
        <f>AI149*VLOOKUP('Données projet'!$B$10,Paramètres!$A$1:$I$88,3,0)*VLOOKUP('Données projet'!$B$10,Paramètres!$A$1:$I$88,5,0)</f>
        <v>268.90655999999956</v>
      </c>
      <c r="AK149" s="14">
        <f t="shared" si="143"/>
        <v>64.617158945843656</v>
      </c>
      <c r="AL149" s="22">
        <f t="shared" si="112"/>
        <v>580.88714383067679</v>
      </c>
      <c r="AM149" s="62">
        <f t="shared" si="113"/>
        <v>872.3118379962234</v>
      </c>
      <c r="AN149" s="62">
        <f ca="1">AVERAGE(OFFSET($AM$3,0,0,'Données projet'!$E$10+1,1))-AVERAGE(OFFSET($H$3,0,0,'Données projet'!$E$10+1,1))</f>
        <v>441.34749554136755</v>
      </c>
      <c r="AO149" s="62">
        <f t="shared" si="144"/>
        <v>236.49038586666222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0</v>
      </c>
      <c r="AV149" s="23">
        <f>EXP(-LN(2)/25)*AV148+(1-EXP(-LN(2)/25))/(LN(2)/25)*Calculateur!AQ149*Calculateur!AS149*VLOOKUP('Données projet'!$B$10,Paramètres!$A$1:$I$88,3,0)*0.475*44/12</f>
        <v>0</v>
      </c>
      <c r="AW149" s="23">
        <f>EXP(-LN(2)/2)*AW148+(1-EXP(-LN(2)/2))/(LN(2)/2)*AQ149*AT149*VLOOKUP('Données projet'!$B$10,Paramètres!$A$1:$I$88,3,0)*0.475*44/12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69.479462045149077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2.2000000000000002</v>
      </c>
      <c r="BD149" s="13">
        <f>IF('Données projet'!$A$88&gt;35,BD148+BC149-BL148,IF(A149&lt;'Données projet'!$A$88,$BA$205^A149,IF(A149='Données projet'!$A$88,'Données projet'!$B$88,BD148+BC149-BL148)))</f>
        <v>297.19999999999953</v>
      </c>
      <c r="BE149" s="14">
        <f>BD149*VLOOKUP('Données projet'!$B$11,Paramètres!$A$1:$I$88,3,0)*VLOOKUP('Données projet'!$B$11,Paramètres!$A$1:$I$88,5,0)</f>
        <v>319.90607999999952</v>
      </c>
      <c r="BF149" s="14">
        <f t="shared" si="145"/>
        <v>75.333811446446475</v>
      </c>
      <c r="BG149" s="22">
        <f t="shared" si="115"/>
        <v>688.37614426922676</v>
      </c>
      <c r="BH149" s="62">
        <f t="shared" si="116"/>
        <v>979.80083843477337</v>
      </c>
      <c r="BI149" s="62">
        <f ca="1">AVERAGE(OFFSET($BH$3,0,0,'Données projet'!$E$11+1,1))-AVERAGE(OFFSET($H$3,0,0,'Données projet'!$E$11+1,1))</f>
        <v>514.86487884889584</v>
      </c>
      <c r="BJ149" s="62">
        <f t="shared" si="146"/>
        <v>272.4206208356191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projet'!$B$11,Paramètres!$A$1:$I$88,3,0)*0.475*44/12</f>
        <v>0</v>
      </c>
      <c r="BQ149" s="23">
        <f>EXP(-LN(2)/25)*BQ148+(1-EXP(-LN(2)/25))/(LN(2)/25)*Calculateur!BL149*Calculateur!BN149*VLOOKUP('Données projet'!$B$11,Paramètres!$A$1:$I$88,3,0)*0.475*44/12</f>
        <v>0</v>
      </c>
      <c r="BR149" s="23">
        <f>EXP(-LN(2)/2)*BR148+(1-EXP(-LN(2)/2))/(LN(2)/2)*BL149*BO149*VLOOKUP('Données projet'!$B$11,Paramètres!$A$1:$I$88,3,0)*0.475*44/12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69.479462045149077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-1.7053025658242404E-13</v>
      </c>
      <c r="BZ149" s="14">
        <f>BY149*VLOOKUP('Données projet'!$B$12,Paramètres!$A$1:$I$88,3,0)*VLOOKUP('Données projet'!$B$12,Paramètres!$A$1:$I$88,5,0)</f>
        <v>-1.1173142411280423E-13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270.10151451661864</v>
      </c>
      <c r="CE149" s="62">
        <f t="shared" si="148"/>
        <v>294.47934482366804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projet'!$B$12,Paramètres!$A$1:$I$88,3,0)*0.475*44/12</f>
        <v>0</v>
      </c>
      <c r="CL149" s="23">
        <f>EXP(-LN(2)/25)*CL148+(1-EXP(-LN(2)/25))/(LN(2)/25)*Calculateur!CG149*Calculateur!CI149*VLOOKUP('Données projet'!$B$12,Paramètres!$A$1:$I$88,3,0)*0.475*44/12</f>
        <v>0</v>
      </c>
      <c r="CM149" s="23">
        <f>EXP(-LN(2)/2)*CM148+(1-EXP(-LN(2)/2))/(LN(2)/2)*CG149*CJ149*VLOOKUP('Données projet'!$B$12,Paramètres!$A$1:$I$88,3,0)*0.475*44/12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69.479462045149077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-1.7053025658242404E-13</v>
      </c>
      <c r="CU149" s="18">
        <f>CT149*VLOOKUP('Données projet'!$B$13,Paramètres!$A$1:$I$88,3,0)*VLOOKUP('Données projet'!$B$13,Paramètres!$A$1:$I$88,5,0)</f>
        <v>-1.1173142411280423E-13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270.10151451661864</v>
      </c>
      <c r="CZ149" s="62">
        <f t="shared" si="150"/>
        <v>294.47934482366804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projet'!$B$13,Paramètres!$A$1:$I$88,3,0)*0.475*44/12</f>
        <v>0</v>
      </c>
      <c r="DG149" s="23">
        <f>EXP(-LN(2)/25)*DG148+(1-EXP(-LN(2)/25))/(LN(2)/25)*Calculateur!DB149*Calculateur!DD149*VLOOKUP('Données projet'!$B$13,Paramètres!$A$1:$I$88,3,0)*0.475*44/12</f>
        <v>0</v>
      </c>
      <c r="DH149" s="23">
        <f>EXP(-LN(2)/2)*DH148+(1-EXP(-LN(2)/2))/(LN(2)/2)*DB149*DE149*VLOOKUP('Données projet'!$B$13,Paramètres!$A$1:$I$88,3,0)*0.475*44/12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69.479462045149077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projet'!$B$14,Paramètres!$A$1:$I$88,3,0)*0.475*44/12</f>
        <v>#N/A</v>
      </c>
      <c r="EB149" s="23" t="e">
        <f>EXP(-LN(2)/25)*EB148+(1-EXP(-LN(2)/25))/(LN(2)/25)*Calculateur!DW149*Calculateur!DY149*VLOOKUP('Données projet'!$B$14,Paramètres!$A$1:$I$88,3,0)*0.475*44/12</f>
        <v>#N/A</v>
      </c>
      <c r="EC149" s="23" t="e">
        <f>EXP(-LN(2)/2)*EC148+(1-EXP(-LN(2)/2))/(LN(2)/2)*DW149*DZ149*VLOOKUP('Données projet'!$B$14,Paramètres!$A$1:$I$88,3,0)*0.475*44/12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69.479462045149077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69.479462045149077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69.479462045149077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69.479462045149077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1.34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4.9133333333333331</v>
      </c>
      <c r="H150" s="70">
        <f t="shared" si="110"/>
        <v>237.01333333333332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69.488492214917216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2.2000000000000002</v>
      </c>
      <c r="N150" s="14">
        <f>IF('Données projet'!$A$36&gt;35,N149+M150-V149,IF(A150&lt;'Données projet'!$A$36,$K$205^A150,IF(A150='Données projet'!$A$36,'Données projet'!$B$36,N149+M150-V149)))</f>
        <v>299.39999999999952</v>
      </c>
      <c r="O150" s="14">
        <f>N150*VLOOKUP('Données projet'!$B$9,Paramètres!$A$1:$I$88,3,0)*VLOOKUP('Données projet'!$B$9,Paramètres!$A$1:$I$88,5,0)</f>
        <v>303.59159999999952</v>
      </c>
      <c r="P150" s="14">
        <f t="shared" si="141"/>
        <v>71.928878488732622</v>
      </c>
      <c r="Q150" s="22">
        <f t="shared" si="108"/>
        <v>654.03150003454175</v>
      </c>
      <c r="R150" s="62">
        <f t="shared" si="109"/>
        <v>945.48930482257151</v>
      </c>
      <c r="S150" s="62">
        <f ca="1">AVERAGE(OFFSET($R$3,0,0,'Données projet'!$E$9+1,1))-AVERAGE(OFFSET($H$3,0,0,'Données projet'!$E$9+1,1))</f>
        <v>488.16146816015231</v>
      </c>
      <c r="T150" s="62">
        <f t="shared" si="142"/>
        <v>259.37115195552127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0</v>
      </c>
      <c r="AA150" s="23">
        <f>EXP(-LN(2)/25)*AA149+(1-EXP(-LN(2)/25))/(LN(2)/25)*Calculateur!V150*Calculateur!X150*VLOOKUP('Données projet'!$B$9,Paramètres!$A$1:$I$88,3,0)*0.475*44/12</f>
        <v>0</v>
      </c>
      <c r="AB150" s="23">
        <f>EXP(-LN(2)/2)*AB149+(1-EXP(-LN(2)/2))/(LN(2)/2)*V150*Y150*VLOOKUP('Données projet'!$B$9,Paramètres!$A$1:$I$88,3,0)*0.475*44/12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69.488492214917216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2.2000000000000002</v>
      </c>
      <c r="AI150" s="14">
        <f>IF('Données projet'!$A$62&gt;35,AI149+AH150-AQ149,IF(A150&lt;'Données projet'!$A$62,$AF$205^A150,IF(A150='Données projet'!$A$62,'Données projet'!$B$62,AI149+AH150-AQ149)))</f>
        <v>299.39999999999952</v>
      </c>
      <c r="AJ150" s="14">
        <f>AI150*VLOOKUP('Données projet'!$B$10,Paramètres!$A$1:$I$88,3,0)*VLOOKUP('Données projet'!$B$10,Paramètres!$A$1:$I$88,5,0)</f>
        <v>270.89711999999952</v>
      </c>
      <c r="AK150" s="14">
        <f t="shared" si="143"/>
        <v>65.039624021315362</v>
      </c>
      <c r="AL150" s="22">
        <f t="shared" si="112"/>
        <v>585.08982917045671</v>
      </c>
      <c r="AM150" s="62">
        <f t="shared" si="113"/>
        <v>876.54763395848659</v>
      </c>
      <c r="AN150" s="62">
        <f ca="1">AVERAGE(OFFSET($AM$3,0,0,'Données projet'!$E$10+1,1))-AVERAGE(OFFSET($H$3,0,0,'Données projet'!$E$10+1,1))</f>
        <v>441.34749554136755</v>
      </c>
      <c r="AO150" s="62">
        <f t="shared" si="144"/>
        <v>236.49038586666222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0</v>
      </c>
      <c r="AV150" s="23">
        <f>EXP(-LN(2)/25)*AV149+(1-EXP(-LN(2)/25))/(LN(2)/25)*Calculateur!AQ150*Calculateur!AS150*VLOOKUP('Données projet'!$B$10,Paramètres!$A$1:$I$88,3,0)*0.475*44/12</f>
        <v>0</v>
      </c>
      <c r="AW150" s="23">
        <f>EXP(-LN(2)/2)*AW149+(1-EXP(-LN(2)/2))/(LN(2)/2)*AQ150*AT150*VLOOKUP('Données projet'!$B$10,Paramètres!$A$1:$I$88,3,0)*0.475*44/12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69.488492214917216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2.2000000000000002</v>
      </c>
      <c r="BD150" s="13">
        <f>IF('Données projet'!$A$88&gt;35,BD149+BC150-BL149,IF(A150&lt;'Données projet'!$A$88,$BA$205^A150,IF(A150='Données projet'!$A$88,'Données projet'!$B$88,BD149+BC150-BL149)))</f>
        <v>299.39999999999952</v>
      </c>
      <c r="BE150" s="14">
        <f>BD150*VLOOKUP('Données projet'!$B$11,Paramètres!$A$1:$I$88,3,0)*VLOOKUP('Données projet'!$B$11,Paramètres!$A$1:$I$88,5,0)</f>
        <v>322.27415999999943</v>
      </c>
      <c r="BF150" s="14">
        <f t="shared" si="145"/>
        <v>75.826341679243669</v>
      </c>
      <c r="BG150" s="22">
        <f t="shared" si="115"/>
        <v>693.35837375801509</v>
      </c>
      <c r="BH150" s="62">
        <f t="shared" si="116"/>
        <v>984.81617854604497</v>
      </c>
      <c r="BI150" s="62">
        <f ca="1">AVERAGE(OFFSET($BH$3,0,0,'Données projet'!$E$11+1,1))-AVERAGE(OFFSET($H$3,0,0,'Données projet'!$E$11+1,1))</f>
        <v>514.86487884889584</v>
      </c>
      <c r="BJ150" s="62">
        <f t="shared" si="146"/>
        <v>272.4206208356191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projet'!$B$11,Paramètres!$A$1:$I$88,3,0)*0.475*44/12</f>
        <v>0</v>
      </c>
      <c r="BQ150" s="23">
        <f>EXP(-LN(2)/25)*BQ149+(1-EXP(-LN(2)/25))/(LN(2)/25)*Calculateur!BL150*Calculateur!BN150*VLOOKUP('Données projet'!$B$11,Paramètres!$A$1:$I$88,3,0)*0.475*44/12</f>
        <v>0</v>
      </c>
      <c r="BR150" s="23">
        <f>EXP(-LN(2)/2)*BR149+(1-EXP(-LN(2)/2))/(LN(2)/2)*BL150*BO150*VLOOKUP('Données projet'!$B$11,Paramètres!$A$1:$I$88,3,0)*0.475*44/12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69.488492214917216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-1.7053025658242404E-13</v>
      </c>
      <c r="BZ150" s="14">
        <f>BY150*VLOOKUP('Données projet'!$B$12,Paramètres!$A$1:$I$88,3,0)*VLOOKUP('Données projet'!$B$12,Paramètres!$A$1:$I$88,5,0)</f>
        <v>-1.1173142411280423E-13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270.10151451661864</v>
      </c>
      <c r="CE150" s="62">
        <f t="shared" si="148"/>
        <v>294.47934482366804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projet'!$B$12,Paramètres!$A$1:$I$88,3,0)*0.475*44/12</f>
        <v>0</v>
      </c>
      <c r="CL150" s="23">
        <f>EXP(-LN(2)/25)*CL149+(1-EXP(-LN(2)/25))/(LN(2)/25)*Calculateur!CG150*Calculateur!CI150*VLOOKUP('Données projet'!$B$12,Paramètres!$A$1:$I$88,3,0)*0.475*44/12</f>
        <v>0</v>
      </c>
      <c r="CM150" s="23">
        <f>EXP(-LN(2)/2)*CM149+(1-EXP(-LN(2)/2))/(LN(2)/2)*CG150*CJ150*VLOOKUP('Données projet'!$B$12,Paramètres!$A$1:$I$88,3,0)*0.475*44/12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69.488492214917216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-1.7053025658242404E-13</v>
      </c>
      <c r="CU150" s="18">
        <f>CT150*VLOOKUP('Données projet'!$B$13,Paramètres!$A$1:$I$88,3,0)*VLOOKUP('Données projet'!$B$13,Paramètres!$A$1:$I$88,5,0)</f>
        <v>-1.1173142411280423E-13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270.10151451661864</v>
      </c>
      <c r="CZ150" s="62">
        <f t="shared" si="150"/>
        <v>294.47934482366804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projet'!$B$13,Paramètres!$A$1:$I$88,3,0)*0.475*44/12</f>
        <v>0</v>
      </c>
      <c r="DG150" s="23">
        <f>EXP(-LN(2)/25)*DG149+(1-EXP(-LN(2)/25))/(LN(2)/25)*Calculateur!DB150*Calculateur!DD150*VLOOKUP('Données projet'!$B$13,Paramètres!$A$1:$I$88,3,0)*0.475*44/12</f>
        <v>0</v>
      </c>
      <c r="DH150" s="23">
        <f>EXP(-LN(2)/2)*DH149+(1-EXP(-LN(2)/2))/(LN(2)/2)*DB150*DE150*VLOOKUP('Données projet'!$B$13,Paramètres!$A$1:$I$88,3,0)*0.475*44/12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69.488492214917216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projet'!$B$14,Paramètres!$A$1:$I$88,3,0)*0.475*44/12</f>
        <v>#N/A</v>
      </c>
      <c r="EB150" s="23" t="e">
        <f>EXP(-LN(2)/25)*EB149+(1-EXP(-LN(2)/25))/(LN(2)/25)*Calculateur!DW150*Calculateur!DY150*VLOOKUP('Données projet'!$B$14,Paramètres!$A$1:$I$88,3,0)*0.475*44/12</f>
        <v>#N/A</v>
      </c>
      <c r="EC150" s="23" t="e">
        <f>EXP(-LN(2)/2)*EC149+(1-EXP(-LN(2)/2))/(LN(2)/2)*DW150*DZ150*VLOOKUP('Données projet'!$B$14,Paramètres!$A$1:$I$88,3,0)*0.475*44/12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69.488492214917216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69.488492214917216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69.488492214917216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69.488492214917216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1.34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4.9133333333333331</v>
      </c>
      <c r="H151" s="70">
        <f t="shared" si="110"/>
        <v>237.01333333333332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69.497365731428317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2.2000000000000002</v>
      </c>
      <c r="N151" s="14">
        <f>IF('Données projet'!$A$36&gt;35,N150+M151-V150,IF(A151&lt;'Données projet'!$A$36,$K$205^A151,IF(A151='Données projet'!$A$36,'Données projet'!$B$36,N150+M151-V150)))</f>
        <v>301.59999999999951</v>
      </c>
      <c r="O151" s="14">
        <f>N151*VLOOKUP('Données projet'!$B$9,Paramètres!$A$1:$I$88,3,0)*VLOOKUP('Données projet'!$B$9,Paramètres!$A$1:$I$88,5,0)</f>
        <v>305.8223999999995</v>
      </c>
      <c r="P151" s="14">
        <f t="shared" si="141"/>
        <v>72.395693291268813</v>
      </c>
      <c r="Q151" s="22">
        <f t="shared" si="108"/>
        <v>658.72984581562559</v>
      </c>
      <c r="R151" s="62">
        <f t="shared" si="109"/>
        <v>950.22018683086276</v>
      </c>
      <c r="S151" s="62">
        <f ca="1">AVERAGE(OFFSET($R$3,0,0,'Données projet'!$E$9+1,1))-AVERAGE(OFFSET($H$3,0,0,'Données projet'!$E$9+1,1))</f>
        <v>488.16146816015231</v>
      </c>
      <c r="T151" s="62">
        <f t="shared" si="142"/>
        <v>259.37115195552127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0</v>
      </c>
      <c r="AA151" s="23">
        <f>EXP(-LN(2)/25)*AA150+(1-EXP(-LN(2)/25))/(LN(2)/25)*Calculateur!V151*Calculateur!X151*VLOOKUP('Données projet'!$B$9,Paramètres!$A$1:$I$88,3,0)*0.475*44/12</f>
        <v>0</v>
      </c>
      <c r="AB151" s="23">
        <f>EXP(-LN(2)/2)*AB150+(1-EXP(-LN(2)/2))/(LN(2)/2)*V151*Y151*VLOOKUP('Données projet'!$B$9,Paramètres!$A$1:$I$88,3,0)*0.475*44/12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69.497365731428317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2.2000000000000002</v>
      </c>
      <c r="AI151" s="14">
        <f>IF('Données projet'!$A$62&gt;35,AI150+AH151-AQ150,IF(A151&lt;'Données projet'!$A$62,$AF$205^A151,IF(A151='Données projet'!$A$62,'Données projet'!$B$62,AI150+AH151-AQ150)))</f>
        <v>301.59999999999951</v>
      </c>
      <c r="AJ151" s="14">
        <f>AI151*VLOOKUP('Données projet'!$B$10,Paramètres!$A$1:$I$88,3,0)*VLOOKUP('Données projet'!$B$10,Paramètres!$A$1:$I$88,5,0)</f>
        <v>272.88767999999953</v>
      </c>
      <c r="AK151" s="14">
        <f t="shared" si="143"/>
        <v>65.461727908967305</v>
      </c>
      <c r="AL151" s="22">
        <f t="shared" si="112"/>
        <v>589.29188544145063</v>
      </c>
      <c r="AM151" s="62">
        <f t="shared" si="113"/>
        <v>880.78222645668779</v>
      </c>
      <c r="AN151" s="62">
        <f ca="1">AVERAGE(OFFSET($AM$3,0,0,'Données projet'!$E$10+1,1))-AVERAGE(OFFSET($H$3,0,0,'Données projet'!$E$10+1,1))</f>
        <v>441.34749554136755</v>
      </c>
      <c r="AO151" s="62">
        <f t="shared" si="144"/>
        <v>236.49038586666222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0</v>
      </c>
      <c r="AV151" s="23">
        <f>EXP(-LN(2)/25)*AV150+(1-EXP(-LN(2)/25))/(LN(2)/25)*Calculateur!AQ151*Calculateur!AS151*VLOOKUP('Données projet'!$B$10,Paramètres!$A$1:$I$88,3,0)*0.475*44/12</f>
        <v>0</v>
      </c>
      <c r="AW151" s="23">
        <f>EXP(-LN(2)/2)*AW150+(1-EXP(-LN(2)/2))/(LN(2)/2)*AQ151*AT151*VLOOKUP('Données projet'!$B$10,Paramètres!$A$1:$I$88,3,0)*0.475*44/12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69.497365731428317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2.2000000000000002</v>
      </c>
      <c r="BD151" s="13">
        <f>IF('Données projet'!$A$88&gt;35,BD150+BC151-BL150,IF(A151&lt;'Données projet'!$A$88,$BA$205^A151,IF(A151='Données projet'!$A$88,'Données projet'!$B$88,BD150+BC151-BL150)))</f>
        <v>301.59999999999951</v>
      </c>
      <c r="BE151" s="14">
        <f>BD151*VLOOKUP('Données projet'!$B$11,Paramètres!$A$1:$I$88,3,0)*VLOOKUP('Données projet'!$B$11,Paramètres!$A$1:$I$88,5,0)</f>
        <v>324.64223999999945</v>
      </c>
      <c r="BF151" s="14">
        <f t="shared" si="145"/>
        <v>76.318450821798734</v>
      </c>
      <c r="BG151" s="22">
        <f t="shared" si="115"/>
        <v>698.33986984796502</v>
      </c>
      <c r="BH151" s="62">
        <f t="shared" si="116"/>
        <v>989.83021086320218</v>
      </c>
      <c r="BI151" s="62">
        <f ca="1">AVERAGE(OFFSET($BH$3,0,0,'Données projet'!$E$11+1,1))-AVERAGE(OFFSET($H$3,0,0,'Données projet'!$E$11+1,1))</f>
        <v>514.86487884889584</v>
      </c>
      <c r="BJ151" s="62">
        <f t="shared" si="146"/>
        <v>272.4206208356191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projet'!$B$11,Paramètres!$A$1:$I$88,3,0)*0.475*44/12</f>
        <v>0</v>
      </c>
      <c r="BQ151" s="23">
        <f>EXP(-LN(2)/25)*BQ150+(1-EXP(-LN(2)/25))/(LN(2)/25)*Calculateur!BL151*Calculateur!BN151*VLOOKUP('Données projet'!$B$11,Paramètres!$A$1:$I$88,3,0)*0.475*44/12</f>
        <v>0</v>
      </c>
      <c r="BR151" s="23">
        <f>EXP(-LN(2)/2)*BR150+(1-EXP(-LN(2)/2))/(LN(2)/2)*BL151*BO151*VLOOKUP('Données projet'!$B$11,Paramètres!$A$1:$I$88,3,0)*0.475*44/12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69.497365731428317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-1.7053025658242404E-13</v>
      </c>
      <c r="BZ151" s="14">
        <f>BY151*VLOOKUP('Données projet'!$B$12,Paramètres!$A$1:$I$88,3,0)*VLOOKUP('Données projet'!$B$12,Paramètres!$A$1:$I$88,5,0)</f>
        <v>-1.1173142411280423E-13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270.10151451661864</v>
      </c>
      <c r="CE151" s="62">
        <f t="shared" si="148"/>
        <v>294.47934482366804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projet'!$B$12,Paramètres!$A$1:$I$88,3,0)*0.475*44/12</f>
        <v>0</v>
      </c>
      <c r="CL151" s="23">
        <f>EXP(-LN(2)/25)*CL150+(1-EXP(-LN(2)/25))/(LN(2)/25)*Calculateur!CG151*Calculateur!CI151*VLOOKUP('Données projet'!$B$12,Paramètres!$A$1:$I$88,3,0)*0.475*44/12</f>
        <v>0</v>
      </c>
      <c r="CM151" s="23">
        <f>EXP(-LN(2)/2)*CM150+(1-EXP(-LN(2)/2))/(LN(2)/2)*CG151*CJ151*VLOOKUP('Données projet'!$B$12,Paramètres!$A$1:$I$88,3,0)*0.475*44/12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69.497365731428317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-1.7053025658242404E-13</v>
      </c>
      <c r="CU151" s="18">
        <f>CT151*VLOOKUP('Données projet'!$B$13,Paramètres!$A$1:$I$88,3,0)*VLOOKUP('Données projet'!$B$13,Paramètres!$A$1:$I$88,5,0)</f>
        <v>-1.1173142411280423E-13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270.10151451661864</v>
      </c>
      <c r="CZ151" s="62">
        <f t="shared" si="150"/>
        <v>294.47934482366804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projet'!$B$13,Paramètres!$A$1:$I$88,3,0)*0.475*44/12</f>
        <v>0</v>
      </c>
      <c r="DG151" s="23">
        <f>EXP(-LN(2)/25)*DG150+(1-EXP(-LN(2)/25))/(LN(2)/25)*Calculateur!DB151*Calculateur!DD151*VLOOKUP('Données projet'!$B$13,Paramètres!$A$1:$I$88,3,0)*0.475*44/12</f>
        <v>0</v>
      </c>
      <c r="DH151" s="23">
        <f>EXP(-LN(2)/2)*DH150+(1-EXP(-LN(2)/2))/(LN(2)/2)*DB151*DE151*VLOOKUP('Données projet'!$B$13,Paramètres!$A$1:$I$88,3,0)*0.475*44/12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69.497365731428317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projet'!$B$14,Paramètres!$A$1:$I$88,3,0)*0.475*44/12</f>
        <v>#N/A</v>
      </c>
      <c r="EB151" s="23" t="e">
        <f>EXP(-LN(2)/25)*EB150+(1-EXP(-LN(2)/25))/(LN(2)/25)*Calculateur!DW151*Calculateur!DY151*VLOOKUP('Données projet'!$B$14,Paramètres!$A$1:$I$88,3,0)*0.475*44/12</f>
        <v>#N/A</v>
      </c>
      <c r="EC151" s="23" t="e">
        <f>EXP(-LN(2)/2)*EC150+(1-EXP(-LN(2)/2))/(LN(2)/2)*DW151*DZ151*VLOOKUP('Données projet'!$B$14,Paramètres!$A$1:$I$88,3,0)*0.475*44/12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69.497365731428317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69.497365731428317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69.497365731428317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69.497365731428317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1.34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4.9133333333333331</v>
      </c>
      <c r="H152" s="70">
        <f t="shared" si="110"/>
        <v>237.01333333333332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69.506085312266151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2.2000000000000002</v>
      </c>
      <c r="N152" s="14">
        <f>IF('Données projet'!$A$36&gt;35,N151+M152-V151,IF(A152&lt;'Données projet'!$A$36,$K$205^A152,IF(A152='Données projet'!$A$36,'Données projet'!$B$36,N151+M152-V151)))</f>
        <v>303.7999999999995</v>
      </c>
      <c r="O152" s="14">
        <f>N152*VLOOKUP('Données projet'!$B$9,Paramètres!$A$1:$I$88,3,0)*VLOOKUP('Données projet'!$B$9,Paramètres!$A$1:$I$88,5,0)</f>
        <v>308.05319999999955</v>
      </c>
      <c r="P152" s="14">
        <f t="shared" si="141"/>
        <v>72.862111899109848</v>
      </c>
      <c r="Q152" s="22">
        <f t="shared" si="108"/>
        <v>663.42750155761553</v>
      </c>
      <c r="R152" s="62">
        <f t="shared" si="109"/>
        <v>954.94981436925809</v>
      </c>
      <c r="S152" s="62">
        <f ca="1">AVERAGE(OFFSET($R$3,0,0,'Données projet'!$E$9+1,1))-AVERAGE(OFFSET($H$3,0,0,'Données projet'!$E$9+1,1))</f>
        <v>488.16146816015231</v>
      </c>
      <c r="T152" s="62">
        <f t="shared" si="142"/>
        <v>259.37115195552127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0</v>
      </c>
      <c r="AA152" s="23">
        <f>EXP(-LN(2)/25)*AA151+(1-EXP(-LN(2)/25))/(LN(2)/25)*Calculateur!V152*Calculateur!X152*VLOOKUP('Données projet'!$B$9,Paramètres!$A$1:$I$88,3,0)*0.475*44/12</f>
        <v>0</v>
      </c>
      <c r="AB152" s="23">
        <f>EXP(-LN(2)/2)*AB151+(1-EXP(-LN(2)/2))/(LN(2)/2)*V152*Y152*VLOOKUP('Données projet'!$B$9,Paramètres!$A$1:$I$88,3,0)*0.475*44/12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69.506085312266151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2.2000000000000002</v>
      </c>
      <c r="AI152" s="14">
        <f>IF('Données projet'!$A$62&gt;35,AI151+AH152-AQ151,IF(A152&lt;'Données projet'!$A$62,$AF$205^A152,IF(A152='Données projet'!$A$62,'Données projet'!$B$62,AI151+AH152-AQ151)))</f>
        <v>303.7999999999995</v>
      </c>
      <c r="AJ152" s="14">
        <f>AI152*VLOOKUP('Données projet'!$B$10,Paramètres!$A$1:$I$88,3,0)*VLOOKUP('Données projet'!$B$10,Paramètres!$A$1:$I$88,5,0)</f>
        <v>274.87823999999955</v>
      </c>
      <c r="AK152" s="14">
        <f t="shared" si="143"/>
        <v>65.883473548936905</v>
      </c>
      <c r="AL152" s="22">
        <f t="shared" si="112"/>
        <v>593.4933177643976</v>
      </c>
      <c r="AM152" s="62">
        <f t="shared" si="113"/>
        <v>885.01563057604017</v>
      </c>
      <c r="AN152" s="62">
        <f ca="1">AVERAGE(OFFSET($AM$3,0,0,'Données projet'!$E$10+1,1))-AVERAGE(OFFSET($H$3,0,0,'Données projet'!$E$10+1,1))</f>
        <v>441.34749554136755</v>
      </c>
      <c r="AO152" s="62">
        <f t="shared" si="144"/>
        <v>236.49038586666222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0</v>
      </c>
      <c r="AV152" s="23">
        <f>EXP(-LN(2)/25)*AV151+(1-EXP(-LN(2)/25))/(LN(2)/25)*Calculateur!AQ152*Calculateur!AS152*VLOOKUP('Données projet'!$B$10,Paramètres!$A$1:$I$88,3,0)*0.475*44/12</f>
        <v>0</v>
      </c>
      <c r="AW152" s="23">
        <f>EXP(-LN(2)/2)*AW151+(1-EXP(-LN(2)/2))/(LN(2)/2)*AQ152*AT152*VLOOKUP('Données projet'!$B$10,Paramètres!$A$1:$I$88,3,0)*0.475*44/12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69.506085312266151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2.2000000000000002</v>
      </c>
      <c r="BD152" s="13">
        <f>IF('Données projet'!$A$88&gt;35,BD151+BC152-BL151,IF(A152&lt;'Données projet'!$A$88,$BA$205^A152,IF(A152='Données projet'!$A$88,'Données projet'!$B$88,BD151+BC152-BL151)))</f>
        <v>303.7999999999995</v>
      </c>
      <c r="BE152" s="14">
        <f>BD152*VLOOKUP('Données projet'!$B$11,Paramètres!$A$1:$I$88,3,0)*VLOOKUP('Données projet'!$B$11,Paramètres!$A$1:$I$88,5,0)</f>
        <v>327.01031999999947</v>
      </c>
      <c r="BF152" s="14">
        <f t="shared" si="145"/>
        <v>76.810142301866179</v>
      </c>
      <c r="BG152" s="22">
        <f t="shared" si="115"/>
        <v>703.32063850908264</v>
      </c>
      <c r="BH152" s="62">
        <f t="shared" si="116"/>
        <v>994.84295132072521</v>
      </c>
      <c r="BI152" s="62">
        <f ca="1">AVERAGE(OFFSET($BH$3,0,0,'Données projet'!$E$11+1,1))-AVERAGE(OFFSET($H$3,0,0,'Données projet'!$E$11+1,1))</f>
        <v>514.86487884889584</v>
      </c>
      <c r="BJ152" s="62">
        <f t="shared" si="146"/>
        <v>272.4206208356191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projet'!$B$11,Paramètres!$A$1:$I$88,3,0)*0.475*44/12</f>
        <v>0</v>
      </c>
      <c r="BQ152" s="23">
        <f>EXP(-LN(2)/25)*BQ151+(1-EXP(-LN(2)/25))/(LN(2)/25)*Calculateur!BL152*Calculateur!BN152*VLOOKUP('Données projet'!$B$11,Paramètres!$A$1:$I$88,3,0)*0.475*44/12</f>
        <v>0</v>
      </c>
      <c r="BR152" s="23">
        <f>EXP(-LN(2)/2)*BR151+(1-EXP(-LN(2)/2))/(LN(2)/2)*BL152*BO152*VLOOKUP('Données projet'!$B$11,Paramètres!$A$1:$I$88,3,0)*0.475*44/12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69.506085312266151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-1.7053025658242404E-13</v>
      </c>
      <c r="BZ152" s="14">
        <f>BY152*VLOOKUP('Données projet'!$B$12,Paramètres!$A$1:$I$88,3,0)*VLOOKUP('Données projet'!$B$12,Paramètres!$A$1:$I$88,5,0)</f>
        <v>-1.1173142411280423E-13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270.10151451661864</v>
      </c>
      <c r="CE152" s="62">
        <f t="shared" si="148"/>
        <v>294.47934482366804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projet'!$B$12,Paramètres!$A$1:$I$88,3,0)*0.475*44/12</f>
        <v>0</v>
      </c>
      <c r="CL152" s="23">
        <f>EXP(-LN(2)/25)*CL151+(1-EXP(-LN(2)/25))/(LN(2)/25)*Calculateur!CG152*Calculateur!CI152*VLOOKUP('Données projet'!$B$12,Paramètres!$A$1:$I$88,3,0)*0.475*44/12</f>
        <v>0</v>
      </c>
      <c r="CM152" s="23">
        <f>EXP(-LN(2)/2)*CM151+(1-EXP(-LN(2)/2))/(LN(2)/2)*CG152*CJ152*VLOOKUP('Données projet'!$B$12,Paramètres!$A$1:$I$88,3,0)*0.475*44/12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69.506085312266151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-1.7053025658242404E-13</v>
      </c>
      <c r="CU152" s="18">
        <f>CT152*VLOOKUP('Données projet'!$B$13,Paramètres!$A$1:$I$88,3,0)*VLOOKUP('Données projet'!$B$13,Paramètres!$A$1:$I$88,5,0)</f>
        <v>-1.1173142411280423E-13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270.10151451661864</v>
      </c>
      <c r="CZ152" s="62">
        <f t="shared" si="150"/>
        <v>294.47934482366804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projet'!$B$13,Paramètres!$A$1:$I$88,3,0)*0.475*44/12</f>
        <v>0</v>
      </c>
      <c r="DG152" s="23">
        <f>EXP(-LN(2)/25)*DG151+(1-EXP(-LN(2)/25))/(LN(2)/25)*Calculateur!DB152*Calculateur!DD152*VLOOKUP('Données projet'!$B$13,Paramètres!$A$1:$I$88,3,0)*0.475*44/12</f>
        <v>0</v>
      </c>
      <c r="DH152" s="23">
        <f>EXP(-LN(2)/2)*DH151+(1-EXP(-LN(2)/2))/(LN(2)/2)*DB152*DE152*VLOOKUP('Données projet'!$B$13,Paramètres!$A$1:$I$88,3,0)*0.475*44/12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69.506085312266151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projet'!$B$14,Paramètres!$A$1:$I$88,3,0)*0.475*44/12</f>
        <v>#N/A</v>
      </c>
      <c r="EB152" s="23" t="e">
        <f>EXP(-LN(2)/25)*EB151+(1-EXP(-LN(2)/25))/(LN(2)/25)*Calculateur!DW152*Calculateur!DY152*VLOOKUP('Données projet'!$B$14,Paramètres!$A$1:$I$88,3,0)*0.475*44/12</f>
        <v>#N/A</v>
      </c>
      <c r="EC152" s="23" t="e">
        <f>EXP(-LN(2)/2)*EC151+(1-EXP(-LN(2)/2))/(LN(2)/2)*DW152*DZ152*VLOOKUP('Données projet'!$B$14,Paramètres!$A$1:$I$88,3,0)*0.475*44/12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69.506085312266151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69.506085312266151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69.506085312266151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69.506085312266151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1.34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4.9133333333333331</v>
      </c>
      <c r="H153" s="70">
        <f t="shared" si="110"/>
        <v>237.01333333333332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69.514653627870516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306</v>
      </c>
      <c r="L153" s="13">
        <f>VLOOKUP(A153,'Données projet'!$A$35:$I$55,9,0)</f>
        <v>2.2000000000000002</v>
      </c>
      <c r="M153" s="13">
        <f t="array" ref="M153">INDEX(L:L,MIN(IF(ISNUMBER(L153:L349),ROW(L153:L349),"")))</f>
        <v>2.2000000000000002</v>
      </c>
      <c r="N153" s="14">
        <f>IF('Données projet'!$A$36&gt;35,N152+M153-V152,IF(A153&lt;'Données projet'!$A$36,$K$205^A153,IF(A153='Données projet'!$A$36,'Données projet'!$B$36,N152+M153-V152)))</f>
        <v>305.99999999999949</v>
      </c>
      <c r="O153" s="14">
        <f>N153*VLOOKUP('Données projet'!$B$9,Paramètres!$A$1:$I$88,3,0)*VLOOKUP('Données projet'!$B$9,Paramètres!$A$1:$I$88,5,0)</f>
        <v>310.28399999999948</v>
      </c>
      <c r="P153" s="14">
        <f t="shared" si="141"/>
        <v>73.328137514010024</v>
      </c>
      <c r="Q153" s="22">
        <f t="shared" si="108"/>
        <v>668.12447283689983</v>
      </c>
      <c r="R153" s="62">
        <f t="shared" si="109"/>
        <v>959.67820280575847</v>
      </c>
      <c r="S153" s="62">
        <f ca="1">AVERAGE(OFFSET($R$3,0,0,'Données projet'!$E$9+1,1))-AVERAGE(OFFSET($H$3,0,0,'Données projet'!$E$9+1,1))</f>
        <v>488.16146816015231</v>
      </c>
      <c r="T153" s="62">
        <f t="shared" si="142"/>
        <v>259.37115195552127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306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0</v>
      </c>
      <c r="AA153" s="23">
        <f>EXP(-LN(2)/25)*AA152+(1-EXP(-LN(2)/25))/(LN(2)/25)*Calculateur!V153*Calculateur!X153*VLOOKUP('Données projet'!$B$9,Paramètres!$A$1:$I$88,3,0)*0.475*44/12</f>
        <v>0</v>
      </c>
      <c r="AB153" s="23">
        <f>EXP(-LN(2)/2)*AB152+(1-EXP(-LN(2)/2))/(LN(2)/2)*V153*Y153*VLOOKUP('Données projet'!$B$9,Paramètres!$A$1:$I$88,3,0)*0.475*44/12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69.514653627870516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306</v>
      </c>
      <c r="AG153" s="13">
        <f>VLOOKUP(A153,'Données projet'!$A$61:$I$81,9,0)</f>
        <v>2.2000000000000002</v>
      </c>
      <c r="AH153" s="13">
        <f t="array" ref="AH153">INDEX(AG:AG,MIN(IF(ISNUMBER(AG153:AG349),ROW(AG153:AG349),"")))</f>
        <v>2.2000000000000002</v>
      </c>
      <c r="AI153" s="14">
        <f>IF('Données projet'!$A$62&gt;35,AI152+AH153-AQ152,IF(A153&lt;'Données projet'!$A$62,$AF$205^A153,IF(A153='Données projet'!$A$62,'Données projet'!$B$62,AI152+AH153-AQ152)))</f>
        <v>305.99999999999949</v>
      </c>
      <c r="AJ153" s="14">
        <f>AI153*VLOOKUP('Données projet'!$B$10,Paramètres!$A$1:$I$88,3,0)*VLOOKUP('Données projet'!$B$10,Paramètres!$A$1:$I$88,5,0)</f>
        <v>276.86879999999951</v>
      </c>
      <c r="AK153" s="14">
        <f t="shared" si="143"/>
        <v>66.304863836318546</v>
      </c>
      <c r="AL153" s="22">
        <f t="shared" si="112"/>
        <v>597.6941311815873</v>
      </c>
      <c r="AM153" s="62">
        <f t="shared" si="113"/>
        <v>889.24786115044594</v>
      </c>
      <c r="AN153" s="62">
        <f ca="1">AVERAGE(OFFSET($AM$3,0,0,'Données projet'!$E$10+1,1))-AVERAGE(OFFSET($H$3,0,0,'Données projet'!$E$10+1,1))</f>
        <v>441.34749554136755</v>
      </c>
      <c r="AO153" s="62">
        <f t="shared" si="144"/>
        <v>236.49038586666222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306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0</v>
      </c>
      <c r="AV153" s="23">
        <f>EXP(-LN(2)/25)*AV152+(1-EXP(-LN(2)/25))/(LN(2)/25)*Calculateur!AQ153*Calculateur!AS153*VLOOKUP('Données projet'!$B$10,Paramètres!$A$1:$I$88,3,0)*0.475*44/12</f>
        <v>0</v>
      </c>
      <c r="AW153" s="23">
        <f>EXP(-LN(2)/2)*AW152+(1-EXP(-LN(2)/2))/(LN(2)/2)*AQ153*AT153*VLOOKUP('Données projet'!$B$10,Paramètres!$A$1:$I$88,3,0)*0.475*44/12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69.514653627870516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306</v>
      </c>
      <c r="BB153" s="13">
        <f>VLOOKUP(A153,'Données projet'!$A$87:$I$107,9,0)</f>
        <v>2.2000000000000002</v>
      </c>
      <c r="BC153" s="13">
        <f t="array" ref="BC153">INDEX(BB:BB,MIN(IF(ISNUMBER(BB153:BB349),ROW(BB153:BB349),"")))</f>
        <v>2.2000000000000002</v>
      </c>
      <c r="BD153" s="13">
        <f>IF('Données projet'!$A$88&gt;35,BD152+BC153-BL152,IF(A153&lt;'Données projet'!$A$88,$BA$205^A153,IF(A153='Données projet'!$A$88,'Données projet'!$B$88,BD152+BC153-BL152)))</f>
        <v>305.99999999999949</v>
      </c>
      <c r="BE153" s="14">
        <f>BD153*VLOOKUP('Données projet'!$B$11,Paramètres!$A$1:$I$88,3,0)*VLOOKUP('Données projet'!$B$11,Paramètres!$A$1:$I$88,5,0)</f>
        <v>329.37839999999943</v>
      </c>
      <c r="BF153" s="14">
        <f t="shared" si="145"/>
        <v>77.301419494687025</v>
      </c>
      <c r="BG153" s="22">
        <f t="shared" si="115"/>
        <v>708.3006856199122</v>
      </c>
      <c r="BH153" s="62">
        <f t="shared" si="116"/>
        <v>999.85441558877073</v>
      </c>
      <c r="BI153" s="62">
        <f ca="1">AVERAGE(OFFSET($BH$3,0,0,'Données projet'!$E$11+1,1))-AVERAGE(OFFSET($H$3,0,0,'Données projet'!$E$11+1,1))</f>
        <v>514.86487884889584</v>
      </c>
      <c r="BJ153" s="62">
        <f t="shared" si="146"/>
        <v>272.4206208356191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306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projet'!$B$11,Paramètres!$A$1:$I$88,3,0)*0.475*44/12</f>
        <v>0</v>
      </c>
      <c r="BQ153" s="23">
        <f>EXP(-LN(2)/25)*BQ152+(1-EXP(-LN(2)/25))/(LN(2)/25)*Calculateur!BL153*Calculateur!BN153*VLOOKUP('Données projet'!$B$11,Paramètres!$A$1:$I$88,3,0)*0.475*44/12</f>
        <v>0</v>
      </c>
      <c r="BR153" s="23">
        <f>EXP(-LN(2)/2)*BR152+(1-EXP(-LN(2)/2))/(LN(2)/2)*BL153*BO153*VLOOKUP('Données projet'!$B$11,Paramètres!$A$1:$I$88,3,0)*0.475*44/12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69.514653627870516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-1.7053025658242404E-13</v>
      </c>
      <c r="BZ153" s="14">
        <f>BY153*VLOOKUP('Données projet'!$B$12,Paramètres!$A$1:$I$88,3,0)*VLOOKUP('Données projet'!$B$12,Paramètres!$A$1:$I$88,5,0)</f>
        <v>-1.1173142411280423E-13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270.10151451661864</v>
      </c>
      <c r="CE153" s="62">
        <f t="shared" si="148"/>
        <v>294.47934482366804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projet'!$B$12,Paramètres!$A$1:$I$88,3,0)*0.475*44/12</f>
        <v>0</v>
      </c>
      <c r="CL153" s="23">
        <f>EXP(-LN(2)/25)*CL152+(1-EXP(-LN(2)/25))/(LN(2)/25)*Calculateur!CG153*Calculateur!CI153*VLOOKUP('Données projet'!$B$12,Paramètres!$A$1:$I$88,3,0)*0.475*44/12</f>
        <v>0</v>
      </c>
      <c r="CM153" s="23">
        <f>EXP(-LN(2)/2)*CM152+(1-EXP(-LN(2)/2))/(LN(2)/2)*CG153*CJ153*VLOOKUP('Données projet'!$B$12,Paramètres!$A$1:$I$88,3,0)*0.475*44/12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69.514653627870516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-1.7053025658242404E-13</v>
      </c>
      <c r="CU153" s="18">
        <f>CT153*VLOOKUP('Données projet'!$B$13,Paramètres!$A$1:$I$88,3,0)*VLOOKUP('Données projet'!$B$13,Paramètres!$A$1:$I$88,5,0)</f>
        <v>-1.1173142411280423E-13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270.10151451661864</v>
      </c>
      <c r="CZ153" s="62">
        <f t="shared" si="150"/>
        <v>294.47934482366804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projet'!$B$13,Paramètres!$A$1:$I$88,3,0)*0.475*44/12</f>
        <v>0</v>
      </c>
      <c r="DG153" s="23">
        <f>EXP(-LN(2)/25)*DG152+(1-EXP(-LN(2)/25))/(LN(2)/25)*Calculateur!DB153*Calculateur!DD153*VLOOKUP('Données projet'!$B$13,Paramètres!$A$1:$I$88,3,0)*0.475*44/12</f>
        <v>0</v>
      </c>
      <c r="DH153" s="23">
        <f>EXP(-LN(2)/2)*DH152+(1-EXP(-LN(2)/2))/(LN(2)/2)*DB153*DE153*VLOOKUP('Données projet'!$B$13,Paramètres!$A$1:$I$88,3,0)*0.475*44/12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69.514653627870516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projet'!$B$14,Paramètres!$A$1:$I$88,3,0)*0.475*44/12</f>
        <v>#N/A</v>
      </c>
      <c r="EB153" s="23" t="e">
        <f>EXP(-LN(2)/25)*EB152+(1-EXP(-LN(2)/25))/(LN(2)/25)*Calculateur!DW153*Calculateur!DY153*VLOOKUP('Données projet'!$B$14,Paramètres!$A$1:$I$88,3,0)*0.475*44/12</f>
        <v>#N/A</v>
      </c>
      <c r="EC153" s="23" t="e">
        <f>EXP(-LN(2)/2)*EC152+(1-EXP(-LN(2)/2))/(LN(2)/2)*DW153*DZ153*VLOOKUP('Données projet'!$B$14,Paramètres!$A$1:$I$88,3,0)*0.475*44/12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69.514653627870516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69.514653627870516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69.514653627870516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69.514653627870516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1.34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4.9133333333333331</v>
      </c>
      <c r="H154" s="70">
        <f t="shared" si="110"/>
        <v>237.01333333333332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69.52307330235503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-5.1159076974727213E-13</v>
      </c>
      <c r="O154" s="14">
        <f>N154*VLOOKUP('Données projet'!$B$9,Paramètres!$A$1:$I$88,3,0)*VLOOKUP('Données projet'!$B$9,Paramètres!$A$1:$I$88,5,0)</f>
        <v>-5.1875304052373401E-13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488.16146816015231</v>
      </c>
      <c r="T154" s="62">
        <f t="shared" si="142"/>
        <v>259.37115195552127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0</v>
      </c>
      <c r="AA154" s="23">
        <f>EXP(-LN(2)/25)*AA153+(1-EXP(-LN(2)/25))/(LN(2)/25)*Calculateur!V154*Calculateur!X154*VLOOKUP('Données projet'!$B$9,Paramètres!$A$1:$I$88,3,0)*0.475*44/12</f>
        <v>0</v>
      </c>
      <c r="AB154" s="23">
        <f>EXP(-LN(2)/2)*AB153+(1-EXP(-LN(2)/2))/(LN(2)/2)*V154*Y154*VLOOKUP('Données projet'!$B$9,Paramètres!$A$1:$I$88,3,0)*0.475*44/12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69.52307330235503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-5.1159076974727213E-13</v>
      </c>
      <c r="AJ154" s="14">
        <f>AI154*VLOOKUP('Données projet'!$B$10,Paramètres!$A$1:$I$88,3,0)*VLOOKUP('Données projet'!$B$10,Paramètres!$A$1:$I$88,5,0)</f>
        <v>-4.6288732846733184E-13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441.34749554136755</v>
      </c>
      <c r="AO154" s="62">
        <f t="shared" si="144"/>
        <v>236.49038586666222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0</v>
      </c>
      <c r="AV154" s="23">
        <f>EXP(-LN(2)/25)*AV153+(1-EXP(-LN(2)/25))/(LN(2)/25)*Calculateur!AQ154*Calculateur!AS154*VLOOKUP('Données projet'!$B$10,Paramètres!$A$1:$I$88,3,0)*0.475*44/12</f>
        <v>0</v>
      </c>
      <c r="AW154" s="23">
        <f>EXP(-LN(2)/2)*AW153+(1-EXP(-LN(2)/2))/(LN(2)/2)*AQ154*AT154*VLOOKUP('Données projet'!$B$10,Paramètres!$A$1:$I$88,3,0)*0.475*44/12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69.52307330235503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-5.1159076974727213E-13</v>
      </c>
      <c r="BE154" s="14">
        <f>BD154*VLOOKUP('Données projet'!$B$11,Paramètres!$A$1:$I$88,3,0)*VLOOKUP('Données projet'!$B$11,Paramètres!$A$1:$I$88,5,0)</f>
        <v>-5.5067630455596371E-13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514.86487884889584</v>
      </c>
      <c r="BJ154" s="62">
        <f t="shared" si="146"/>
        <v>272.4206208356191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projet'!$B$11,Paramètres!$A$1:$I$88,3,0)*0.475*44/12</f>
        <v>0</v>
      </c>
      <c r="BQ154" s="23">
        <f>EXP(-LN(2)/25)*BQ153+(1-EXP(-LN(2)/25))/(LN(2)/25)*Calculateur!BL154*Calculateur!BN154*VLOOKUP('Données projet'!$B$11,Paramètres!$A$1:$I$88,3,0)*0.475*44/12</f>
        <v>0</v>
      </c>
      <c r="BR154" s="23">
        <f>EXP(-LN(2)/2)*BR153+(1-EXP(-LN(2)/2))/(LN(2)/2)*BL154*BO154*VLOOKUP('Données projet'!$B$11,Paramètres!$A$1:$I$88,3,0)*0.475*44/12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69.52307330235503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-1.7053025658242404E-13</v>
      </c>
      <c r="BZ154" s="14">
        <f>BY154*VLOOKUP('Données projet'!$B$12,Paramètres!$A$1:$I$88,3,0)*VLOOKUP('Données projet'!$B$12,Paramètres!$A$1:$I$88,5,0)</f>
        <v>-1.1173142411280423E-13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270.10151451661864</v>
      </c>
      <c r="CE154" s="62">
        <f t="shared" si="148"/>
        <v>294.47934482366804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projet'!$B$12,Paramètres!$A$1:$I$88,3,0)*0.475*44/12</f>
        <v>0</v>
      </c>
      <c r="CL154" s="23">
        <f>EXP(-LN(2)/25)*CL153+(1-EXP(-LN(2)/25))/(LN(2)/25)*Calculateur!CG154*Calculateur!CI154*VLOOKUP('Données projet'!$B$12,Paramètres!$A$1:$I$88,3,0)*0.475*44/12</f>
        <v>0</v>
      </c>
      <c r="CM154" s="23">
        <f>EXP(-LN(2)/2)*CM153+(1-EXP(-LN(2)/2))/(LN(2)/2)*CG154*CJ154*VLOOKUP('Données projet'!$B$12,Paramètres!$A$1:$I$88,3,0)*0.475*44/12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69.52307330235503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-1.7053025658242404E-13</v>
      </c>
      <c r="CU154" s="18">
        <f>CT154*VLOOKUP('Données projet'!$B$13,Paramètres!$A$1:$I$88,3,0)*VLOOKUP('Données projet'!$B$13,Paramètres!$A$1:$I$88,5,0)</f>
        <v>-1.1173142411280423E-13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270.10151451661864</v>
      </c>
      <c r="CZ154" s="62">
        <f t="shared" si="150"/>
        <v>294.47934482366804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projet'!$B$13,Paramètres!$A$1:$I$88,3,0)*0.475*44/12</f>
        <v>0</v>
      </c>
      <c r="DG154" s="23">
        <f>EXP(-LN(2)/25)*DG153+(1-EXP(-LN(2)/25))/(LN(2)/25)*Calculateur!DB154*Calculateur!DD154*VLOOKUP('Données projet'!$B$13,Paramètres!$A$1:$I$88,3,0)*0.475*44/12</f>
        <v>0</v>
      </c>
      <c r="DH154" s="23">
        <f>EXP(-LN(2)/2)*DH153+(1-EXP(-LN(2)/2))/(LN(2)/2)*DB154*DE154*VLOOKUP('Données projet'!$B$13,Paramètres!$A$1:$I$88,3,0)*0.475*44/12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69.52307330235503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projet'!$B$14,Paramètres!$A$1:$I$88,3,0)*0.475*44/12</f>
        <v>#N/A</v>
      </c>
      <c r="EB154" s="23" t="e">
        <f>EXP(-LN(2)/25)*EB153+(1-EXP(-LN(2)/25))/(LN(2)/25)*Calculateur!DW154*Calculateur!DY154*VLOOKUP('Données projet'!$B$14,Paramètres!$A$1:$I$88,3,0)*0.475*44/12</f>
        <v>#N/A</v>
      </c>
      <c r="EC154" s="23" t="e">
        <f>EXP(-LN(2)/2)*EC153+(1-EXP(-LN(2)/2))/(LN(2)/2)*DW154*DZ154*VLOOKUP('Données projet'!$B$14,Paramètres!$A$1:$I$88,3,0)*0.475*44/12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69.52307330235503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69.52307330235503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69.52307330235503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69.52307330235503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1.34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4.9133333333333331</v>
      </c>
      <c r="H155" s="70">
        <f t="shared" si="110"/>
        <v>237.01333333333332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69.531346914310816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-5.1159076974727213E-13</v>
      </c>
      <c r="O155" s="14">
        <f>N155*VLOOKUP('Données projet'!$B$9,Paramètres!$A$1:$I$88,3,0)*VLOOKUP('Données projet'!$B$9,Paramètres!$A$1:$I$88,5,0)</f>
        <v>-5.1875304052373401E-13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488.16146816015231</v>
      </c>
      <c r="T155" s="62">
        <f t="shared" si="142"/>
        <v>259.37115195552127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0</v>
      </c>
      <c r="AA155" s="23">
        <f>EXP(-LN(2)/25)*AA154+(1-EXP(-LN(2)/25))/(LN(2)/25)*Calculateur!V155*Calculateur!X155*VLOOKUP('Données projet'!$B$9,Paramètres!$A$1:$I$88,3,0)*0.475*44/12</f>
        <v>0</v>
      </c>
      <c r="AB155" s="23">
        <f>EXP(-LN(2)/2)*AB154+(1-EXP(-LN(2)/2))/(LN(2)/2)*V155*Y155*VLOOKUP('Données projet'!$B$9,Paramètres!$A$1:$I$88,3,0)*0.475*44/12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69.531346914310816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-5.1159076974727213E-13</v>
      </c>
      <c r="AJ155" s="14">
        <f>AI155*VLOOKUP('Données projet'!$B$10,Paramètres!$A$1:$I$88,3,0)*VLOOKUP('Données projet'!$B$10,Paramètres!$A$1:$I$88,5,0)</f>
        <v>-4.6288732846733184E-13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441.34749554136755</v>
      </c>
      <c r="AO155" s="62">
        <f t="shared" si="144"/>
        <v>236.49038586666222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0</v>
      </c>
      <c r="AV155" s="23">
        <f>EXP(-LN(2)/25)*AV154+(1-EXP(-LN(2)/25))/(LN(2)/25)*Calculateur!AQ155*Calculateur!AS155*VLOOKUP('Données projet'!$B$10,Paramètres!$A$1:$I$88,3,0)*0.475*44/12</f>
        <v>0</v>
      </c>
      <c r="AW155" s="23">
        <f>EXP(-LN(2)/2)*AW154+(1-EXP(-LN(2)/2))/(LN(2)/2)*AQ155*AT155*VLOOKUP('Données projet'!$B$10,Paramètres!$A$1:$I$88,3,0)*0.475*44/12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69.531346914310816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-5.1159076974727213E-13</v>
      </c>
      <c r="BE155" s="14">
        <f>BD155*VLOOKUP('Données projet'!$B$11,Paramètres!$A$1:$I$88,3,0)*VLOOKUP('Données projet'!$B$11,Paramètres!$A$1:$I$88,5,0)</f>
        <v>-5.5067630455596371E-13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514.86487884889584</v>
      </c>
      <c r="BJ155" s="62">
        <f t="shared" si="146"/>
        <v>272.4206208356191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projet'!$B$11,Paramètres!$A$1:$I$88,3,0)*0.475*44/12</f>
        <v>0</v>
      </c>
      <c r="BQ155" s="23">
        <f>EXP(-LN(2)/25)*BQ154+(1-EXP(-LN(2)/25))/(LN(2)/25)*Calculateur!BL155*Calculateur!BN155*VLOOKUP('Données projet'!$B$11,Paramètres!$A$1:$I$88,3,0)*0.475*44/12</f>
        <v>0</v>
      </c>
      <c r="BR155" s="23">
        <f>EXP(-LN(2)/2)*BR154+(1-EXP(-LN(2)/2))/(LN(2)/2)*BL155*BO155*VLOOKUP('Données projet'!$B$11,Paramètres!$A$1:$I$88,3,0)*0.475*44/12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69.531346914310816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-1.7053025658242404E-13</v>
      </c>
      <c r="BZ155" s="14">
        <f>BY155*VLOOKUP('Données projet'!$B$12,Paramètres!$A$1:$I$88,3,0)*VLOOKUP('Données projet'!$B$12,Paramètres!$A$1:$I$88,5,0)</f>
        <v>-1.1173142411280423E-13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270.10151451661864</v>
      </c>
      <c r="CE155" s="62">
        <f t="shared" si="148"/>
        <v>294.47934482366804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projet'!$B$12,Paramètres!$A$1:$I$88,3,0)*0.475*44/12</f>
        <v>0</v>
      </c>
      <c r="CL155" s="23">
        <f>EXP(-LN(2)/25)*CL154+(1-EXP(-LN(2)/25))/(LN(2)/25)*Calculateur!CG155*Calculateur!CI155*VLOOKUP('Données projet'!$B$12,Paramètres!$A$1:$I$88,3,0)*0.475*44/12</f>
        <v>0</v>
      </c>
      <c r="CM155" s="23">
        <f>EXP(-LN(2)/2)*CM154+(1-EXP(-LN(2)/2))/(LN(2)/2)*CG155*CJ155*VLOOKUP('Données projet'!$B$12,Paramètres!$A$1:$I$88,3,0)*0.475*44/12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69.531346914310816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-1.7053025658242404E-13</v>
      </c>
      <c r="CU155" s="18">
        <f>CT155*VLOOKUP('Données projet'!$B$13,Paramètres!$A$1:$I$88,3,0)*VLOOKUP('Données projet'!$B$13,Paramètres!$A$1:$I$88,5,0)</f>
        <v>-1.1173142411280423E-13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270.10151451661864</v>
      </c>
      <c r="CZ155" s="62">
        <f t="shared" si="150"/>
        <v>294.47934482366804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projet'!$B$13,Paramètres!$A$1:$I$88,3,0)*0.475*44/12</f>
        <v>0</v>
      </c>
      <c r="DG155" s="23">
        <f>EXP(-LN(2)/25)*DG154+(1-EXP(-LN(2)/25))/(LN(2)/25)*Calculateur!DB155*Calculateur!DD155*VLOOKUP('Données projet'!$B$13,Paramètres!$A$1:$I$88,3,0)*0.475*44/12</f>
        <v>0</v>
      </c>
      <c r="DH155" s="23">
        <f>EXP(-LN(2)/2)*DH154+(1-EXP(-LN(2)/2))/(LN(2)/2)*DB155*DE155*VLOOKUP('Données projet'!$B$13,Paramètres!$A$1:$I$88,3,0)*0.475*44/12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69.531346914310816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projet'!$B$14,Paramètres!$A$1:$I$88,3,0)*0.475*44/12</f>
        <v>#N/A</v>
      </c>
      <c r="EB155" s="23" t="e">
        <f>EXP(-LN(2)/25)*EB154+(1-EXP(-LN(2)/25))/(LN(2)/25)*Calculateur!DW155*Calculateur!DY155*VLOOKUP('Données projet'!$B$14,Paramètres!$A$1:$I$88,3,0)*0.475*44/12</f>
        <v>#N/A</v>
      </c>
      <c r="EC155" s="23" t="e">
        <f>EXP(-LN(2)/2)*EC154+(1-EXP(-LN(2)/2))/(LN(2)/2)*DW155*DZ155*VLOOKUP('Données projet'!$B$14,Paramètres!$A$1:$I$88,3,0)*0.475*44/12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69.531346914310816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69.531346914310816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69.531346914310816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69.531346914310816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1.34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4.9133333333333331</v>
      </c>
      <c r="H156" s="70">
        <f t="shared" si="110"/>
        <v>237.01333333333332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69.539476997596182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-5.1159076974727213E-13</v>
      </c>
      <c r="O156" s="14">
        <f>N156*VLOOKUP('Données projet'!$B$9,Paramètres!$A$1:$I$88,3,0)*VLOOKUP('Données projet'!$B$9,Paramètres!$A$1:$I$88,5,0)</f>
        <v>-5.1875304052373401E-13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488.16146816015231</v>
      </c>
      <c r="T156" s="62">
        <f t="shared" si="142"/>
        <v>259.37115195552127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0</v>
      </c>
      <c r="AA156" s="23">
        <f>EXP(-LN(2)/25)*AA155+(1-EXP(-LN(2)/25))/(LN(2)/25)*Calculateur!V156*Calculateur!X156*VLOOKUP('Données projet'!$B$9,Paramètres!$A$1:$I$88,3,0)*0.475*44/12</f>
        <v>0</v>
      </c>
      <c r="AB156" s="23">
        <f>EXP(-LN(2)/2)*AB155+(1-EXP(-LN(2)/2))/(LN(2)/2)*V156*Y156*VLOOKUP('Données projet'!$B$9,Paramètres!$A$1:$I$88,3,0)*0.475*44/12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69.539476997596182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-5.1159076974727213E-13</v>
      </c>
      <c r="AJ156" s="14">
        <f>AI156*VLOOKUP('Données projet'!$B$10,Paramètres!$A$1:$I$88,3,0)*VLOOKUP('Données projet'!$B$10,Paramètres!$A$1:$I$88,5,0)</f>
        <v>-4.6288732846733184E-13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441.34749554136755</v>
      </c>
      <c r="AO156" s="62">
        <f t="shared" si="144"/>
        <v>236.49038586666222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0</v>
      </c>
      <c r="AV156" s="23">
        <f>EXP(-LN(2)/25)*AV155+(1-EXP(-LN(2)/25))/(LN(2)/25)*Calculateur!AQ156*Calculateur!AS156*VLOOKUP('Données projet'!$B$10,Paramètres!$A$1:$I$88,3,0)*0.475*44/12</f>
        <v>0</v>
      </c>
      <c r="AW156" s="23">
        <f>EXP(-LN(2)/2)*AW155+(1-EXP(-LN(2)/2))/(LN(2)/2)*AQ156*AT156*VLOOKUP('Données projet'!$B$10,Paramètres!$A$1:$I$88,3,0)*0.475*44/12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69.539476997596182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-5.1159076974727213E-13</v>
      </c>
      <c r="BE156" s="14">
        <f>BD156*VLOOKUP('Données projet'!$B$11,Paramètres!$A$1:$I$88,3,0)*VLOOKUP('Données projet'!$B$11,Paramètres!$A$1:$I$88,5,0)</f>
        <v>-5.5067630455596371E-13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514.86487884889584</v>
      </c>
      <c r="BJ156" s="62">
        <f t="shared" si="146"/>
        <v>272.4206208356191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projet'!$B$11,Paramètres!$A$1:$I$88,3,0)*0.475*44/12</f>
        <v>0</v>
      </c>
      <c r="BQ156" s="23">
        <f>EXP(-LN(2)/25)*BQ155+(1-EXP(-LN(2)/25))/(LN(2)/25)*Calculateur!BL156*Calculateur!BN156*VLOOKUP('Données projet'!$B$11,Paramètres!$A$1:$I$88,3,0)*0.475*44/12</f>
        <v>0</v>
      </c>
      <c r="BR156" s="23">
        <f>EXP(-LN(2)/2)*BR155+(1-EXP(-LN(2)/2))/(LN(2)/2)*BL156*BO156*VLOOKUP('Données projet'!$B$11,Paramètres!$A$1:$I$88,3,0)*0.475*44/12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69.539476997596182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-1.7053025658242404E-13</v>
      </c>
      <c r="BZ156" s="14">
        <f>BY156*VLOOKUP('Données projet'!$B$12,Paramètres!$A$1:$I$88,3,0)*VLOOKUP('Données projet'!$B$12,Paramètres!$A$1:$I$88,5,0)</f>
        <v>-1.1173142411280423E-13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270.10151451661864</v>
      </c>
      <c r="CE156" s="62">
        <f t="shared" si="148"/>
        <v>294.47934482366804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projet'!$B$12,Paramètres!$A$1:$I$88,3,0)*0.475*44/12</f>
        <v>0</v>
      </c>
      <c r="CL156" s="23">
        <f>EXP(-LN(2)/25)*CL155+(1-EXP(-LN(2)/25))/(LN(2)/25)*Calculateur!CG156*Calculateur!CI156*VLOOKUP('Données projet'!$B$12,Paramètres!$A$1:$I$88,3,0)*0.475*44/12</f>
        <v>0</v>
      </c>
      <c r="CM156" s="23">
        <f>EXP(-LN(2)/2)*CM155+(1-EXP(-LN(2)/2))/(LN(2)/2)*CG156*CJ156*VLOOKUP('Données projet'!$B$12,Paramètres!$A$1:$I$88,3,0)*0.475*44/12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69.539476997596182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-1.7053025658242404E-13</v>
      </c>
      <c r="CU156" s="18">
        <f>CT156*VLOOKUP('Données projet'!$B$13,Paramètres!$A$1:$I$88,3,0)*VLOOKUP('Données projet'!$B$13,Paramètres!$A$1:$I$88,5,0)</f>
        <v>-1.1173142411280423E-13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270.10151451661864</v>
      </c>
      <c r="CZ156" s="62">
        <f t="shared" si="150"/>
        <v>294.47934482366804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projet'!$B$13,Paramètres!$A$1:$I$88,3,0)*0.475*44/12</f>
        <v>0</v>
      </c>
      <c r="DG156" s="23">
        <f>EXP(-LN(2)/25)*DG155+(1-EXP(-LN(2)/25))/(LN(2)/25)*Calculateur!DB156*Calculateur!DD156*VLOOKUP('Données projet'!$B$13,Paramètres!$A$1:$I$88,3,0)*0.475*44/12</f>
        <v>0</v>
      </c>
      <c r="DH156" s="23">
        <f>EXP(-LN(2)/2)*DH155+(1-EXP(-LN(2)/2))/(LN(2)/2)*DB156*DE156*VLOOKUP('Données projet'!$B$13,Paramètres!$A$1:$I$88,3,0)*0.475*44/12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69.539476997596182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projet'!$B$14,Paramètres!$A$1:$I$88,3,0)*0.475*44/12</f>
        <v>#N/A</v>
      </c>
      <c r="EB156" s="23" t="e">
        <f>EXP(-LN(2)/25)*EB155+(1-EXP(-LN(2)/25))/(LN(2)/25)*Calculateur!DW156*Calculateur!DY156*VLOOKUP('Données projet'!$B$14,Paramètres!$A$1:$I$88,3,0)*0.475*44/12</f>
        <v>#N/A</v>
      </c>
      <c r="EC156" s="23" t="e">
        <f>EXP(-LN(2)/2)*EC155+(1-EXP(-LN(2)/2))/(LN(2)/2)*DW156*DZ156*VLOOKUP('Données projet'!$B$14,Paramètres!$A$1:$I$88,3,0)*0.475*44/12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69.539476997596182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69.539476997596182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69.539476997596182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69.539476997596182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1.34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4.9133333333333331</v>
      </c>
      <c r="H157" s="70">
        <f t="shared" si="110"/>
        <v>237.01333333333332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69.547466042112703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-5.1159076974727213E-13</v>
      </c>
      <c r="O157" s="14">
        <f>N157*VLOOKUP('Données projet'!$B$9,Paramètres!$A$1:$I$88,3,0)*VLOOKUP('Données projet'!$B$9,Paramètres!$A$1:$I$88,5,0)</f>
        <v>-5.1875304052373401E-13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488.16146816015231</v>
      </c>
      <c r="T157" s="62">
        <f t="shared" si="142"/>
        <v>259.37115195552127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0</v>
      </c>
      <c r="AA157" s="23">
        <f>EXP(-LN(2)/25)*AA156+(1-EXP(-LN(2)/25))/(LN(2)/25)*Calculateur!V157*Calculateur!X157*VLOOKUP('Données projet'!$B$9,Paramètres!$A$1:$I$88,3,0)*0.475*44/12</f>
        <v>0</v>
      </c>
      <c r="AB157" s="23">
        <f>EXP(-LN(2)/2)*AB156+(1-EXP(-LN(2)/2))/(LN(2)/2)*V157*Y157*VLOOKUP('Données projet'!$B$9,Paramètres!$A$1:$I$88,3,0)*0.475*44/12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69.547466042112703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-5.1159076974727213E-13</v>
      </c>
      <c r="AJ157" s="14">
        <f>AI157*VLOOKUP('Données projet'!$B$10,Paramètres!$A$1:$I$88,3,0)*VLOOKUP('Données projet'!$B$10,Paramètres!$A$1:$I$88,5,0)</f>
        <v>-4.6288732846733184E-13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441.34749554136755</v>
      </c>
      <c r="AO157" s="62">
        <f t="shared" si="144"/>
        <v>236.49038586666222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0</v>
      </c>
      <c r="AV157" s="23">
        <f>EXP(-LN(2)/25)*AV156+(1-EXP(-LN(2)/25))/(LN(2)/25)*Calculateur!AQ157*Calculateur!AS157*VLOOKUP('Données projet'!$B$10,Paramètres!$A$1:$I$88,3,0)*0.475*44/12</f>
        <v>0</v>
      </c>
      <c r="AW157" s="23">
        <f>EXP(-LN(2)/2)*AW156+(1-EXP(-LN(2)/2))/(LN(2)/2)*AQ157*AT157*VLOOKUP('Données projet'!$B$10,Paramètres!$A$1:$I$88,3,0)*0.475*44/12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69.547466042112703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-5.1159076974727213E-13</v>
      </c>
      <c r="BE157" s="14">
        <f>BD157*VLOOKUP('Données projet'!$B$11,Paramètres!$A$1:$I$88,3,0)*VLOOKUP('Données projet'!$B$11,Paramètres!$A$1:$I$88,5,0)</f>
        <v>-5.5067630455596371E-13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514.86487884889584</v>
      </c>
      <c r="BJ157" s="62">
        <f t="shared" si="146"/>
        <v>272.4206208356191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projet'!$B$11,Paramètres!$A$1:$I$88,3,0)*0.475*44/12</f>
        <v>0</v>
      </c>
      <c r="BQ157" s="23">
        <f>EXP(-LN(2)/25)*BQ156+(1-EXP(-LN(2)/25))/(LN(2)/25)*Calculateur!BL157*Calculateur!BN157*VLOOKUP('Données projet'!$B$11,Paramètres!$A$1:$I$88,3,0)*0.475*44/12</f>
        <v>0</v>
      </c>
      <c r="BR157" s="23">
        <f>EXP(-LN(2)/2)*BR156+(1-EXP(-LN(2)/2))/(LN(2)/2)*BL157*BO157*VLOOKUP('Données projet'!$B$11,Paramètres!$A$1:$I$88,3,0)*0.475*44/12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69.547466042112703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-1.7053025658242404E-13</v>
      </c>
      <c r="BZ157" s="14">
        <f>BY157*VLOOKUP('Données projet'!$B$12,Paramètres!$A$1:$I$88,3,0)*VLOOKUP('Données projet'!$B$12,Paramètres!$A$1:$I$88,5,0)</f>
        <v>-1.1173142411280423E-13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270.10151451661864</v>
      </c>
      <c r="CE157" s="62">
        <f t="shared" si="148"/>
        <v>294.47934482366804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projet'!$B$12,Paramètres!$A$1:$I$88,3,0)*0.475*44/12</f>
        <v>0</v>
      </c>
      <c r="CL157" s="23">
        <f>EXP(-LN(2)/25)*CL156+(1-EXP(-LN(2)/25))/(LN(2)/25)*Calculateur!CG157*Calculateur!CI157*VLOOKUP('Données projet'!$B$12,Paramètres!$A$1:$I$88,3,0)*0.475*44/12</f>
        <v>0</v>
      </c>
      <c r="CM157" s="23">
        <f>EXP(-LN(2)/2)*CM156+(1-EXP(-LN(2)/2))/(LN(2)/2)*CG157*CJ157*VLOOKUP('Données projet'!$B$12,Paramètres!$A$1:$I$88,3,0)*0.475*44/12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69.547466042112703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-1.7053025658242404E-13</v>
      </c>
      <c r="CU157" s="18">
        <f>CT157*VLOOKUP('Données projet'!$B$13,Paramètres!$A$1:$I$88,3,0)*VLOOKUP('Données projet'!$B$13,Paramètres!$A$1:$I$88,5,0)</f>
        <v>-1.1173142411280423E-13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270.10151451661864</v>
      </c>
      <c r="CZ157" s="62">
        <f t="shared" si="150"/>
        <v>294.47934482366804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projet'!$B$13,Paramètres!$A$1:$I$88,3,0)*0.475*44/12</f>
        <v>0</v>
      </c>
      <c r="DG157" s="23">
        <f>EXP(-LN(2)/25)*DG156+(1-EXP(-LN(2)/25))/(LN(2)/25)*Calculateur!DB157*Calculateur!DD157*VLOOKUP('Données projet'!$B$13,Paramètres!$A$1:$I$88,3,0)*0.475*44/12</f>
        <v>0</v>
      </c>
      <c r="DH157" s="23">
        <f>EXP(-LN(2)/2)*DH156+(1-EXP(-LN(2)/2))/(LN(2)/2)*DB157*DE157*VLOOKUP('Données projet'!$B$13,Paramètres!$A$1:$I$88,3,0)*0.475*44/12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69.547466042112703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projet'!$B$14,Paramètres!$A$1:$I$88,3,0)*0.475*44/12</f>
        <v>#N/A</v>
      </c>
      <c r="EB157" s="23" t="e">
        <f>EXP(-LN(2)/25)*EB156+(1-EXP(-LN(2)/25))/(LN(2)/25)*Calculateur!DW157*Calculateur!DY157*VLOOKUP('Données projet'!$B$14,Paramètres!$A$1:$I$88,3,0)*0.475*44/12</f>
        <v>#N/A</v>
      </c>
      <c r="EC157" s="23" t="e">
        <f>EXP(-LN(2)/2)*EC156+(1-EXP(-LN(2)/2))/(LN(2)/2)*DW157*DZ157*VLOOKUP('Données projet'!$B$14,Paramètres!$A$1:$I$88,3,0)*0.475*44/12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69.547466042112703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69.547466042112703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69.547466042112703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69.547466042112703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1.34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4.9133333333333331</v>
      </c>
      <c r="H158" s="70">
        <f t="shared" si="110"/>
        <v>237.01333333333332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69.555316494567677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-5.1159076974727213E-13</v>
      </c>
      <c r="O158" s="14">
        <f>N158*VLOOKUP('Données projet'!$B$9,Paramètres!$A$1:$I$88,3,0)*VLOOKUP('Données projet'!$B$9,Paramètres!$A$1:$I$88,5,0)</f>
        <v>-5.1875304052373401E-13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488.16146816015231</v>
      </c>
      <c r="T158" s="62">
        <f t="shared" si="142"/>
        <v>259.37115195552127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0</v>
      </c>
      <c r="AA158" s="23">
        <f>EXP(-LN(2)/25)*AA157+(1-EXP(-LN(2)/25))/(LN(2)/25)*Calculateur!V158*Calculateur!X158*VLOOKUP('Données projet'!$B$9,Paramètres!$A$1:$I$88,3,0)*0.475*44/12</f>
        <v>0</v>
      </c>
      <c r="AB158" s="23">
        <f>EXP(-LN(2)/2)*AB157+(1-EXP(-LN(2)/2))/(LN(2)/2)*V158*Y158*VLOOKUP('Données projet'!$B$9,Paramètres!$A$1:$I$88,3,0)*0.475*44/12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69.555316494567677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-5.1159076974727213E-13</v>
      </c>
      <c r="AJ158" s="14">
        <f>AI158*VLOOKUP('Données projet'!$B$10,Paramètres!$A$1:$I$88,3,0)*VLOOKUP('Données projet'!$B$10,Paramètres!$A$1:$I$88,5,0)</f>
        <v>-4.6288732846733184E-13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441.34749554136755</v>
      </c>
      <c r="AO158" s="62">
        <f t="shared" si="144"/>
        <v>236.49038586666222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0</v>
      </c>
      <c r="AV158" s="23">
        <f>EXP(-LN(2)/25)*AV157+(1-EXP(-LN(2)/25))/(LN(2)/25)*Calculateur!AQ158*Calculateur!AS158*VLOOKUP('Données projet'!$B$10,Paramètres!$A$1:$I$88,3,0)*0.475*44/12</f>
        <v>0</v>
      </c>
      <c r="AW158" s="23">
        <f>EXP(-LN(2)/2)*AW157+(1-EXP(-LN(2)/2))/(LN(2)/2)*AQ158*AT158*VLOOKUP('Données projet'!$B$10,Paramètres!$A$1:$I$88,3,0)*0.475*44/12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69.555316494567677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-5.1159076974727213E-13</v>
      </c>
      <c r="BE158" s="14">
        <f>BD158*VLOOKUP('Données projet'!$B$11,Paramètres!$A$1:$I$88,3,0)*VLOOKUP('Données projet'!$B$11,Paramètres!$A$1:$I$88,5,0)</f>
        <v>-5.5067630455596371E-13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514.86487884889584</v>
      </c>
      <c r="BJ158" s="62">
        <f t="shared" si="146"/>
        <v>272.4206208356191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projet'!$B$11,Paramètres!$A$1:$I$88,3,0)*0.475*44/12</f>
        <v>0</v>
      </c>
      <c r="BQ158" s="23">
        <f>EXP(-LN(2)/25)*BQ157+(1-EXP(-LN(2)/25))/(LN(2)/25)*Calculateur!BL158*Calculateur!BN158*VLOOKUP('Données projet'!$B$11,Paramètres!$A$1:$I$88,3,0)*0.475*44/12</f>
        <v>0</v>
      </c>
      <c r="BR158" s="23">
        <f>EXP(-LN(2)/2)*BR157+(1-EXP(-LN(2)/2))/(LN(2)/2)*BL158*BO158*VLOOKUP('Données projet'!$B$11,Paramètres!$A$1:$I$88,3,0)*0.475*44/12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69.555316494567677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-1.7053025658242404E-13</v>
      </c>
      <c r="BZ158" s="14">
        <f>BY158*VLOOKUP('Données projet'!$B$12,Paramètres!$A$1:$I$88,3,0)*VLOOKUP('Données projet'!$B$12,Paramètres!$A$1:$I$88,5,0)</f>
        <v>-1.1173142411280423E-13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270.10151451661864</v>
      </c>
      <c r="CE158" s="62">
        <f t="shared" si="148"/>
        <v>294.47934482366804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projet'!$B$12,Paramètres!$A$1:$I$88,3,0)*0.475*44/12</f>
        <v>0</v>
      </c>
      <c r="CL158" s="23">
        <f>EXP(-LN(2)/25)*CL157+(1-EXP(-LN(2)/25))/(LN(2)/25)*Calculateur!CG158*Calculateur!CI158*VLOOKUP('Données projet'!$B$12,Paramètres!$A$1:$I$88,3,0)*0.475*44/12</f>
        <v>0</v>
      </c>
      <c r="CM158" s="23">
        <f>EXP(-LN(2)/2)*CM157+(1-EXP(-LN(2)/2))/(LN(2)/2)*CG158*CJ158*VLOOKUP('Données projet'!$B$12,Paramètres!$A$1:$I$88,3,0)*0.475*44/12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69.555316494567677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-1.7053025658242404E-13</v>
      </c>
      <c r="CU158" s="18">
        <f>CT158*VLOOKUP('Données projet'!$B$13,Paramètres!$A$1:$I$88,3,0)*VLOOKUP('Données projet'!$B$13,Paramètres!$A$1:$I$88,5,0)</f>
        <v>-1.1173142411280423E-13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270.10151451661864</v>
      </c>
      <c r="CZ158" s="62">
        <f t="shared" si="150"/>
        <v>294.47934482366804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projet'!$B$13,Paramètres!$A$1:$I$88,3,0)*0.475*44/12</f>
        <v>0</v>
      </c>
      <c r="DG158" s="23">
        <f>EXP(-LN(2)/25)*DG157+(1-EXP(-LN(2)/25))/(LN(2)/25)*Calculateur!DB158*Calculateur!DD158*VLOOKUP('Données projet'!$B$13,Paramètres!$A$1:$I$88,3,0)*0.475*44/12</f>
        <v>0</v>
      </c>
      <c r="DH158" s="23">
        <f>EXP(-LN(2)/2)*DH157+(1-EXP(-LN(2)/2))/(LN(2)/2)*DB158*DE158*VLOOKUP('Données projet'!$B$13,Paramètres!$A$1:$I$88,3,0)*0.475*44/12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69.555316494567677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projet'!$B$14,Paramètres!$A$1:$I$88,3,0)*0.475*44/12</f>
        <v>#N/A</v>
      </c>
      <c r="EB158" s="23" t="e">
        <f>EXP(-LN(2)/25)*EB157+(1-EXP(-LN(2)/25))/(LN(2)/25)*Calculateur!DW158*Calculateur!DY158*VLOOKUP('Données projet'!$B$14,Paramètres!$A$1:$I$88,3,0)*0.475*44/12</f>
        <v>#N/A</v>
      </c>
      <c r="EC158" s="23" t="e">
        <f>EXP(-LN(2)/2)*EC157+(1-EXP(-LN(2)/2))/(LN(2)/2)*DW158*DZ158*VLOOKUP('Données projet'!$B$14,Paramètres!$A$1:$I$88,3,0)*0.475*44/12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69.555316494567677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69.555316494567677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69.555316494567677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69.555316494567677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1.34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4.9133333333333331</v>
      </c>
      <c r="H159" s="70">
        <f t="shared" si="110"/>
        <v>237.01333333333332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69.563030759223551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-5.1159076974727213E-13</v>
      </c>
      <c r="O159" s="14">
        <f>N159*VLOOKUP('Données projet'!$B$9,Paramètres!$A$1:$I$88,3,0)*VLOOKUP('Données projet'!$B$9,Paramètres!$A$1:$I$88,5,0)</f>
        <v>-5.1875304052373401E-13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488.16146816015231</v>
      </c>
      <c r="T159" s="62">
        <f t="shared" si="142"/>
        <v>259.37115195552127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0</v>
      </c>
      <c r="AA159" s="23">
        <f>EXP(-LN(2)/25)*AA158+(1-EXP(-LN(2)/25))/(LN(2)/25)*Calculateur!V159*Calculateur!X159*VLOOKUP('Données projet'!$B$9,Paramètres!$A$1:$I$88,3,0)*0.475*44/12</f>
        <v>0</v>
      </c>
      <c r="AB159" s="23">
        <f>EXP(-LN(2)/2)*AB158+(1-EXP(-LN(2)/2))/(LN(2)/2)*V159*Y159*VLOOKUP('Données projet'!$B$9,Paramètres!$A$1:$I$88,3,0)*0.475*44/12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69.563030759223551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-5.1159076974727213E-13</v>
      </c>
      <c r="AJ159" s="14">
        <f>AI159*VLOOKUP('Données projet'!$B$10,Paramètres!$A$1:$I$88,3,0)*VLOOKUP('Données projet'!$B$10,Paramètres!$A$1:$I$88,5,0)</f>
        <v>-4.6288732846733184E-13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441.34749554136755</v>
      </c>
      <c r="AO159" s="62">
        <f t="shared" si="144"/>
        <v>236.49038586666222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0</v>
      </c>
      <c r="AV159" s="23">
        <f>EXP(-LN(2)/25)*AV158+(1-EXP(-LN(2)/25))/(LN(2)/25)*Calculateur!AQ159*Calculateur!AS159*VLOOKUP('Données projet'!$B$10,Paramètres!$A$1:$I$88,3,0)*0.475*44/12</f>
        <v>0</v>
      </c>
      <c r="AW159" s="23">
        <f>EXP(-LN(2)/2)*AW158+(1-EXP(-LN(2)/2))/(LN(2)/2)*AQ159*AT159*VLOOKUP('Données projet'!$B$10,Paramètres!$A$1:$I$88,3,0)*0.475*44/12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69.563030759223551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-5.1159076974727213E-13</v>
      </c>
      <c r="BE159" s="14">
        <f>BD159*VLOOKUP('Données projet'!$B$11,Paramètres!$A$1:$I$88,3,0)*VLOOKUP('Données projet'!$B$11,Paramètres!$A$1:$I$88,5,0)</f>
        <v>-5.5067630455596371E-13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514.86487884889584</v>
      </c>
      <c r="BJ159" s="62">
        <f t="shared" si="146"/>
        <v>272.4206208356191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projet'!$B$11,Paramètres!$A$1:$I$88,3,0)*0.475*44/12</f>
        <v>0</v>
      </c>
      <c r="BQ159" s="23">
        <f>EXP(-LN(2)/25)*BQ158+(1-EXP(-LN(2)/25))/(LN(2)/25)*Calculateur!BL159*Calculateur!BN159*VLOOKUP('Données projet'!$B$11,Paramètres!$A$1:$I$88,3,0)*0.475*44/12</f>
        <v>0</v>
      </c>
      <c r="BR159" s="23">
        <f>EXP(-LN(2)/2)*BR158+(1-EXP(-LN(2)/2))/(LN(2)/2)*BL159*BO159*VLOOKUP('Données projet'!$B$11,Paramètres!$A$1:$I$88,3,0)*0.475*44/12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69.563030759223551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-1.7053025658242404E-13</v>
      </c>
      <c r="BZ159" s="14">
        <f>BY159*VLOOKUP('Données projet'!$B$12,Paramètres!$A$1:$I$88,3,0)*VLOOKUP('Données projet'!$B$12,Paramètres!$A$1:$I$88,5,0)</f>
        <v>-1.1173142411280423E-13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270.10151451661864</v>
      </c>
      <c r="CE159" s="62">
        <f t="shared" si="148"/>
        <v>294.47934482366804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projet'!$B$12,Paramètres!$A$1:$I$88,3,0)*0.475*44/12</f>
        <v>0</v>
      </c>
      <c r="CL159" s="23">
        <f>EXP(-LN(2)/25)*CL158+(1-EXP(-LN(2)/25))/(LN(2)/25)*Calculateur!CG159*Calculateur!CI159*VLOOKUP('Données projet'!$B$12,Paramètres!$A$1:$I$88,3,0)*0.475*44/12</f>
        <v>0</v>
      </c>
      <c r="CM159" s="23">
        <f>EXP(-LN(2)/2)*CM158+(1-EXP(-LN(2)/2))/(LN(2)/2)*CG159*CJ159*VLOOKUP('Données projet'!$B$12,Paramètres!$A$1:$I$88,3,0)*0.475*44/12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69.563030759223551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-1.7053025658242404E-13</v>
      </c>
      <c r="CU159" s="18">
        <f>CT159*VLOOKUP('Données projet'!$B$13,Paramètres!$A$1:$I$88,3,0)*VLOOKUP('Données projet'!$B$13,Paramètres!$A$1:$I$88,5,0)</f>
        <v>-1.1173142411280423E-13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270.10151451661864</v>
      </c>
      <c r="CZ159" s="62">
        <f t="shared" si="150"/>
        <v>294.47934482366804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projet'!$B$13,Paramètres!$A$1:$I$88,3,0)*0.475*44/12</f>
        <v>0</v>
      </c>
      <c r="DG159" s="23">
        <f>EXP(-LN(2)/25)*DG158+(1-EXP(-LN(2)/25))/(LN(2)/25)*Calculateur!DB159*Calculateur!DD159*VLOOKUP('Données projet'!$B$13,Paramètres!$A$1:$I$88,3,0)*0.475*44/12</f>
        <v>0</v>
      </c>
      <c r="DH159" s="23">
        <f>EXP(-LN(2)/2)*DH158+(1-EXP(-LN(2)/2))/(LN(2)/2)*DB159*DE159*VLOOKUP('Données projet'!$B$13,Paramètres!$A$1:$I$88,3,0)*0.475*44/12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69.563030759223551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projet'!$B$14,Paramètres!$A$1:$I$88,3,0)*0.475*44/12</f>
        <v>#N/A</v>
      </c>
      <c r="EB159" s="23" t="e">
        <f>EXP(-LN(2)/25)*EB158+(1-EXP(-LN(2)/25))/(LN(2)/25)*Calculateur!DW159*Calculateur!DY159*VLOOKUP('Données projet'!$B$14,Paramètres!$A$1:$I$88,3,0)*0.475*44/12</f>
        <v>#N/A</v>
      </c>
      <c r="EC159" s="23" t="e">
        <f>EXP(-LN(2)/2)*EC158+(1-EXP(-LN(2)/2))/(LN(2)/2)*DW159*DZ159*VLOOKUP('Données projet'!$B$14,Paramètres!$A$1:$I$88,3,0)*0.475*44/12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69.563030759223551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69.563030759223551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69.563030759223551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69.563030759223551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1.34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4.9133333333333331</v>
      </c>
      <c r="H160" s="70">
        <f t="shared" si="110"/>
        <v>237.01333333333332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69.570611198634154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-5.1159076974727213E-13</v>
      </c>
      <c r="O160" s="14">
        <f>N160*VLOOKUP('Données projet'!$B$9,Paramètres!$A$1:$I$88,3,0)*VLOOKUP('Données projet'!$B$9,Paramètres!$A$1:$I$88,5,0)</f>
        <v>-5.1875304052373401E-13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488.16146816015231</v>
      </c>
      <c r="T160" s="62">
        <f t="shared" si="142"/>
        <v>259.37115195552127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0</v>
      </c>
      <c r="AA160" s="23">
        <f>EXP(-LN(2)/25)*AA159+(1-EXP(-LN(2)/25))/(LN(2)/25)*Calculateur!V160*Calculateur!X160*VLOOKUP('Données projet'!$B$9,Paramètres!$A$1:$I$88,3,0)*0.475*44/12</f>
        <v>0</v>
      </c>
      <c r="AB160" s="23">
        <f>EXP(-LN(2)/2)*AB159+(1-EXP(-LN(2)/2))/(LN(2)/2)*V160*Y160*VLOOKUP('Données projet'!$B$9,Paramètres!$A$1:$I$88,3,0)*0.475*44/12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69.570611198634154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-5.1159076974727213E-13</v>
      </c>
      <c r="AJ160" s="14">
        <f>AI160*VLOOKUP('Données projet'!$B$10,Paramètres!$A$1:$I$88,3,0)*VLOOKUP('Données projet'!$B$10,Paramètres!$A$1:$I$88,5,0)</f>
        <v>-4.6288732846733184E-13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441.34749554136755</v>
      </c>
      <c r="AO160" s="62">
        <f t="shared" si="144"/>
        <v>236.49038586666222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0</v>
      </c>
      <c r="AV160" s="23">
        <f>EXP(-LN(2)/25)*AV159+(1-EXP(-LN(2)/25))/(LN(2)/25)*Calculateur!AQ160*Calculateur!AS160*VLOOKUP('Données projet'!$B$10,Paramètres!$A$1:$I$88,3,0)*0.475*44/12</f>
        <v>0</v>
      </c>
      <c r="AW160" s="23">
        <f>EXP(-LN(2)/2)*AW159+(1-EXP(-LN(2)/2))/(LN(2)/2)*AQ160*AT160*VLOOKUP('Données projet'!$B$10,Paramètres!$A$1:$I$88,3,0)*0.475*44/12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69.570611198634154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-5.1159076974727213E-13</v>
      </c>
      <c r="BE160" s="14">
        <f>BD160*VLOOKUP('Données projet'!$B$11,Paramètres!$A$1:$I$88,3,0)*VLOOKUP('Données projet'!$B$11,Paramètres!$A$1:$I$88,5,0)</f>
        <v>-5.5067630455596371E-13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514.86487884889584</v>
      </c>
      <c r="BJ160" s="62">
        <f t="shared" si="146"/>
        <v>272.4206208356191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projet'!$B$11,Paramètres!$A$1:$I$88,3,0)*0.475*44/12</f>
        <v>0</v>
      </c>
      <c r="BQ160" s="23">
        <f>EXP(-LN(2)/25)*BQ159+(1-EXP(-LN(2)/25))/(LN(2)/25)*Calculateur!BL160*Calculateur!BN160*VLOOKUP('Données projet'!$B$11,Paramètres!$A$1:$I$88,3,0)*0.475*44/12</f>
        <v>0</v>
      </c>
      <c r="BR160" s="23">
        <f>EXP(-LN(2)/2)*BR159+(1-EXP(-LN(2)/2))/(LN(2)/2)*BL160*BO160*VLOOKUP('Données projet'!$B$11,Paramètres!$A$1:$I$88,3,0)*0.475*44/12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69.570611198634154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-1.7053025658242404E-13</v>
      </c>
      <c r="BZ160" s="14">
        <f>BY160*VLOOKUP('Données projet'!$B$12,Paramètres!$A$1:$I$88,3,0)*VLOOKUP('Données projet'!$B$12,Paramètres!$A$1:$I$88,5,0)</f>
        <v>-1.1173142411280423E-13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270.10151451661864</v>
      </c>
      <c r="CE160" s="62">
        <f t="shared" si="148"/>
        <v>294.47934482366804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projet'!$B$12,Paramètres!$A$1:$I$88,3,0)*0.475*44/12</f>
        <v>0</v>
      </c>
      <c r="CL160" s="23">
        <f>EXP(-LN(2)/25)*CL159+(1-EXP(-LN(2)/25))/(LN(2)/25)*Calculateur!CG160*Calculateur!CI160*VLOOKUP('Données projet'!$B$12,Paramètres!$A$1:$I$88,3,0)*0.475*44/12</f>
        <v>0</v>
      </c>
      <c r="CM160" s="23">
        <f>EXP(-LN(2)/2)*CM159+(1-EXP(-LN(2)/2))/(LN(2)/2)*CG160*CJ160*VLOOKUP('Données projet'!$B$12,Paramètres!$A$1:$I$88,3,0)*0.475*44/12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69.570611198634154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-1.7053025658242404E-13</v>
      </c>
      <c r="CU160" s="18">
        <f>CT160*VLOOKUP('Données projet'!$B$13,Paramètres!$A$1:$I$88,3,0)*VLOOKUP('Données projet'!$B$13,Paramètres!$A$1:$I$88,5,0)</f>
        <v>-1.1173142411280423E-13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270.10151451661864</v>
      </c>
      <c r="CZ160" s="62">
        <f t="shared" si="150"/>
        <v>294.47934482366804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projet'!$B$13,Paramètres!$A$1:$I$88,3,0)*0.475*44/12</f>
        <v>0</v>
      </c>
      <c r="DG160" s="23">
        <f>EXP(-LN(2)/25)*DG159+(1-EXP(-LN(2)/25))/(LN(2)/25)*Calculateur!DB160*Calculateur!DD160*VLOOKUP('Données projet'!$B$13,Paramètres!$A$1:$I$88,3,0)*0.475*44/12</f>
        <v>0</v>
      </c>
      <c r="DH160" s="23">
        <f>EXP(-LN(2)/2)*DH159+(1-EXP(-LN(2)/2))/(LN(2)/2)*DB160*DE160*VLOOKUP('Données projet'!$B$13,Paramètres!$A$1:$I$88,3,0)*0.475*44/12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69.570611198634154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projet'!$B$14,Paramètres!$A$1:$I$88,3,0)*0.475*44/12</f>
        <v>#N/A</v>
      </c>
      <c r="EB160" s="23" t="e">
        <f>EXP(-LN(2)/25)*EB159+(1-EXP(-LN(2)/25))/(LN(2)/25)*Calculateur!DW160*Calculateur!DY160*VLOOKUP('Données projet'!$B$14,Paramètres!$A$1:$I$88,3,0)*0.475*44/12</f>
        <v>#N/A</v>
      </c>
      <c r="EC160" s="23" t="e">
        <f>EXP(-LN(2)/2)*EC159+(1-EXP(-LN(2)/2))/(LN(2)/2)*DW160*DZ160*VLOOKUP('Données projet'!$B$14,Paramètres!$A$1:$I$88,3,0)*0.475*44/12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69.570611198634154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69.570611198634154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69.570611198634154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69.570611198634154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1.34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4.9133333333333331</v>
      </c>
      <c r="H161" s="70">
        <f t="shared" si="110"/>
        <v>237.01333333333332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69.5780601343683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-5.1159076974727213E-13</v>
      </c>
      <c r="O161" s="14">
        <f>N161*VLOOKUP('Données projet'!$B$9,Paramètres!$A$1:$I$88,3,0)*VLOOKUP('Données projet'!$B$9,Paramètres!$A$1:$I$88,5,0)</f>
        <v>-5.1875304052373401E-13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488.16146816015231</v>
      </c>
      <c r="T161" s="62">
        <f t="shared" si="142"/>
        <v>259.37115195552127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0</v>
      </c>
      <c r="AA161" s="23">
        <f>EXP(-LN(2)/25)*AA160+(1-EXP(-LN(2)/25))/(LN(2)/25)*Calculateur!V161*Calculateur!X161*VLOOKUP('Données projet'!$B$9,Paramètres!$A$1:$I$88,3,0)*0.475*44/12</f>
        <v>0</v>
      </c>
      <c r="AB161" s="23">
        <f>EXP(-LN(2)/2)*AB160+(1-EXP(-LN(2)/2))/(LN(2)/2)*V161*Y161*VLOOKUP('Données projet'!$B$9,Paramètres!$A$1:$I$88,3,0)*0.475*44/12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69.5780601343683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-5.1159076974727213E-13</v>
      </c>
      <c r="AJ161" s="14">
        <f>AI161*VLOOKUP('Données projet'!$B$10,Paramètres!$A$1:$I$88,3,0)*VLOOKUP('Données projet'!$B$10,Paramètres!$A$1:$I$88,5,0)</f>
        <v>-4.6288732846733184E-13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441.34749554136755</v>
      </c>
      <c r="AO161" s="62">
        <f t="shared" si="144"/>
        <v>236.49038586666222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0</v>
      </c>
      <c r="AV161" s="23">
        <f>EXP(-LN(2)/25)*AV160+(1-EXP(-LN(2)/25))/(LN(2)/25)*Calculateur!AQ161*Calculateur!AS161*VLOOKUP('Données projet'!$B$10,Paramètres!$A$1:$I$88,3,0)*0.475*44/12</f>
        <v>0</v>
      </c>
      <c r="AW161" s="23">
        <f>EXP(-LN(2)/2)*AW160+(1-EXP(-LN(2)/2))/(LN(2)/2)*AQ161*AT161*VLOOKUP('Données projet'!$B$10,Paramètres!$A$1:$I$88,3,0)*0.475*44/12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69.5780601343683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-5.1159076974727213E-13</v>
      </c>
      <c r="BE161" s="14">
        <f>BD161*VLOOKUP('Données projet'!$B$11,Paramètres!$A$1:$I$88,3,0)*VLOOKUP('Données projet'!$B$11,Paramètres!$A$1:$I$88,5,0)</f>
        <v>-5.5067630455596371E-13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514.86487884889584</v>
      </c>
      <c r="BJ161" s="62">
        <f t="shared" si="146"/>
        <v>272.4206208356191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projet'!$B$11,Paramètres!$A$1:$I$88,3,0)*0.475*44/12</f>
        <v>0</v>
      </c>
      <c r="BQ161" s="23">
        <f>EXP(-LN(2)/25)*BQ160+(1-EXP(-LN(2)/25))/(LN(2)/25)*Calculateur!BL161*Calculateur!BN161*VLOOKUP('Données projet'!$B$11,Paramètres!$A$1:$I$88,3,0)*0.475*44/12</f>
        <v>0</v>
      </c>
      <c r="BR161" s="23">
        <f>EXP(-LN(2)/2)*BR160+(1-EXP(-LN(2)/2))/(LN(2)/2)*BL161*BO161*VLOOKUP('Données projet'!$B$11,Paramètres!$A$1:$I$88,3,0)*0.475*44/12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69.5780601343683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-1.7053025658242404E-13</v>
      </c>
      <c r="BZ161" s="14">
        <f>BY161*VLOOKUP('Données projet'!$B$12,Paramètres!$A$1:$I$88,3,0)*VLOOKUP('Données projet'!$B$12,Paramètres!$A$1:$I$88,5,0)</f>
        <v>-1.1173142411280423E-13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270.10151451661864</v>
      </c>
      <c r="CE161" s="62">
        <f t="shared" si="148"/>
        <v>294.47934482366804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projet'!$B$12,Paramètres!$A$1:$I$88,3,0)*0.475*44/12</f>
        <v>0</v>
      </c>
      <c r="CL161" s="23">
        <f>EXP(-LN(2)/25)*CL160+(1-EXP(-LN(2)/25))/(LN(2)/25)*Calculateur!CG161*Calculateur!CI161*VLOOKUP('Données projet'!$B$12,Paramètres!$A$1:$I$88,3,0)*0.475*44/12</f>
        <v>0</v>
      </c>
      <c r="CM161" s="23">
        <f>EXP(-LN(2)/2)*CM160+(1-EXP(-LN(2)/2))/(LN(2)/2)*CG161*CJ161*VLOOKUP('Données projet'!$B$12,Paramètres!$A$1:$I$88,3,0)*0.475*44/12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69.5780601343683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-1.7053025658242404E-13</v>
      </c>
      <c r="CU161" s="18">
        <f>CT161*VLOOKUP('Données projet'!$B$13,Paramètres!$A$1:$I$88,3,0)*VLOOKUP('Données projet'!$B$13,Paramètres!$A$1:$I$88,5,0)</f>
        <v>-1.1173142411280423E-13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270.10151451661864</v>
      </c>
      <c r="CZ161" s="62">
        <f t="shared" si="150"/>
        <v>294.47934482366804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projet'!$B$13,Paramètres!$A$1:$I$88,3,0)*0.475*44/12</f>
        <v>0</v>
      </c>
      <c r="DG161" s="23">
        <f>EXP(-LN(2)/25)*DG160+(1-EXP(-LN(2)/25))/(LN(2)/25)*Calculateur!DB161*Calculateur!DD161*VLOOKUP('Données projet'!$B$13,Paramètres!$A$1:$I$88,3,0)*0.475*44/12</f>
        <v>0</v>
      </c>
      <c r="DH161" s="23">
        <f>EXP(-LN(2)/2)*DH160+(1-EXP(-LN(2)/2))/(LN(2)/2)*DB161*DE161*VLOOKUP('Données projet'!$B$13,Paramètres!$A$1:$I$88,3,0)*0.475*44/12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69.5780601343683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projet'!$B$14,Paramètres!$A$1:$I$88,3,0)*0.475*44/12</f>
        <v>#N/A</v>
      </c>
      <c r="EB161" s="23" t="e">
        <f>EXP(-LN(2)/25)*EB160+(1-EXP(-LN(2)/25))/(LN(2)/25)*Calculateur!DW161*Calculateur!DY161*VLOOKUP('Données projet'!$B$14,Paramètres!$A$1:$I$88,3,0)*0.475*44/12</f>
        <v>#N/A</v>
      </c>
      <c r="EC161" s="23" t="e">
        <f>EXP(-LN(2)/2)*EC160+(1-EXP(-LN(2)/2))/(LN(2)/2)*DW161*DZ161*VLOOKUP('Données projet'!$B$14,Paramètres!$A$1:$I$88,3,0)*0.475*44/12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69.5780601343683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69.5780601343683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69.5780601343683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69.5780601343683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1.34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4.9133333333333331</v>
      </c>
      <c r="H162" s="70">
        <f t="shared" si="110"/>
        <v>237.01333333333332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69.585379847720787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-5.1159076974727213E-13</v>
      </c>
      <c r="O162" s="14">
        <f>N162*VLOOKUP('Données projet'!$B$9,Paramètres!$A$1:$I$88,3,0)*VLOOKUP('Données projet'!$B$9,Paramètres!$A$1:$I$88,5,0)</f>
        <v>-5.1875304052373401E-13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488.16146816015231</v>
      </c>
      <c r="T162" s="62">
        <f t="shared" si="142"/>
        <v>259.37115195552127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0</v>
      </c>
      <c r="AA162" s="23">
        <f>EXP(-LN(2)/25)*AA161+(1-EXP(-LN(2)/25))/(LN(2)/25)*Calculateur!V162*Calculateur!X162*VLOOKUP('Données projet'!$B$9,Paramètres!$A$1:$I$88,3,0)*0.475*44/12</f>
        <v>0</v>
      </c>
      <c r="AB162" s="23">
        <f>EXP(-LN(2)/2)*AB161+(1-EXP(-LN(2)/2))/(LN(2)/2)*V162*Y162*VLOOKUP('Données projet'!$B$9,Paramètres!$A$1:$I$88,3,0)*0.475*44/12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69.585379847720787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-5.1159076974727213E-13</v>
      </c>
      <c r="AJ162" s="14">
        <f>AI162*VLOOKUP('Données projet'!$B$10,Paramètres!$A$1:$I$88,3,0)*VLOOKUP('Données projet'!$B$10,Paramètres!$A$1:$I$88,5,0)</f>
        <v>-4.6288732846733184E-13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441.34749554136755</v>
      </c>
      <c r="AO162" s="62">
        <f t="shared" si="144"/>
        <v>236.49038586666222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0</v>
      </c>
      <c r="AV162" s="23">
        <f>EXP(-LN(2)/25)*AV161+(1-EXP(-LN(2)/25))/(LN(2)/25)*Calculateur!AQ162*Calculateur!AS162*VLOOKUP('Données projet'!$B$10,Paramètres!$A$1:$I$88,3,0)*0.475*44/12</f>
        <v>0</v>
      </c>
      <c r="AW162" s="23">
        <f>EXP(-LN(2)/2)*AW161+(1-EXP(-LN(2)/2))/(LN(2)/2)*AQ162*AT162*VLOOKUP('Données projet'!$B$10,Paramètres!$A$1:$I$88,3,0)*0.475*44/12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69.585379847720787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-5.1159076974727213E-13</v>
      </c>
      <c r="BE162" s="14">
        <f>BD162*VLOOKUP('Données projet'!$B$11,Paramètres!$A$1:$I$88,3,0)*VLOOKUP('Données projet'!$B$11,Paramètres!$A$1:$I$88,5,0)</f>
        <v>-5.5067630455596371E-13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514.86487884889584</v>
      </c>
      <c r="BJ162" s="62">
        <f t="shared" si="146"/>
        <v>272.4206208356191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projet'!$B$11,Paramètres!$A$1:$I$88,3,0)*0.475*44/12</f>
        <v>0</v>
      </c>
      <c r="BQ162" s="23">
        <f>EXP(-LN(2)/25)*BQ161+(1-EXP(-LN(2)/25))/(LN(2)/25)*Calculateur!BL162*Calculateur!BN162*VLOOKUP('Données projet'!$B$11,Paramètres!$A$1:$I$88,3,0)*0.475*44/12</f>
        <v>0</v>
      </c>
      <c r="BR162" s="23">
        <f>EXP(-LN(2)/2)*BR161+(1-EXP(-LN(2)/2))/(LN(2)/2)*BL162*BO162*VLOOKUP('Données projet'!$B$11,Paramètres!$A$1:$I$88,3,0)*0.475*44/12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69.585379847720787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-1.7053025658242404E-13</v>
      </c>
      <c r="BZ162" s="14">
        <f>BY162*VLOOKUP('Données projet'!$B$12,Paramètres!$A$1:$I$88,3,0)*VLOOKUP('Données projet'!$B$12,Paramètres!$A$1:$I$88,5,0)</f>
        <v>-1.1173142411280423E-13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270.10151451661864</v>
      </c>
      <c r="CE162" s="62">
        <f t="shared" si="148"/>
        <v>294.47934482366804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projet'!$B$12,Paramètres!$A$1:$I$88,3,0)*0.475*44/12</f>
        <v>0</v>
      </c>
      <c r="CL162" s="23">
        <f>EXP(-LN(2)/25)*CL161+(1-EXP(-LN(2)/25))/(LN(2)/25)*Calculateur!CG162*Calculateur!CI162*VLOOKUP('Données projet'!$B$12,Paramètres!$A$1:$I$88,3,0)*0.475*44/12</f>
        <v>0</v>
      </c>
      <c r="CM162" s="23">
        <f>EXP(-LN(2)/2)*CM161+(1-EXP(-LN(2)/2))/(LN(2)/2)*CG162*CJ162*VLOOKUP('Données projet'!$B$12,Paramètres!$A$1:$I$88,3,0)*0.475*44/12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69.585379847720787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-1.7053025658242404E-13</v>
      </c>
      <c r="CU162" s="18">
        <f>CT162*VLOOKUP('Données projet'!$B$13,Paramètres!$A$1:$I$88,3,0)*VLOOKUP('Données projet'!$B$13,Paramètres!$A$1:$I$88,5,0)</f>
        <v>-1.1173142411280423E-13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270.10151451661864</v>
      </c>
      <c r="CZ162" s="62">
        <f t="shared" si="150"/>
        <v>294.47934482366804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projet'!$B$13,Paramètres!$A$1:$I$88,3,0)*0.475*44/12</f>
        <v>0</v>
      </c>
      <c r="DG162" s="23">
        <f>EXP(-LN(2)/25)*DG161+(1-EXP(-LN(2)/25))/(LN(2)/25)*Calculateur!DB162*Calculateur!DD162*VLOOKUP('Données projet'!$B$13,Paramètres!$A$1:$I$88,3,0)*0.475*44/12</f>
        <v>0</v>
      </c>
      <c r="DH162" s="23">
        <f>EXP(-LN(2)/2)*DH161+(1-EXP(-LN(2)/2))/(LN(2)/2)*DB162*DE162*VLOOKUP('Données projet'!$B$13,Paramètres!$A$1:$I$88,3,0)*0.475*44/12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69.585379847720787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projet'!$B$14,Paramètres!$A$1:$I$88,3,0)*0.475*44/12</f>
        <v>#N/A</v>
      </c>
      <c r="EB162" s="23" t="e">
        <f>EXP(-LN(2)/25)*EB161+(1-EXP(-LN(2)/25))/(LN(2)/25)*Calculateur!DW162*Calculateur!DY162*VLOOKUP('Données projet'!$B$14,Paramètres!$A$1:$I$88,3,0)*0.475*44/12</f>
        <v>#N/A</v>
      </c>
      <c r="EC162" s="23" t="e">
        <f>EXP(-LN(2)/2)*EC161+(1-EXP(-LN(2)/2))/(LN(2)/2)*DW162*DZ162*VLOOKUP('Données projet'!$B$14,Paramètres!$A$1:$I$88,3,0)*0.475*44/12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69.585379847720787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69.585379847720787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69.585379847720787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69.585379847720787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1.34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4.9133333333333331</v>
      </c>
      <c r="H163" s="70">
        <f t="shared" si="110"/>
        <v>237.01333333333332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69.592572580411044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-5.1159076974727213E-13</v>
      </c>
      <c r="O163" s="14">
        <f>N163*VLOOKUP('Données projet'!$B$9,Paramètres!$A$1:$I$88,3,0)*VLOOKUP('Données projet'!$B$9,Paramètres!$A$1:$I$88,5,0)</f>
        <v>-5.1875304052373401E-13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488.16146816015231</v>
      </c>
      <c r="T163" s="62">
        <f t="shared" si="142"/>
        <v>259.37115195552127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0</v>
      </c>
      <c r="AA163" s="23">
        <f>EXP(-LN(2)/25)*AA162+(1-EXP(-LN(2)/25))/(LN(2)/25)*Calculateur!V163*Calculateur!X163*VLOOKUP('Données projet'!$B$9,Paramètres!$A$1:$I$88,3,0)*0.475*44/12</f>
        <v>0</v>
      </c>
      <c r="AB163" s="23">
        <f>EXP(-LN(2)/2)*AB162+(1-EXP(-LN(2)/2))/(LN(2)/2)*V163*Y163*VLOOKUP('Données projet'!$B$9,Paramètres!$A$1:$I$88,3,0)*0.475*44/12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69.592572580411044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-5.1159076974727213E-13</v>
      </c>
      <c r="AJ163" s="14">
        <f>AI163*VLOOKUP('Données projet'!$B$10,Paramètres!$A$1:$I$88,3,0)*VLOOKUP('Données projet'!$B$10,Paramètres!$A$1:$I$88,5,0)</f>
        <v>-4.6288732846733184E-13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441.34749554136755</v>
      </c>
      <c r="AO163" s="62">
        <f t="shared" si="144"/>
        <v>236.49038586666222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0</v>
      </c>
      <c r="AV163" s="23">
        <f>EXP(-LN(2)/25)*AV162+(1-EXP(-LN(2)/25))/(LN(2)/25)*Calculateur!AQ163*Calculateur!AS163*VLOOKUP('Données projet'!$B$10,Paramètres!$A$1:$I$88,3,0)*0.475*44/12</f>
        <v>0</v>
      </c>
      <c r="AW163" s="23">
        <f>EXP(-LN(2)/2)*AW162+(1-EXP(-LN(2)/2))/(LN(2)/2)*AQ163*AT163*VLOOKUP('Données projet'!$B$10,Paramètres!$A$1:$I$88,3,0)*0.475*44/12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69.592572580411044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-5.1159076974727213E-13</v>
      </c>
      <c r="BE163" s="14">
        <f>BD163*VLOOKUP('Données projet'!$B$11,Paramètres!$A$1:$I$88,3,0)*VLOOKUP('Données projet'!$B$11,Paramètres!$A$1:$I$88,5,0)</f>
        <v>-5.5067630455596371E-13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514.86487884889584</v>
      </c>
      <c r="BJ163" s="62">
        <f t="shared" si="146"/>
        <v>272.4206208356191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projet'!$B$11,Paramètres!$A$1:$I$88,3,0)*0.475*44/12</f>
        <v>0</v>
      </c>
      <c r="BQ163" s="23">
        <f>EXP(-LN(2)/25)*BQ162+(1-EXP(-LN(2)/25))/(LN(2)/25)*Calculateur!BL163*Calculateur!BN163*VLOOKUP('Données projet'!$B$11,Paramètres!$A$1:$I$88,3,0)*0.475*44/12</f>
        <v>0</v>
      </c>
      <c r="BR163" s="23">
        <f>EXP(-LN(2)/2)*BR162+(1-EXP(-LN(2)/2))/(LN(2)/2)*BL163*BO163*VLOOKUP('Données projet'!$B$11,Paramètres!$A$1:$I$88,3,0)*0.475*44/12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69.592572580411044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-1.7053025658242404E-13</v>
      </c>
      <c r="BZ163" s="14">
        <f>BY163*VLOOKUP('Données projet'!$B$12,Paramètres!$A$1:$I$88,3,0)*VLOOKUP('Données projet'!$B$12,Paramètres!$A$1:$I$88,5,0)</f>
        <v>-1.1173142411280423E-13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270.10151451661864</v>
      </c>
      <c r="CE163" s="62">
        <f t="shared" si="148"/>
        <v>294.47934482366804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projet'!$B$12,Paramètres!$A$1:$I$88,3,0)*0.475*44/12</f>
        <v>0</v>
      </c>
      <c r="CL163" s="23">
        <f>EXP(-LN(2)/25)*CL162+(1-EXP(-LN(2)/25))/(LN(2)/25)*Calculateur!CG163*Calculateur!CI163*VLOOKUP('Données projet'!$B$12,Paramètres!$A$1:$I$88,3,0)*0.475*44/12</f>
        <v>0</v>
      </c>
      <c r="CM163" s="23">
        <f>EXP(-LN(2)/2)*CM162+(1-EXP(-LN(2)/2))/(LN(2)/2)*CG163*CJ163*VLOOKUP('Données projet'!$B$12,Paramètres!$A$1:$I$88,3,0)*0.475*44/12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69.592572580411044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-1.7053025658242404E-13</v>
      </c>
      <c r="CU163" s="18">
        <f>CT163*VLOOKUP('Données projet'!$B$13,Paramètres!$A$1:$I$88,3,0)*VLOOKUP('Données projet'!$B$13,Paramètres!$A$1:$I$88,5,0)</f>
        <v>-1.1173142411280423E-13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270.10151451661864</v>
      </c>
      <c r="CZ163" s="62">
        <f t="shared" si="150"/>
        <v>294.47934482366804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projet'!$B$13,Paramètres!$A$1:$I$88,3,0)*0.475*44/12</f>
        <v>0</v>
      </c>
      <c r="DG163" s="23">
        <f>EXP(-LN(2)/25)*DG162+(1-EXP(-LN(2)/25))/(LN(2)/25)*Calculateur!DB163*Calculateur!DD163*VLOOKUP('Données projet'!$B$13,Paramètres!$A$1:$I$88,3,0)*0.475*44/12</f>
        <v>0</v>
      </c>
      <c r="DH163" s="23">
        <f>EXP(-LN(2)/2)*DH162+(1-EXP(-LN(2)/2))/(LN(2)/2)*DB163*DE163*VLOOKUP('Données projet'!$B$13,Paramètres!$A$1:$I$88,3,0)*0.475*44/12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69.592572580411044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projet'!$B$14,Paramètres!$A$1:$I$88,3,0)*0.475*44/12</f>
        <v>#N/A</v>
      </c>
      <c r="EB163" s="23" t="e">
        <f>EXP(-LN(2)/25)*EB162+(1-EXP(-LN(2)/25))/(LN(2)/25)*Calculateur!DW163*Calculateur!DY163*VLOOKUP('Données projet'!$B$14,Paramètres!$A$1:$I$88,3,0)*0.475*44/12</f>
        <v>#N/A</v>
      </c>
      <c r="EC163" s="23" t="e">
        <f>EXP(-LN(2)/2)*EC162+(1-EXP(-LN(2)/2))/(LN(2)/2)*DW163*DZ163*VLOOKUP('Données projet'!$B$14,Paramètres!$A$1:$I$88,3,0)*0.475*44/12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69.592572580411044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69.592572580411044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69.592572580411044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69.592572580411044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1.34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4.9133333333333331</v>
      </c>
      <c r="H164" s="70">
        <f t="shared" si="110"/>
        <v>237.01333333333332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69.599640535269657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-5.1159076974727213E-13</v>
      </c>
      <c r="O164" s="14">
        <f>N164*VLOOKUP('Données projet'!$B$9,Paramètres!$A$1:$I$88,3,0)*VLOOKUP('Données projet'!$B$9,Paramètres!$A$1:$I$88,5,0)</f>
        <v>-5.1875304052373401E-13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488.16146816015231</v>
      </c>
      <c r="T164" s="62">
        <f t="shared" si="142"/>
        <v>259.37115195552127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0</v>
      </c>
      <c r="AA164" s="23">
        <f>EXP(-LN(2)/25)*AA163+(1-EXP(-LN(2)/25))/(LN(2)/25)*Calculateur!V164*Calculateur!X164*VLOOKUP('Données projet'!$B$9,Paramètres!$A$1:$I$88,3,0)*0.475*44/12</f>
        <v>0</v>
      </c>
      <c r="AB164" s="23">
        <f>EXP(-LN(2)/2)*AB163+(1-EXP(-LN(2)/2))/(LN(2)/2)*V164*Y164*VLOOKUP('Données projet'!$B$9,Paramètres!$A$1:$I$88,3,0)*0.475*44/12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69.599640535269657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-5.1159076974727213E-13</v>
      </c>
      <c r="AJ164" s="14">
        <f>AI164*VLOOKUP('Données projet'!$B$10,Paramètres!$A$1:$I$88,3,0)*VLOOKUP('Données projet'!$B$10,Paramètres!$A$1:$I$88,5,0)</f>
        <v>-4.6288732846733184E-13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441.34749554136755</v>
      </c>
      <c r="AO164" s="62">
        <f t="shared" si="144"/>
        <v>236.49038586666222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0</v>
      </c>
      <c r="AV164" s="23">
        <f>EXP(-LN(2)/25)*AV163+(1-EXP(-LN(2)/25))/(LN(2)/25)*Calculateur!AQ164*Calculateur!AS164*VLOOKUP('Données projet'!$B$10,Paramètres!$A$1:$I$88,3,0)*0.475*44/12</f>
        <v>0</v>
      </c>
      <c r="AW164" s="23">
        <f>EXP(-LN(2)/2)*AW163+(1-EXP(-LN(2)/2))/(LN(2)/2)*AQ164*AT164*VLOOKUP('Données projet'!$B$10,Paramètres!$A$1:$I$88,3,0)*0.475*44/12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69.599640535269657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-5.1159076974727213E-13</v>
      </c>
      <c r="BE164" s="14">
        <f>BD164*VLOOKUP('Données projet'!$B$11,Paramètres!$A$1:$I$88,3,0)*VLOOKUP('Données projet'!$B$11,Paramètres!$A$1:$I$88,5,0)</f>
        <v>-5.5067630455596371E-13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514.86487884889584</v>
      </c>
      <c r="BJ164" s="62">
        <f t="shared" si="146"/>
        <v>272.4206208356191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projet'!$B$11,Paramètres!$A$1:$I$88,3,0)*0.475*44/12</f>
        <v>0</v>
      </c>
      <c r="BQ164" s="23">
        <f>EXP(-LN(2)/25)*BQ163+(1-EXP(-LN(2)/25))/(LN(2)/25)*Calculateur!BL164*Calculateur!BN164*VLOOKUP('Données projet'!$B$11,Paramètres!$A$1:$I$88,3,0)*0.475*44/12</f>
        <v>0</v>
      </c>
      <c r="BR164" s="23">
        <f>EXP(-LN(2)/2)*BR163+(1-EXP(-LN(2)/2))/(LN(2)/2)*BL164*BO164*VLOOKUP('Données projet'!$B$11,Paramètres!$A$1:$I$88,3,0)*0.475*44/12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69.599640535269657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-1.7053025658242404E-13</v>
      </c>
      <c r="BZ164" s="14">
        <f>BY164*VLOOKUP('Données projet'!$B$12,Paramètres!$A$1:$I$88,3,0)*VLOOKUP('Données projet'!$B$12,Paramètres!$A$1:$I$88,5,0)</f>
        <v>-1.1173142411280423E-13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270.10151451661864</v>
      </c>
      <c r="CE164" s="62">
        <f t="shared" si="148"/>
        <v>294.47934482366804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projet'!$B$12,Paramètres!$A$1:$I$88,3,0)*0.475*44/12</f>
        <v>0</v>
      </c>
      <c r="CL164" s="23">
        <f>EXP(-LN(2)/25)*CL163+(1-EXP(-LN(2)/25))/(LN(2)/25)*Calculateur!CG164*Calculateur!CI164*VLOOKUP('Données projet'!$B$12,Paramètres!$A$1:$I$88,3,0)*0.475*44/12</f>
        <v>0</v>
      </c>
      <c r="CM164" s="23">
        <f>EXP(-LN(2)/2)*CM163+(1-EXP(-LN(2)/2))/(LN(2)/2)*CG164*CJ164*VLOOKUP('Données projet'!$B$12,Paramètres!$A$1:$I$88,3,0)*0.475*44/12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69.599640535269657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-1.7053025658242404E-13</v>
      </c>
      <c r="CU164" s="18">
        <f>CT164*VLOOKUP('Données projet'!$B$13,Paramètres!$A$1:$I$88,3,0)*VLOOKUP('Données projet'!$B$13,Paramètres!$A$1:$I$88,5,0)</f>
        <v>-1.1173142411280423E-13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270.10151451661864</v>
      </c>
      <c r="CZ164" s="62">
        <f t="shared" si="150"/>
        <v>294.47934482366804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projet'!$B$13,Paramètres!$A$1:$I$88,3,0)*0.475*44/12</f>
        <v>0</v>
      </c>
      <c r="DG164" s="23">
        <f>EXP(-LN(2)/25)*DG163+(1-EXP(-LN(2)/25))/(LN(2)/25)*Calculateur!DB164*Calculateur!DD164*VLOOKUP('Données projet'!$B$13,Paramètres!$A$1:$I$88,3,0)*0.475*44/12</f>
        <v>0</v>
      </c>
      <c r="DH164" s="23">
        <f>EXP(-LN(2)/2)*DH163+(1-EXP(-LN(2)/2))/(LN(2)/2)*DB164*DE164*VLOOKUP('Données projet'!$B$13,Paramètres!$A$1:$I$88,3,0)*0.475*44/12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69.599640535269657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projet'!$B$14,Paramètres!$A$1:$I$88,3,0)*0.475*44/12</f>
        <v>#N/A</v>
      </c>
      <c r="EB164" s="23" t="e">
        <f>EXP(-LN(2)/25)*EB163+(1-EXP(-LN(2)/25))/(LN(2)/25)*Calculateur!DW164*Calculateur!DY164*VLOOKUP('Données projet'!$B$14,Paramètres!$A$1:$I$88,3,0)*0.475*44/12</f>
        <v>#N/A</v>
      </c>
      <c r="EC164" s="23" t="e">
        <f>EXP(-LN(2)/2)*EC163+(1-EXP(-LN(2)/2))/(LN(2)/2)*DW164*DZ164*VLOOKUP('Données projet'!$B$14,Paramètres!$A$1:$I$88,3,0)*0.475*44/12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69.599640535269657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69.599640535269657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69.599640535269657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69.599640535269657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1.34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4.9133333333333331</v>
      </c>
      <c r="H165" s="70">
        <f t="shared" si="110"/>
        <v>237.01333333333332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69.606585876913059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-5.1159076974727213E-13</v>
      </c>
      <c r="O165" s="14">
        <f>N165*VLOOKUP('Données projet'!$B$9,Paramètres!$A$1:$I$88,3,0)*VLOOKUP('Données projet'!$B$9,Paramètres!$A$1:$I$88,5,0)</f>
        <v>-5.1875304052373401E-13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488.16146816015231</v>
      </c>
      <c r="T165" s="62">
        <f t="shared" si="142"/>
        <v>259.37115195552127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0</v>
      </c>
      <c r="AA165" s="23">
        <f>EXP(-LN(2)/25)*AA164+(1-EXP(-LN(2)/25))/(LN(2)/25)*Calculateur!V165*Calculateur!X165*VLOOKUP('Données projet'!$B$9,Paramètres!$A$1:$I$88,3,0)*0.475*44/12</f>
        <v>0</v>
      </c>
      <c r="AB165" s="23">
        <f>EXP(-LN(2)/2)*AB164+(1-EXP(-LN(2)/2))/(LN(2)/2)*V165*Y165*VLOOKUP('Données projet'!$B$9,Paramètres!$A$1:$I$88,3,0)*0.475*44/12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69.606585876913059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-5.1159076974727213E-13</v>
      </c>
      <c r="AJ165" s="14">
        <f>AI165*VLOOKUP('Données projet'!$B$10,Paramètres!$A$1:$I$88,3,0)*VLOOKUP('Données projet'!$B$10,Paramètres!$A$1:$I$88,5,0)</f>
        <v>-4.6288732846733184E-13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441.34749554136755</v>
      </c>
      <c r="AO165" s="62">
        <f t="shared" si="144"/>
        <v>236.49038586666222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0</v>
      </c>
      <c r="AV165" s="23">
        <f>EXP(-LN(2)/25)*AV164+(1-EXP(-LN(2)/25))/(LN(2)/25)*Calculateur!AQ165*Calculateur!AS165*VLOOKUP('Données projet'!$B$10,Paramètres!$A$1:$I$88,3,0)*0.475*44/12</f>
        <v>0</v>
      </c>
      <c r="AW165" s="23">
        <f>EXP(-LN(2)/2)*AW164+(1-EXP(-LN(2)/2))/(LN(2)/2)*AQ165*AT165*VLOOKUP('Données projet'!$B$10,Paramètres!$A$1:$I$88,3,0)*0.475*44/12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69.606585876913059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-5.1159076974727213E-13</v>
      </c>
      <c r="BE165" s="14">
        <f>BD165*VLOOKUP('Données projet'!$B$11,Paramètres!$A$1:$I$88,3,0)*VLOOKUP('Données projet'!$B$11,Paramètres!$A$1:$I$88,5,0)</f>
        <v>-5.5067630455596371E-13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514.86487884889584</v>
      </c>
      <c r="BJ165" s="62">
        <f t="shared" si="146"/>
        <v>272.4206208356191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projet'!$B$11,Paramètres!$A$1:$I$88,3,0)*0.475*44/12</f>
        <v>0</v>
      </c>
      <c r="BQ165" s="23">
        <f>EXP(-LN(2)/25)*BQ164+(1-EXP(-LN(2)/25))/(LN(2)/25)*Calculateur!BL165*Calculateur!BN165*VLOOKUP('Données projet'!$B$11,Paramètres!$A$1:$I$88,3,0)*0.475*44/12</f>
        <v>0</v>
      </c>
      <c r="BR165" s="23">
        <f>EXP(-LN(2)/2)*BR164+(1-EXP(-LN(2)/2))/(LN(2)/2)*BL165*BO165*VLOOKUP('Données projet'!$B$11,Paramètres!$A$1:$I$88,3,0)*0.475*44/12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69.606585876913059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-1.7053025658242404E-13</v>
      </c>
      <c r="BZ165" s="14">
        <f>BY165*VLOOKUP('Données projet'!$B$12,Paramètres!$A$1:$I$88,3,0)*VLOOKUP('Données projet'!$B$12,Paramètres!$A$1:$I$88,5,0)</f>
        <v>-1.1173142411280423E-13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270.10151451661864</v>
      </c>
      <c r="CE165" s="62">
        <f t="shared" si="148"/>
        <v>294.47934482366804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projet'!$B$12,Paramètres!$A$1:$I$88,3,0)*0.475*44/12</f>
        <v>0</v>
      </c>
      <c r="CL165" s="23">
        <f>EXP(-LN(2)/25)*CL164+(1-EXP(-LN(2)/25))/(LN(2)/25)*Calculateur!CG165*Calculateur!CI165*VLOOKUP('Données projet'!$B$12,Paramètres!$A$1:$I$88,3,0)*0.475*44/12</f>
        <v>0</v>
      </c>
      <c r="CM165" s="23">
        <f>EXP(-LN(2)/2)*CM164+(1-EXP(-LN(2)/2))/(LN(2)/2)*CG165*CJ165*VLOOKUP('Données projet'!$B$12,Paramètres!$A$1:$I$88,3,0)*0.475*44/12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69.606585876913059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-1.7053025658242404E-13</v>
      </c>
      <c r="CU165" s="18">
        <f>CT165*VLOOKUP('Données projet'!$B$13,Paramètres!$A$1:$I$88,3,0)*VLOOKUP('Données projet'!$B$13,Paramètres!$A$1:$I$88,5,0)</f>
        <v>-1.1173142411280423E-13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270.10151451661864</v>
      </c>
      <c r="CZ165" s="62">
        <f t="shared" si="150"/>
        <v>294.47934482366804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projet'!$B$13,Paramètres!$A$1:$I$88,3,0)*0.475*44/12</f>
        <v>0</v>
      </c>
      <c r="DG165" s="23">
        <f>EXP(-LN(2)/25)*DG164+(1-EXP(-LN(2)/25))/(LN(2)/25)*Calculateur!DB165*Calculateur!DD165*VLOOKUP('Données projet'!$B$13,Paramètres!$A$1:$I$88,3,0)*0.475*44/12</f>
        <v>0</v>
      </c>
      <c r="DH165" s="23">
        <f>EXP(-LN(2)/2)*DH164+(1-EXP(-LN(2)/2))/(LN(2)/2)*DB165*DE165*VLOOKUP('Données projet'!$B$13,Paramètres!$A$1:$I$88,3,0)*0.475*44/12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69.606585876913059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projet'!$B$14,Paramètres!$A$1:$I$88,3,0)*0.475*44/12</f>
        <v>#N/A</v>
      </c>
      <c r="EB165" s="23" t="e">
        <f>EXP(-LN(2)/25)*EB164+(1-EXP(-LN(2)/25))/(LN(2)/25)*Calculateur!DW165*Calculateur!DY165*VLOOKUP('Données projet'!$B$14,Paramètres!$A$1:$I$88,3,0)*0.475*44/12</f>
        <v>#N/A</v>
      </c>
      <c r="EC165" s="23" t="e">
        <f>EXP(-LN(2)/2)*EC164+(1-EXP(-LN(2)/2))/(LN(2)/2)*DW165*DZ165*VLOOKUP('Données projet'!$B$14,Paramètres!$A$1:$I$88,3,0)*0.475*44/12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69.606585876913059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69.606585876913059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69.606585876913059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69.606585876913059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1.34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4.9133333333333331</v>
      </c>
      <c r="H166" s="70">
        <f t="shared" si="110"/>
        <v>237.01333333333332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69.613410732406408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-5.1159076974727213E-13</v>
      </c>
      <c r="O166" s="14">
        <f>N166*VLOOKUP('Données projet'!$B$9,Paramètres!$A$1:$I$88,3,0)*VLOOKUP('Données projet'!$B$9,Paramètres!$A$1:$I$88,5,0)</f>
        <v>-5.1875304052373401E-13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488.16146816015231</v>
      </c>
      <c r="T166" s="62">
        <f t="shared" si="142"/>
        <v>259.37115195552127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0</v>
      </c>
      <c r="AA166" s="23">
        <f>EXP(-LN(2)/25)*AA165+(1-EXP(-LN(2)/25))/(LN(2)/25)*Calculateur!V166*Calculateur!X166*VLOOKUP('Données projet'!$B$9,Paramètres!$A$1:$I$88,3,0)*0.475*44/12</f>
        <v>0</v>
      </c>
      <c r="AB166" s="23">
        <f>EXP(-LN(2)/2)*AB165+(1-EXP(-LN(2)/2))/(LN(2)/2)*V166*Y166*VLOOKUP('Données projet'!$B$9,Paramètres!$A$1:$I$88,3,0)*0.475*44/12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69.613410732406408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-5.1159076974727213E-13</v>
      </c>
      <c r="AJ166" s="14">
        <f>AI166*VLOOKUP('Données projet'!$B$10,Paramètres!$A$1:$I$88,3,0)*VLOOKUP('Données projet'!$B$10,Paramètres!$A$1:$I$88,5,0)</f>
        <v>-4.6288732846733184E-13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441.34749554136755</v>
      </c>
      <c r="AO166" s="62">
        <f t="shared" si="144"/>
        <v>236.49038586666222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0</v>
      </c>
      <c r="AV166" s="23">
        <f>EXP(-LN(2)/25)*AV165+(1-EXP(-LN(2)/25))/(LN(2)/25)*Calculateur!AQ166*Calculateur!AS166*VLOOKUP('Données projet'!$B$10,Paramètres!$A$1:$I$88,3,0)*0.475*44/12</f>
        <v>0</v>
      </c>
      <c r="AW166" s="23">
        <f>EXP(-LN(2)/2)*AW165+(1-EXP(-LN(2)/2))/(LN(2)/2)*AQ166*AT166*VLOOKUP('Données projet'!$B$10,Paramètres!$A$1:$I$88,3,0)*0.475*44/12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69.613410732406408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-5.1159076974727213E-13</v>
      </c>
      <c r="BE166" s="14">
        <f>BD166*VLOOKUP('Données projet'!$B$11,Paramètres!$A$1:$I$88,3,0)*VLOOKUP('Données projet'!$B$11,Paramètres!$A$1:$I$88,5,0)</f>
        <v>-5.5067630455596371E-13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514.86487884889584</v>
      </c>
      <c r="BJ166" s="62">
        <f t="shared" si="146"/>
        <v>272.4206208356191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projet'!$B$11,Paramètres!$A$1:$I$88,3,0)*0.475*44/12</f>
        <v>0</v>
      </c>
      <c r="BQ166" s="23">
        <f>EXP(-LN(2)/25)*BQ165+(1-EXP(-LN(2)/25))/(LN(2)/25)*Calculateur!BL166*Calculateur!BN166*VLOOKUP('Données projet'!$B$11,Paramètres!$A$1:$I$88,3,0)*0.475*44/12</f>
        <v>0</v>
      </c>
      <c r="BR166" s="23">
        <f>EXP(-LN(2)/2)*BR165+(1-EXP(-LN(2)/2))/(LN(2)/2)*BL166*BO166*VLOOKUP('Données projet'!$B$11,Paramètres!$A$1:$I$88,3,0)*0.475*44/12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69.613410732406408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-1.7053025658242404E-13</v>
      </c>
      <c r="BZ166" s="14">
        <f>BY166*VLOOKUP('Données projet'!$B$12,Paramètres!$A$1:$I$88,3,0)*VLOOKUP('Données projet'!$B$12,Paramètres!$A$1:$I$88,5,0)</f>
        <v>-1.1173142411280423E-13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270.10151451661864</v>
      </c>
      <c r="CE166" s="62">
        <f t="shared" si="148"/>
        <v>294.47934482366804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projet'!$B$12,Paramètres!$A$1:$I$88,3,0)*0.475*44/12</f>
        <v>0</v>
      </c>
      <c r="CL166" s="23">
        <f>EXP(-LN(2)/25)*CL165+(1-EXP(-LN(2)/25))/(LN(2)/25)*Calculateur!CG166*Calculateur!CI166*VLOOKUP('Données projet'!$B$12,Paramètres!$A$1:$I$88,3,0)*0.475*44/12</f>
        <v>0</v>
      </c>
      <c r="CM166" s="23">
        <f>EXP(-LN(2)/2)*CM165+(1-EXP(-LN(2)/2))/(LN(2)/2)*CG166*CJ166*VLOOKUP('Données projet'!$B$12,Paramètres!$A$1:$I$88,3,0)*0.475*44/12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69.613410732406408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-1.7053025658242404E-13</v>
      </c>
      <c r="CU166" s="18">
        <f>CT166*VLOOKUP('Données projet'!$B$13,Paramètres!$A$1:$I$88,3,0)*VLOOKUP('Données projet'!$B$13,Paramètres!$A$1:$I$88,5,0)</f>
        <v>-1.1173142411280423E-13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270.10151451661864</v>
      </c>
      <c r="CZ166" s="62">
        <f t="shared" si="150"/>
        <v>294.47934482366804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projet'!$B$13,Paramètres!$A$1:$I$88,3,0)*0.475*44/12</f>
        <v>0</v>
      </c>
      <c r="DG166" s="23">
        <f>EXP(-LN(2)/25)*DG165+(1-EXP(-LN(2)/25))/(LN(2)/25)*Calculateur!DB166*Calculateur!DD166*VLOOKUP('Données projet'!$B$13,Paramètres!$A$1:$I$88,3,0)*0.475*44/12</f>
        <v>0</v>
      </c>
      <c r="DH166" s="23">
        <f>EXP(-LN(2)/2)*DH165+(1-EXP(-LN(2)/2))/(LN(2)/2)*DB166*DE166*VLOOKUP('Données projet'!$B$13,Paramètres!$A$1:$I$88,3,0)*0.475*44/12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69.613410732406408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projet'!$B$14,Paramètres!$A$1:$I$88,3,0)*0.475*44/12</f>
        <v>#N/A</v>
      </c>
      <c r="EB166" s="23" t="e">
        <f>EXP(-LN(2)/25)*EB165+(1-EXP(-LN(2)/25))/(LN(2)/25)*Calculateur!DW166*Calculateur!DY166*VLOOKUP('Données projet'!$B$14,Paramètres!$A$1:$I$88,3,0)*0.475*44/12</f>
        <v>#N/A</v>
      </c>
      <c r="EC166" s="23" t="e">
        <f>EXP(-LN(2)/2)*EC165+(1-EXP(-LN(2)/2))/(LN(2)/2)*DW166*DZ166*VLOOKUP('Données projet'!$B$14,Paramètres!$A$1:$I$88,3,0)*0.475*44/12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69.613410732406408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69.613410732406408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69.613410732406408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69.613410732406408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1.34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4.9133333333333331</v>
      </c>
      <c r="H167" s="70">
        <f t="shared" si="110"/>
        <v>237.01333333333332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69.620117191915028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-5.1159076974727213E-13</v>
      </c>
      <c r="O167" s="14">
        <f>N167*VLOOKUP('Données projet'!$B$9,Paramètres!$A$1:$I$88,3,0)*VLOOKUP('Données projet'!$B$9,Paramètres!$A$1:$I$88,5,0)</f>
        <v>-5.1875304052373401E-13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488.16146816015231</v>
      </c>
      <c r="T167" s="62">
        <f t="shared" si="142"/>
        <v>259.37115195552127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0</v>
      </c>
      <c r="AA167" s="23">
        <f>EXP(-LN(2)/25)*AA166+(1-EXP(-LN(2)/25))/(LN(2)/25)*Calculateur!V167*Calculateur!X167*VLOOKUP('Données projet'!$B$9,Paramètres!$A$1:$I$88,3,0)*0.475*44/12</f>
        <v>0</v>
      </c>
      <c r="AB167" s="23">
        <f>EXP(-LN(2)/2)*AB166+(1-EXP(-LN(2)/2))/(LN(2)/2)*V167*Y167*VLOOKUP('Données projet'!$B$9,Paramètres!$A$1:$I$88,3,0)*0.475*44/12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69.620117191915028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-5.1159076974727213E-13</v>
      </c>
      <c r="AJ167" s="14">
        <f>AI167*VLOOKUP('Données projet'!$B$10,Paramètres!$A$1:$I$88,3,0)*VLOOKUP('Données projet'!$B$10,Paramètres!$A$1:$I$88,5,0)</f>
        <v>-4.6288732846733184E-13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441.34749554136755</v>
      </c>
      <c r="AO167" s="62">
        <f t="shared" si="144"/>
        <v>236.49038586666222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0</v>
      </c>
      <c r="AV167" s="23">
        <f>EXP(-LN(2)/25)*AV166+(1-EXP(-LN(2)/25))/(LN(2)/25)*Calculateur!AQ167*Calculateur!AS167*VLOOKUP('Données projet'!$B$10,Paramètres!$A$1:$I$88,3,0)*0.475*44/12</f>
        <v>0</v>
      </c>
      <c r="AW167" s="23">
        <f>EXP(-LN(2)/2)*AW166+(1-EXP(-LN(2)/2))/(LN(2)/2)*AQ167*AT167*VLOOKUP('Données projet'!$B$10,Paramètres!$A$1:$I$88,3,0)*0.475*44/12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69.620117191915028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-5.1159076974727213E-13</v>
      </c>
      <c r="BE167" s="14">
        <f>BD167*VLOOKUP('Données projet'!$B$11,Paramètres!$A$1:$I$88,3,0)*VLOOKUP('Données projet'!$B$11,Paramètres!$A$1:$I$88,5,0)</f>
        <v>-5.5067630455596371E-13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514.86487884889584</v>
      </c>
      <c r="BJ167" s="62">
        <f t="shared" si="146"/>
        <v>272.4206208356191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projet'!$B$11,Paramètres!$A$1:$I$88,3,0)*0.475*44/12</f>
        <v>0</v>
      </c>
      <c r="BQ167" s="23">
        <f>EXP(-LN(2)/25)*BQ166+(1-EXP(-LN(2)/25))/(LN(2)/25)*Calculateur!BL167*Calculateur!BN167*VLOOKUP('Données projet'!$B$11,Paramètres!$A$1:$I$88,3,0)*0.475*44/12</f>
        <v>0</v>
      </c>
      <c r="BR167" s="23">
        <f>EXP(-LN(2)/2)*BR166+(1-EXP(-LN(2)/2))/(LN(2)/2)*BL167*BO167*VLOOKUP('Données projet'!$B$11,Paramètres!$A$1:$I$88,3,0)*0.475*44/12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69.620117191915028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-1.7053025658242404E-13</v>
      </c>
      <c r="BZ167" s="14">
        <f>BY167*VLOOKUP('Données projet'!$B$12,Paramètres!$A$1:$I$88,3,0)*VLOOKUP('Données projet'!$B$12,Paramètres!$A$1:$I$88,5,0)</f>
        <v>-1.1173142411280423E-13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270.10151451661864</v>
      </c>
      <c r="CE167" s="62">
        <f t="shared" si="148"/>
        <v>294.47934482366804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projet'!$B$12,Paramètres!$A$1:$I$88,3,0)*0.475*44/12</f>
        <v>0</v>
      </c>
      <c r="CL167" s="23">
        <f>EXP(-LN(2)/25)*CL166+(1-EXP(-LN(2)/25))/(LN(2)/25)*Calculateur!CG167*Calculateur!CI167*VLOOKUP('Données projet'!$B$12,Paramètres!$A$1:$I$88,3,0)*0.475*44/12</f>
        <v>0</v>
      </c>
      <c r="CM167" s="23">
        <f>EXP(-LN(2)/2)*CM166+(1-EXP(-LN(2)/2))/(LN(2)/2)*CG167*CJ167*VLOOKUP('Données projet'!$B$12,Paramètres!$A$1:$I$88,3,0)*0.475*44/12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69.620117191915028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-1.7053025658242404E-13</v>
      </c>
      <c r="CU167" s="18">
        <f>CT167*VLOOKUP('Données projet'!$B$13,Paramètres!$A$1:$I$88,3,0)*VLOOKUP('Données projet'!$B$13,Paramètres!$A$1:$I$88,5,0)</f>
        <v>-1.1173142411280423E-13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270.10151451661864</v>
      </c>
      <c r="CZ167" s="62">
        <f t="shared" si="150"/>
        <v>294.47934482366804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projet'!$B$13,Paramètres!$A$1:$I$88,3,0)*0.475*44/12</f>
        <v>0</v>
      </c>
      <c r="DG167" s="23">
        <f>EXP(-LN(2)/25)*DG166+(1-EXP(-LN(2)/25))/(LN(2)/25)*Calculateur!DB167*Calculateur!DD167*VLOOKUP('Données projet'!$B$13,Paramètres!$A$1:$I$88,3,0)*0.475*44/12</f>
        <v>0</v>
      </c>
      <c r="DH167" s="23">
        <f>EXP(-LN(2)/2)*DH166+(1-EXP(-LN(2)/2))/(LN(2)/2)*DB167*DE167*VLOOKUP('Données projet'!$B$13,Paramètres!$A$1:$I$88,3,0)*0.475*44/12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69.620117191915028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projet'!$B$14,Paramètres!$A$1:$I$88,3,0)*0.475*44/12</f>
        <v>#N/A</v>
      </c>
      <c r="EB167" s="23" t="e">
        <f>EXP(-LN(2)/25)*EB166+(1-EXP(-LN(2)/25))/(LN(2)/25)*Calculateur!DW167*Calculateur!DY167*VLOOKUP('Données projet'!$B$14,Paramètres!$A$1:$I$88,3,0)*0.475*44/12</f>
        <v>#N/A</v>
      </c>
      <c r="EC167" s="23" t="e">
        <f>EXP(-LN(2)/2)*EC166+(1-EXP(-LN(2)/2))/(LN(2)/2)*DW167*DZ167*VLOOKUP('Données projet'!$B$14,Paramètres!$A$1:$I$88,3,0)*0.475*44/12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69.620117191915028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69.620117191915028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69.620117191915028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69.620117191915028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1.34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4.9133333333333331</v>
      </c>
      <c r="H168" s="70">
        <f t="shared" si="110"/>
        <v>237.01333333333332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69.626707309344567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-5.1159076974727213E-13</v>
      </c>
      <c r="O168" s="14">
        <f>N168*VLOOKUP('Données projet'!$B$9,Paramètres!$A$1:$I$88,3,0)*VLOOKUP('Données projet'!$B$9,Paramètres!$A$1:$I$88,5,0)</f>
        <v>-5.1875304052373401E-13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488.16146816015231</v>
      </c>
      <c r="T168" s="62">
        <f t="shared" si="142"/>
        <v>259.37115195552127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0</v>
      </c>
      <c r="AA168" s="23">
        <f>EXP(-LN(2)/25)*AA167+(1-EXP(-LN(2)/25))/(LN(2)/25)*Calculateur!V168*Calculateur!X168*VLOOKUP('Données projet'!$B$9,Paramètres!$A$1:$I$88,3,0)*0.475*44/12</f>
        <v>0</v>
      </c>
      <c r="AB168" s="23">
        <f>EXP(-LN(2)/2)*AB167+(1-EXP(-LN(2)/2))/(LN(2)/2)*V168*Y168*VLOOKUP('Données projet'!$B$9,Paramètres!$A$1:$I$88,3,0)*0.475*44/12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69.626707309344567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-5.1159076974727213E-13</v>
      </c>
      <c r="AJ168" s="14">
        <f>AI168*VLOOKUP('Données projet'!$B$10,Paramètres!$A$1:$I$88,3,0)*VLOOKUP('Données projet'!$B$10,Paramètres!$A$1:$I$88,5,0)</f>
        <v>-4.6288732846733184E-13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441.34749554136755</v>
      </c>
      <c r="AO168" s="62">
        <f t="shared" si="144"/>
        <v>236.49038586666222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0</v>
      </c>
      <c r="AV168" s="23">
        <f>EXP(-LN(2)/25)*AV167+(1-EXP(-LN(2)/25))/(LN(2)/25)*Calculateur!AQ168*Calculateur!AS168*VLOOKUP('Données projet'!$B$10,Paramètres!$A$1:$I$88,3,0)*0.475*44/12</f>
        <v>0</v>
      </c>
      <c r="AW168" s="23">
        <f>EXP(-LN(2)/2)*AW167+(1-EXP(-LN(2)/2))/(LN(2)/2)*AQ168*AT168*VLOOKUP('Données projet'!$B$10,Paramètres!$A$1:$I$88,3,0)*0.475*44/12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69.626707309344567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-5.1159076974727213E-13</v>
      </c>
      <c r="BE168" s="14">
        <f>BD168*VLOOKUP('Données projet'!$B$11,Paramètres!$A$1:$I$88,3,0)*VLOOKUP('Données projet'!$B$11,Paramètres!$A$1:$I$88,5,0)</f>
        <v>-5.5067630455596371E-13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514.86487884889584</v>
      </c>
      <c r="BJ168" s="62">
        <f t="shared" si="146"/>
        <v>272.4206208356191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projet'!$B$11,Paramètres!$A$1:$I$88,3,0)*0.475*44/12</f>
        <v>0</v>
      </c>
      <c r="BQ168" s="23">
        <f>EXP(-LN(2)/25)*BQ167+(1-EXP(-LN(2)/25))/(LN(2)/25)*Calculateur!BL168*Calculateur!BN168*VLOOKUP('Données projet'!$B$11,Paramètres!$A$1:$I$88,3,0)*0.475*44/12</f>
        <v>0</v>
      </c>
      <c r="BR168" s="23">
        <f>EXP(-LN(2)/2)*BR167+(1-EXP(-LN(2)/2))/(LN(2)/2)*BL168*BO168*VLOOKUP('Données projet'!$B$11,Paramètres!$A$1:$I$88,3,0)*0.475*44/12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69.626707309344567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-1.7053025658242404E-13</v>
      </c>
      <c r="BZ168" s="14">
        <f>BY168*VLOOKUP('Données projet'!$B$12,Paramètres!$A$1:$I$88,3,0)*VLOOKUP('Données projet'!$B$12,Paramètres!$A$1:$I$88,5,0)</f>
        <v>-1.1173142411280423E-13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270.10151451661864</v>
      </c>
      <c r="CE168" s="62">
        <f t="shared" si="148"/>
        <v>294.47934482366804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projet'!$B$12,Paramètres!$A$1:$I$88,3,0)*0.475*44/12</f>
        <v>0</v>
      </c>
      <c r="CL168" s="23">
        <f>EXP(-LN(2)/25)*CL167+(1-EXP(-LN(2)/25))/(LN(2)/25)*Calculateur!CG168*Calculateur!CI168*VLOOKUP('Données projet'!$B$12,Paramètres!$A$1:$I$88,3,0)*0.475*44/12</f>
        <v>0</v>
      </c>
      <c r="CM168" s="23">
        <f>EXP(-LN(2)/2)*CM167+(1-EXP(-LN(2)/2))/(LN(2)/2)*CG168*CJ168*VLOOKUP('Données projet'!$B$12,Paramètres!$A$1:$I$88,3,0)*0.475*44/12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69.626707309344567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-1.7053025658242404E-13</v>
      </c>
      <c r="CU168" s="18">
        <f>CT168*VLOOKUP('Données projet'!$B$13,Paramètres!$A$1:$I$88,3,0)*VLOOKUP('Données projet'!$B$13,Paramètres!$A$1:$I$88,5,0)</f>
        <v>-1.1173142411280423E-13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270.10151451661864</v>
      </c>
      <c r="CZ168" s="62">
        <f t="shared" si="150"/>
        <v>294.47934482366804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projet'!$B$13,Paramètres!$A$1:$I$88,3,0)*0.475*44/12</f>
        <v>0</v>
      </c>
      <c r="DG168" s="23">
        <f>EXP(-LN(2)/25)*DG167+(1-EXP(-LN(2)/25))/(LN(2)/25)*Calculateur!DB168*Calculateur!DD168*VLOOKUP('Données projet'!$B$13,Paramètres!$A$1:$I$88,3,0)*0.475*44/12</f>
        <v>0</v>
      </c>
      <c r="DH168" s="23">
        <f>EXP(-LN(2)/2)*DH167+(1-EXP(-LN(2)/2))/(LN(2)/2)*DB168*DE168*VLOOKUP('Données projet'!$B$13,Paramètres!$A$1:$I$88,3,0)*0.475*44/12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69.626707309344567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projet'!$B$14,Paramètres!$A$1:$I$88,3,0)*0.475*44/12</f>
        <v>#N/A</v>
      </c>
      <c r="EB168" s="23" t="e">
        <f>EXP(-LN(2)/25)*EB167+(1-EXP(-LN(2)/25))/(LN(2)/25)*Calculateur!DW168*Calculateur!DY168*VLOOKUP('Données projet'!$B$14,Paramètres!$A$1:$I$88,3,0)*0.475*44/12</f>
        <v>#N/A</v>
      </c>
      <c r="EC168" s="23" t="e">
        <f>EXP(-LN(2)/2)*EC167+(1-EXP(-LN(2)/2))/(LN(2)/2)*DW168*DZ168*VLOOKUP('Données projet'!$B$14,Paramètres!$A$1:$I$88,3,0)*0.475*44/12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69.626707309344567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69.626707309344567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69.626707309344567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69.626707309344567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1.34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4.9133333333333331</v>
      </c>
      <c r="H169" s="70">
        <f t="shared" si="110"/>
        <v>237.01333333333332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69.633183102970023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-5.1159076974727213E-13</v>
      </c>
      <c r="O169" s="14">
        <f>N169*VLOOKUP('Données projet'!$B$9,Paramètres!$A$1:$I$88,3,0)*VLOOKUP('Données projet'!$B$9,Paramètres!$A$1:$I$88,5,0)</f>
        <v>-5.1875304052373401E-13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488.16146816015231</v>
      </c>
      <c r="T169" s="62">
        <f t="shared" si="142"/>
        <v>259.37115195552127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0</v>
      </c>
      <c r="AA169" s="23">
        <f>EXP(-LN(2)/25)*AA168+(1-EXP(-LN(2)/25))/(LN(2)/25)*Calculateur!V169*Calculateur!X169*VLOOKUP('Données projet'!$B$9,Paramètres!$A$1:$I$88,3,0)*0.475*44/12</f>
        <v>0</v>
      </c>
      <c r="AB169" s="23">
        <f>EXP(-LN(2)/2)*AB168+(1-EXP(-LN(2)/2))/(LN(2)/2)*V169*Y169*VLOOKUP('Données projet'!$B$9,Paramètres!$A$1:$I$88,3,0)*0.475*44/12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69.633183102970023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-5.1159076974727213E-13</v>
      </c>
      <c r="AJ169" s="14">
        <f>AI169*VLOOKUP('Données projet'!$B$10,Paramètres!$A$1:$I$88,3,0)*VLOOKUP('Données projet'!$B$10,Paramètres!$A$1:$I$88,5,0)</f>
        <v>-4.6288732846733184E-13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441.34749554136755</v>
      </c>
      <c r="AO169" s="62">
        <f t="shared" si="144"/>
        <v>236.49038586666222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0</v>
      </c>
      <c r="AV169" s="23">
        <f>EXP(-LN(2)/25)*AV168+(1-EXP(-LN(2)/25))/(LN(2)/25)*Calculateur!AQ169*Calculateur!AS169*VLOOKUP('Données projet'!$B$10,Paramètres!$A$1:$I$88,3,0)*0.475*44/12</f>
        <v>0</v>
      </c>
      <c r="AW169" s="23">
        <f>EXP(-LN(2)/2)*AW168+(1-EXP(-LN(2)/2))/(LN(2)/2)*AQ169*AT169*VLOOKUP('Données projet'!$B$10,Paramètres!$A$1:$I$88,3,0)*0.475*44/12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69.633183102970023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-5.1159076974727213E-13</v>
      </c>
      <c r="BE169" s="14">
        <f>BD169*VLOOKUP('Données projet'!$B$11,Paramètres!$A$1:$I$88,3,0)*VLOOKUP('Données projet'!$B$11,Paramètres!$A$1:$I$88,5,0)</f>
        <v>-5.5067630455596371E-13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514.86487884889584</v>
      </c>
      <c r="BJ169" s="62">
        <f t="shared" si="146"/>
        <v>272.4206208356191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projet'!$B$11,Paramètres!$A$1:$I$88,3,0)*0.475*44/12</f>
        <v>0</v>
      </c>
      <c r="BQ169" s="23">
        <f>EXP(-LN(2)/25)*BQ168+(1-EXP(-LN(2)/25))/(LN(2)/25)*Calculateur!BL169*Calculateur!BN169*VLOOKUP('Données projet'!$B$11,Paramètres!$A$1:$I$88,3,0)*0.475*44/12</f>
        <v>0</v>
      </c>
      <c r="BR169" s="23">
        <f>EXP(-LN(2)/2)*BR168+(1-EXP(-LN(2)/2))/(LN(2)/2)*BL169*BO169*VLOOKUP('Données projet'!$B$11,Paramètres!$A$1:$I$88,3,0)*0.475*44/12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69.633183102970023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-1.7053025658242404E-13</v>
      </c>
      <c r="BZ169" s="14">
        <f>BY169*VLOOKUP('Données projet'!$B$12,Paramètres!$A$1:$I$88,3,0)*VLOOKUP('Données projet'!$B$12,Paramètres!$A$1:$I$88,5,0)</f>
        <v>-1.1173142411280423E-13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270.10151451661864</v>
      </c>
      <c r="CE169" s="62">
        <f t="shared" si="148"/>
        <v>294.47934482366804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projet'!$B$12,Paramètres!$A$1:$I$88,3,0)*0.475*44/12</f>
        <v>0</v>
      </c>
      <c r="CL169" s="23">
        <f>EXP(-LN(2)/25)*CL168+(1-EXP(-LN(2)/25))/(LN(2)/25)*Calculateur!CG169*Calculateur!CI169*VLOOKUP('Données projet'!$B$12,Paramètres!$A$1:$I$88,3,0)*0.475*44/12</f>
        <v>0</v>
      </c>
      <c r="CM169" s="23">
        <f>EXP(-LN(2)/2)*CM168+(1-EXP(-LN(2)/2))/(LN(2)/2)*CG169*CJ169*VLOOKUP('Données projet'!$B$12,Paramètres!$A$1:$I$88,3,0)*0.475*44/12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69.633183102970023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-1.7053025658242404E-13</v>
      </c>
      <c r="CU169" s="18">
        <f>CT169*VLOOKUP('Données projet'!$B$13,Paramètres!$A$1:$I$88,3,0)*VLOOKUP('Données projet'!$B$13,Paramètres!$A$1:$I$88,5,0)</f>
        <v>-1.1173142411280423E-13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270.10151451661864</v>
      </c>
      <c r="CZ169" s="62">
        <f t="shared" si="150"/>
        <v>294.47934482366804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projet'!$B$13,Paramètres!$A$1:$I$88,3,0)*0.475*44/12</f>
        <v>0</v>
      </c>
      <c r="DG169" s="23">
        <f>EXP(-LN(2)/25)*DG168+(1-EXP(-LN(2)/25))/(LN(2)/25)*Calculateur!DB169*Calculateur!DD169*VLOOKUP('Données projet'!$B$13,Paramètres!$A$1:$I$88,3,0)*0.475*44/12</f>
        <v>0</v>
      </c>
      <c r="DH169" s="23">
        <f>EXP(-LN(2)/2)*DH168+(1-EXP(-LN(2)/2))/(LN(2)/2)*DB169*DE169*VLOOKUP('Données projet'!$B$13,Paramètres!$A$1:$I$88,3,0)*0.475*44/12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69.633183102970023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projet'!$B$14,Paramètres!$A$1:$I$88,3,0)*0.475*44/12</f>
        <v>#N/A</v>
      </c>
      <c r="EB169" s="23" t="e">
        <f>EXP(-LN(2)/25)*EB168+(1-EXP(-LN(2)/25))/(LN(2)/25)*Calculateur!DW169*Calculateur!DY169*VLOOKUP('Données projet'!$B$14,Paramètres!$A$1:$I$88,3,0)*0.475*44/12</f>
        <v>#N/A</v>
      </c>
      <c r="EC169" s="23" t="e">
        <f>EXP(-LN(2)/2)*EC168+(1-EXP(-LN(2)/2))/(LN(2)/2)*DW169*DZ169*VLOOKUP('Données projet'!$B$14,Paramètres!$A$1:$I$88,3,0)*0.475*44/12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69.633183102970023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69.633183102970023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69.633183102970023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69.633183102970023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1.34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4.9133333333333331</v>
      </c>
      <c r="H170" s="70">
        <f t="shared" si="110"/>
        <v>237.01333333333332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69.639546556053773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-5.1159076974727213E-13</v>
      </c>
      <c r="O170" s="14">
        <f>N170*VLOOKUP('Données projet'!$B$9,Paramètres!$A$1:$I$88,3,0)*VLOOKUP('Données projet'!$B$9,Paramètres!$A$1:$I$88,5,0)</f>
        <v>-5.1875304052373401E-13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488.16146816015231</v>
      </c>
      <c r="T170" s="62">
        <f t="shared" si="142"/>
        <v>259.37115195552127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0</v>
      </c>
      <c r="AA170" s="23">
        <f>EXP(-LN(2)/25)*AA169+(1-EXP(-LN(2)/25))/(LN(2)/25)*Calculateur!V170*Calculateur!X170*VLOOKUP('Données projet'!$B$9,Paramètres!$A$1:$I$88,3,0)*0.475*44/12</f>
        <v>0</v>
      </c>
      <c r="AB170" s="23">
        <f>EXP(-LN(2)/2)*AB169+(1-EXP(-LN(2)/2))/(LN(2)/2)*V170*Y170*VLOOKUP('Données projet'!$B$9,Paramètres!$A$1:$I$88,3,0)*0.475*44/12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69.639546556053773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-5.1159076974727213E-13</v>
      </c>
      <c r="AJ170" s="14">
        <f>AI170*VLOOKUP('Données projet'!$B$10,Paramètres!$A$1:$I$88,3,0)*VLOOKUP('Données projet'!$B$10,Paramètres!$A$1:$I$88,5,0)</f>
        <v>-4.6288732846733184E-13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441.34749554136755</v>
      </c>
      <c r="AO170" s="62">
        <f t="shared" si="144"/>
        <v>236.49038586666222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0</v>
      </c>
      <c r="AV170" s="23">
        <f>EXP(-LN(2)/25)*AV169+(1-EXP(-LN(2)/25))/(LN(2)/25)*Calculateur!AQ170*Calculateur!AS170*VLOOKUP('Données projet'!$B$10,Paramètres!$A$1:$I$88,3,0)*0.475*44/12</f>
        <v>0</v>
      </c>
      <c r="AW170" s="23">
        <f>EXP(-LN(2)/2)*AW169+(1-EXP(-LN(2)/2))/(LN(2)/2)*AQ170*AT170*VLOOKUP('Données projet'!$B$10,Paramètres!$A$1:$I$88,3,0)*0.475*44/12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69.639546556053773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-5.1159076974727213E-13</v>
      </c>
      <c r="BE170" s="14">
        <f>BD170*VLOOKUP('Données projet'!$B$11,Paramètres!$A$1:$I$88,3,0)*VLOOKUP('Données projet'!$B$11,Paramètres!$A$1:$I$88,5,0)</f>
        <v>-5.5067630455596371E-13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514.86487884889584</v>
      </c>
      <c r="BJ170" s="62">
        <f t="shared" si="146"/>
        <v>272.4206208356191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projet'!$B$11,Paramètres!$A$1:$I$88,3,0)*0.475*44/12</f>
        <v>0</v>
      </c>
      <c r="BQ170" s="23">
        <f>EXP(-LN(2)/25)*BQ169+(1-EXP(-LN(2)/25))/(LN(2)/25)*Calculateur!BL170*Calculateur!BN170*VLOOKUP('Données projet'!$B$11,Paramètres!$A$1:$I$88,3,0)*0.475*44/12</f>
        <v>0</v>
      </c>
      <c r="BR170" s="23">
        <f>EXP(-LN(2)/2)*BR169+(1-EXP(-LN(2)/2))/(LN(2)/2)*BL170*BO170*VLOOKUP('Données projet'!$B$11,Paramètres!$A$1:$I$88,3,0)*0.475*44/12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69.639546556053773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-1.7053025658242404E-13</v>
      </c>
      <c r="BZ170" s="14">
        <f>BY170*VLOOKUP('Données projet'!$B$12,Paramètres!$A$1:$I$88,3,0)*VLOOKUP('Données projet'!$B$12,Paramètres!$A$1:$I$88,5,0)</f>
        <v>-1.1173142411280423E-13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270.10151451661864</v>
      </c>
      <c r="CE170" s="62">
        <f t="shared" si="148"/>
        <v>294.47934482366804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projet'!$B$12,Paramètres!$A$1:$I$88,3,0)*0.475*44/12</f>
        <v>0</v>
      </c>
      <c r="CL170" s="23">
        <f>EXP(-LN(2)/25)*CL169+(1-EXP(-LN(2)/25))/(LN(2)/25)*Calculateur!CG170*Calculateur!CI170*VLOOKUP('Données projet'!$B$12,Paramètres!$A$1:$I$88,3,0)*0.475*44/12</f>
        <v>0</v>
      </c>
      <c r="CM170" s="23">
        <f>EXP(-LN(2)/2)*CM169+(1-EXP(-LN(2)/2))/(LN(2)/2)*CG170*CJ170*VLOOKUP('Données projet'!$B$12,Paramètres!$A$1:$I$88,3,0)*0.475*44/12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69.639546556053773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-1.7053025658242404E-13</v>
      </c>
      <c r="CU170" s="18">
        <f>CT170*VLOOKUP('Données projet'!$B$13,Paramètres!$A$1:$I$88,3,0)*VLOOKUP('Données projet'!$B$13,Paramètres!$A$1:$I$88,5,0)</f>
        <v>-1.1173142411280423E-13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270.10151451661864</v>
      </c>
      <c r="CZ170" s="62">
        <f t="shared" si="150"/>
        <v>294.47934482366804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projet'!$B$13,Paramètres!$A$1:$I$88,3,0)*0.475*44/12</f>
        <v>0</v>
      </c>
      <c r="DG170" s="23">
        <f>EXP(-LN(2)/25)*DG169+(1-EXP(-LN(2)/25))/(LN(2)/25)*Calculateur!DB170*Calculateur!DD170*VLOOKUP('Données projet'!$B$13,Paramètres!$A$1:$I$88,3,0)*0.475*44/12</f>
        <v>0</v>
      </c>
      <c r="DH170" s="23">
        <f>EXP(-LN(2)/2)*DH169+(1-EXP(-LN(2)/2))/(LN(2)/2)*DB170*DE170*VLOOKUP('Données projet'!$B$13,Paramètres!$A$1:$I$88,3,0)*0.475*44/12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69.639546556053773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projet'!$B$14,Paramètres!$A$1:$I$88,3,0)*0.475*44/12</f>
        <v>#N/A</v>
      </c>
      <c r="EB170" s="23" t="e">
        <f>EXP(-LN(2)/25)*EB169+(1-EXP(-LN(2)/25))/(LN(2)/25)*Calculateur!DW170*Calculateur!DY170*VLOOKUP('Données projet'!$B$14,Paramètres!$A$1:$I$88,3,0)*0.475*44/12</f>
        <v>#N/A</v>
      </c>
      <c r="EC170" s="23" t="e">
        <f>EXP(-LN(2)/2)*EC169+(1-EXP(-LN(2)/2))/(LN(2)/2)*DW170*DZ170*VLOOKUP('Données projet'!$B$14,Paramètres!$A$1:$I$88,3,0)*0.475*44/12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69.639546556053773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69.639546556053773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69.639546556053773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69.639546556053773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1.34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4.9133333333333331</v>
      </c>
      <c r="H171" s="70">
        <f t="shared" si="110"/>
        <v>237.01333333333332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69.645799617453051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-5.1159076974727213E-13</v>
      </c>
      <c r="O171" s="14">
        <f>N171*VLOOKUP('Données projet'!$B$9,Paramètres!$A$1:$I$88,3,0)*VLOOKUP('Données projet'!$B$9,Paramètres!$A$1:$I$88,5,0)</f>
        <v>-5.1875304052373401E-13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488.16146816015231</v>
      </c>
      <c r="T171" s="62">
        <f t="shared" si="142"/>
        <v>259.37115195552127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0</v>
      </c>
      <c r="AA171" s="23">
        <f>EXP(-LN(2)/25)*AA170+(1-EXP(-LN(2)/25))/(LN(2)/25)*Calculateur!V171*Calculateur!X171*VLOOKUP('Données projet'!$B$9,Paramètres!$A$1:$I$88,3,0)*0.475*44/12</f>
        <v>0</v>
      </c>
      <c r="AB171" s="23">
        <f>EXP(-LN(2)/2)*AB170+(1-EXP(-LN(2)/2))/(LN(2)/2)*V171*Y171*VLOOKUP('Données projet'!$B$9,Paramètres!$A$1:$I$88,3,0)*0.475*44/12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69.645799617453051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-5.1159076974727213E-13</v>
      </c>
      <c r="AJ171" s="14">
        <f>AI171*VLOOKUP('Données projet'!$B$10,Paramètres!$A$1:$I$88,3,0)*VLOOKUP('Données projet'!$B$10,Paramètres!$A$1:$I$88,5,0)</f>
        <v>-4.6288732846733184E-13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441.34749554136755</v>
      </c>
      <c r="AO171" s="62">
        <f t="shared" si="144"/>
        <v>236.49038586666222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0</v>
      </c>
      <c r="AV171" s="23">
        <f>EXP(-LN(2)/25)*AV170+(1-EXP(-LN(2)/25))/(LN(2)/25)*Calculateur!AQ171*Calculateur!AS171*VLOOKUP('Données projet'!$B$10,Paramètres!$A$1:$I$88,3,0)*0.475*44/12</f>
        <v>0</v>
      </c>
      <c r="AW171" s="23">
        <f>EXP(-LN(2)/2)*AW170+(1-EXP(-LN(2)/2))/(LN(2)/2)*AQ171*AT171*VLOOKUP('Données projet'!$B$10,Paramètres!$A$1:$I$88,3,0)*0.475*44/12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69.645799617453051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-5.1159076974727213E-13</v>
      </c>
      <c r="BE171" s="14">
        <f>BD171*VLOOKUP('Données projet'!$B$11,Paramètres!$A$1:$I$88,3,0)*VLOOKUP('Données projet'!$B$11,Paramètres!$A$1:$I$88,5,0)</f>
        <v>-5.5067630455596371E-13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514.86487884889584</v>
      </c>
      <c r="BJ171" s="62">
        <f t="shared" si="146"/>
        <v>272.4206208356191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projet'!$B$11,Paramètres!$A$1:$I$88,3,0)*0.475*44/12</f>
        <v>0</v>
      </c>
      <c r="BQ171" s="23">
        <f>EXP(-LN(2)/25)*BQ170+(1-EXP(-LN(2)/25))/(LN(2)/25)*Calculateur!BL171*Calculateur!BN171*VLOOKUP('Données projet'!$B$11,Paramètres!$A$1:$I$88,3,0)*0.475*44/12</f>
        <v>0</v>
      </c>
      <c r="BR171" s="23">
        <f>EXP(-LN(2)/2)*BR170+(1-EXP(-LN(2)/2))/(LN(2)/2)*BL171*BO171*VLOOKUP('Données projet'!$B$11,Paramètres!$A$1:$I$88,3,0)*0.475*44/12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69.645799617453051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-1.7053025658242404E-13</v>
      </c>
      <c r="BZ171" s="14">
        <f>BY171*VLOOKUP('Données projet'!$B$12,Paramètres!$A$1:$I$88,3,0)*VLOOKUP('Données projet'!$B$12,Paramètres!$A$1:$I$88,5,0)</f>
        <v>-1.1173142411280423E-13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270.10151451661864</v>
      </c>
      <c r="CE171" s="62">
        <f t="shared" si="148"/>
        <v>294.47934482366804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projet'!$B$12,Paramètres!$A$1:$I$88,3,0)*0.475*44/12</f>
        <v>0</v>
      </c>
      <c r="CL171" s="23">
        <f>EXP(-LN(2)/25)*CL170+(1-EXP(-LN(2)/25))/(LN(2)/25)*Calculateur!CG171*Calculateur!CI171*VLOOKUP('Données projet'!$B$12,Paramètres!$A$1:$I$88,3,0)*0.475*44/12</f>
        <v>0</v>
      </c>
      <c r="CM171" s="23">
        <f>EXP(-LN(2)/2)*CM170+(1-EXP(-LN(2)/2))/(LN(2)/2)*CG171*CJ171*VLOOKUP('Données projet'!$B$12,Paramètres!$A$1:$I$88,3,0)*0.475*44/12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69.645799617453051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-1.7053025658242404E-13</v>
      </c>
      <c r="CU171" s="18">
        <f>CT171*VLOOKUP('Données projet'!$B$13,Paramètres!$A$1:$I$88,3,0)*VLOOKUP('Données projet'!$B$13,Paramètres!$A$1:$I$88,5,0)</f>
        <v>-1.1173142411280423E-13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270.10151451661864</v>
      </c>
      <c r="CZ171" s="62">
        <f t="shared" si="150"/>
        <v>294.47934482366804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projet'!$B$13,Paramètres!$A$1:$I$88,3,0)*0.475*44/12</f>
        <v>0</v>
      </c>
      <c r="DG171" s="23">
        <f>EXP(-LN(2)/25)*DG170+(1-EXP(-LN(2)/25))/(LN(2)/25)*Calculateur!DB171*Calculateur!DD171*VLOOKUP('Données projet'!$B$13,Paramètres!$A$1:$I$88,3,0)*0.475*44/12</f>
        <v>0</v>
      </c>
      <c r="DH171" s="23">
        <f>EXP(-LN(2)/2)*DH170+(1-EXP(-LN(2)/2))/(LN(2)/2)*DB171*DE171*VLOOKUP('Données projet'!$B$13,Paramètres!$A$1:$I$88,3,0)*0.475*44/12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69.645799617453051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projet'!$B$14,Paramètres!$A$1:$I$88,3,0)*0.475*44/12</f>
        <v>#N/A</v>
      </c>
      <c r="EB171" s="23" t="e">
        <f>EXP(-LN(2)/25)*EB170+(1-EXP(-LN(2)/25))/(LN(2)/25)*Calculateur!DW171*Calculateur!DY171*VLOOKUP('Données projet'!$B$14,Paramètres!$A$1:$I$88,3,0)*0.475*44/12</f>
        <v>#N/A</v>
      </c>
      <c r="EC171" s="23" t="e">
        <f>EXP(-LN(2)/2)*EC170+(1-EXP(-LN(2)/2))/(LN(2)/2)*DW171*DZ171*VLOOKUP('Données projet'!$B$14,Paramètres!$A$1:$I$88,3,0)*0.475*44/12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69.645799617453051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69.645799617453051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69.645799617453051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69.645799617453051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1.34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4.9133333333333331</v>
      </c>
      <c r="H172" s="70">
        <f t="shared" si="110"/>
        <v>237.01333333333332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69.651944202216825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-5.1159076974727213E-13</v>
      </c>
      <c r="O172" s="14">
        <f>N172*VLOOKUP('Données projet'!$B$9,Paramètres!$A$1:$I$88,3,0)*VLOOKUP('Données projet'!$B$9,Paramètres!$A$1:$I$88,5,0)</f>
        <v>-5.1875304052373401E-13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488.16146816015231</v>
      </c>
      <c r="T172" s="62">
        <f t="shared" si="142"/>
        <v>259.37115195552127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0</v>
      </c>
      <c r="AA172" s="23">
        <f>EXP(-LN(2)/25)*AA171+(1-EXP(-LN(2)/25))/(LN(2)/25)*Calculateur!V172*Calculateur!X172*VLOOKUP('Données projet'!$B$9,Paramètres!$A$1:$I$88,3,0)*0.475*44/12</f>
        <v>0</v>
      </c>
      <c r="AB172" s="23">
        <f>EXP(-LN(2)/2)*AB171+(1-EXP(-LN(2)/2))/(LN(2)/2)*V172*Y172*VLOOKUP('Données projet'!$B$9,Paramètres!$A$1:$I$88,3,0)*0.475*44/12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69.651944202216825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-5.1159076974727213E-13</v>
      </c>
      <c r="AJ172" s="14">
        <f>AI172*VLOOKUP('Données projet'!$B$10,Paramètres!$A$1:$I$88,3,0)*VLOOKUP('Données projet'!$B$10,Paramètres!$A$1:$I$88,5,0)</f>
        <v>-4.6288732846733184E-13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441.34749554136755</v>
      </c>
      <c r="AO172" s="62">
        <f t="shared" si="144"/>
        <v>236.49038586666222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0</v>
      </c>
      <c r="AV172" s="23">
        <f>EXP(-LN(2)/25)*AV171+(1-EXP(-LN(2)/25))/(LN(2)/25)*Calculateur!AQ172*Calculateur!AS172*VLOOKUP('Données projet'!$B$10,Paramètres!$A$1:$I$88,3,0)*0.475*44/12</f>
        <v>0</v>
      </c>
      <c r="AW172" s="23">
        <f>EXP(-LN(2)/2)*AW171+(1-EXP(-LN(2)/2))/(LN(2)/2)*AQ172*AT172*VLOOKUP('Données projet'!$B$10,Paramètres!$A$1:$I$88,3,0)*0.475*44/12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69.651944202216825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-5.1159076974727213E-13</v>
      </c>
      <c r="BE172" s="14">
        <f>BD172*VLOOKUP('Données projet'!$B$11,Paramètres!$A$1:$I$88,3,0)*VLOOKUP('Données projet'!$B$11,Paramètres!$A$1:$I$88,5,0)</f>
        <v>-5.5067630455596371E-13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514.86487884889584</v>
      </c>
      <c r="BJ172" s="62">
        <f t="shared" si="146"/>
        <v>272.4206208356191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projet'!$B$11,Paramètres!$A$1:$I$88,3,0)*0.475*44/12</f>
        <v>0</v>
      </c>
      <c r="BQ172" s="23">
        <f>EXP(-LN(2)/25)*BQ171+(1-EXP(-LN(2)/25))/(LN(2)/25)*Calculateur!BL172*Calculateur!BN172*VLOOKUP('Données projet'!$B$11,Paramètres!$A$1:$I$88,3,0)*0.475*44/12</f>
        <v>0</v>
      </c>
      <c r="BR172" s="23">
        <f>EXP(-LN(2)/2)*BR171+(1-EXP(-LN(2)/2))/(LN(2)/2)*BL172*BO172*VLOOKUP('Données projet'!$B$11,Paramètres!$A$1:$I$88,3,0)*0.475*44/12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69.651944202216825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-1.7053025658242404E-13</v>
      </c>
      <c r="BZ172" s="14">
        <f>BY172*VLOOKUP('Données projet'!$B$12,Paramètres!$A$1:$I$88,3,0)*VLOOKUP('Données projet'!$B$12,Paramètres!$A$1:$I$88,5,0)</f>
        <v>-1.1173142411280423E-13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270.10151451661864</v>
      </c>
      <c r="CE172" s="62">
        <f t="shared" si="148"/>
        <v>294.47934482366804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projet'!$B$12,Paramètres!$A$1:$I$88,3,0)*0.475*44/12</f>
        <v>0</v>
      </c>
      <c r="CL172" s="23">
        <f>EXP(-LN(2)/25)*CL171+(1-EXP(-LN(2)/25))/(LN(2)/25)*Calculateur!CG172*Calculateur!CI172*VLOOKUP('Données projet'!$B$12,Paramètres!$A$1:$I$88,3,0)*0.475*44/12</f>
        <v>0</v>
      </c>
      <c r="CM172" s="23">
        <f>EXP(-LN(2)/2)*CM171+(1-EXP(-LN(2)/2))/(LN(2)/2)*CG172*CJ172*VLOOKUP('Données projet'!$B$12,Paramètres!$A$1:$I$88,3,0)*0.475*44/12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69.651944202216825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-1.7053025658242404E-13</v>
      </c>
      <c r="CU172" s="18">
        <f>CT172*VLOOKUP('Données projet'!$B$13,Paramètres!$A$1:$I$88,3,0)*VLOOKUP('Données projet'!$B$13,Paramètres!$A$1:$I$88,5,0)</f>
        <v>-1.1173142411280423E-13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270.10151451661864</v>
      </c>
      <c r="CZ172" s="62">
        <f t="shared" si="150"/>
        <v>294.47934482366804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projet'!$B$13,Paramètres!$A$1:$I$88,3,0)*0.475*44/12</f>
        <v>0</v>
      </c>
      <c r="DG172" s="23">
        <f>EXP(-LN(2)/25)*DG171+(1-EXP(-LN(2)/25))/(LN(2)/25)*Calculateur!DB172*Calculateur!DD172*VLOOKUP('Données projet'!$B$13,Paramètres!$A$1:$I$88,3,0)*0.475*44/12</f>
        <v>0</v>
      </c>
      <c r="DH172" s="23">
        <f>EXP(-LN(2)/2)*DH171+(1-EXP(-LN(2)/2))/(LN(2)/2)*DB172*DE172*VLOOKUP('Données projet'!$B$13,Paramètres!$A$1:$I$88,3,0)*0.475*44/12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69.651944202216825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projet'!$B$14,Paramètres!$A$1:$I$88,3,0)*0.475*44/12</f>
        <v>#N/A</v>
      </c>
      <c r="EB172" s="23" t="e">
        <f>EXP(-LN(2)/25)*EB171+(1-EXP(-LN(2)/25))/(LN(2)/25)*Calculateur!DW172*Calculateur!DY172*VLOOKUP('Données projet'!$B$14,Paramètres!$A$1:$I$88,3,0)*0.475*44/12</f>
        <v>#N/A</v>
      </c>
      <c r="EC172" s="23" t="e">
        <f>EXP(-LN(2)/2)*EC171+(1-EXP(-LN(2)/2))/(LN(2)/2)*DW172*DZ172*VLOOKUP('Données projet'!$B$14,Paramètres!$A$1:$I$88,3,0)*0.475*44/12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69.651944202216825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69.651944202216825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69.651944202216825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69.651944202216825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1.34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4.9133333333333331</v>
      </c>
      <c r="H173" s="70">
        <f t="shared" si="110"/>
        <v>237.01333333333332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69.65798219217217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-5.1159076974727213E-13</v>
      </c>
      <c r="O173" s="14">
        <f>N173*VLOOKUP('Données projet'!$B$9,Paramètres!$A$1:$I$88,3,0)*VLOOKUP('Données projet'!$B$9,Paramètres!$A$1:$I$88,5,0)</f>
        <v>-5.1875304052373401E-13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488.16146816015231</v>
      </c>
      <c r="T173" s="62">
        <f t="shared" si="142"/>
        <v>259.37115195552127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0</v>
      </c>
      <c r="AA173" s="23">
        <f>EXP(-LN(2)/25)*AA172+(1-EXP(-LN(2)/25))/(LN(2)/25)*Calculateur!V173*Calculateur!X173*VLOOKUP('Données projet'!$B$9,Paramètres!$A$1:$I$88,3,0)*0.475*44/12</f>
        <v>0</v>
      </c>
      <c r="AB173" s="23">
        <f>EXP(-LN(2)/2)*AB172+(1-EXP(-LN(2)/2))/(LN(2)/2)*V173*Y173*VLOOKUP('Données projet'!$B$9,Paramètres!$A$1:$I$88,3,0)*0.475*44/12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69.65798219217217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-5.1159076974727213E-13</v>
      </c>
      <c r="AJ173" s="14">
        <f>AI173*VLOOKUP('Données projet'!$B$10,Paramètres!$A$1:$I$88,3,0)*VLOOKUP('Données projet'!$B$10,Paramètres!$A$1:$I$88,5,0)</f>
        <v>-4.6288732846733184E-13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441.34749554136755</v>
      </c>
      <c r="AO173" s="62">
        <f t="shared" si="144"/>
        <v>236.49038586666222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0</v>
      </c>
      <c r="AV173" s="23">
        <f>EXP(-LN(2)/25)*AV172+(1-EXP(-LN(2)/25))/(LN(2)/25)*Calculateur!AQ173*Calculateur!AS173*VLOOKUP('Données projet'!$B$10,Paramètres!$A$1:$I$88,3,0)*0.475*44/12</f>
        <v>0</v>
      </c>
      <c r="AW173" s="23">
        <f>EXP(-LN(2)/2)*AW172+(1-EXP(-LN(2)/2))/(LN(2)/2)*AQ173*AT173*VLOOKUP('Données projet'!$B$10,Paramètres!$A$1:$I$88,3,0)*0.475*44/12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69.65798219217217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-5.1159076974727213E-13</v>
      </c>
      <c r="BE173" s="14">
        <f>BD173*VLOOKUP('Données projet'!$B$11,Paramètres!$A$1:$I$88,3,0)*VLOOKUP('Données projet'!$B$11,Paramètres!$A$1:$I$88,5,0)</f>
        <v>-5.5067630455596371E-13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514.86487884889584</v>
      </c>
      <c r="BJ173" s="62">
        <f t="shared" si="146"/>
        <v>272.4206208356191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projet'!$B$11,Paramètres!$A$1:$I$88,3,0)*0.475*44/12</f>
        <v>0</v>
      </c>
      <c r="BQ173" s="23">
        <f>EXP(-LN(2)/25)*BQ172+(1-EXP(-LN(2)/25))/(LN(2)/25)*Calculateur!BL173*Calculateur!BN173*VLOOKUP('Données projet'!$B$11,Paramètres!$A$1:$I$88,3,0)*0.475*44/12</f>
        <v>0</v>
      </c>
      <c r="BR173" s="23">
        <f>EXP(-LN(2)/2)*BR172+(1-EXP(-LN(2)/2))/(LN(2)/2)*BL173*BO173*VLOOKUP('Données projet'!$B$11,Paramètres!$A$1:$I$88,3,0)*0.475*44/12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69.65798219217217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-1.7053025658242404E-13</v>
      </c>
      <c r="BZ173" s="14">
        <f>BY173*VLOOKUP('Données projet'!$B$12,Paramètres!$A$1:$I$88,3,0)*VLOOKUP('Données projet'!$B$12,Paramètres!$A$1:$I$88,5,0)</f>
        <v>-1.1173142411280423E-13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270.10151451661864</v>
      </c>
      <c r="CE173" s="62">
        <f t="shared" si="148"/>
        <v>294.47934482366804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projet'!$B$12,Paramètres!$A$1:$I$88,3,0)*0.475*44/12</f>
        <v>0</v>
      </c>
      <c r="CL173" s="23">
        <f>EXP(-LN(2)/25)*CL172+(1-EXP(-LN(2)/25))/(LN(2)/25)*Calculateur!CG173*Calculateur!CI173*VLOOKUP('Données projet'!$B$12,Paramètres!$A$1:$I$88,3,0)*0.475*44/12</f>
        <v>0</v>
      </c>
      <c r="CM173" s="23">
        <f>EXP(-LN(2)/2)*CM172+(1-EXP(-LN(2)/2))/(LN(2)/2)*CG173*CJ173*VLOOKUP('Données projet'!$B$12,Paramètres!$A$1:$I$88,3,0)*0.475*44/12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69.65798219217217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-1.7053025658242404E-13</v>
      </c>
      <c r="CU173" s="18">
        <f>CT173*VLOOKUP('Données projet'!$B$13,Paramètres!$A$1:$I$88,3,0)*VLOOKUP('Données projet'!$B$13,Paramètres!$A$1:$I$88,5,0)</f>
        <v>-1.1173142411280423E-13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270.10151451661864</v>
      </c>
      <c r="CZ173" s="62">
        <f t="shared" si="150"/>
        <v>294.47934482366804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projet'!$B$13,Paramètres!$A$1:$I$88,3,0)*0.475*44/12</f>
        <v>0</v>
      </c>
      <c r="DG173" s="23">
        <f>EXP(-LN(2)/25)*DG172+(1-EXP(-LN(2)/25))/(LN(2)/25)*Calculateur!DB173*Calculateur!DD173*VLOOKUP('Données projet'!$B$13,Paramètres!$A$1:$I$88,3,0)*0.475*44/12</f>
        <v>0</v>
      </c>
      <c r="DH173" s="23">
        <f>EXP(-LN(2)/2)*DH172+(1-EXP(-LN(2)/2))/(LN(2)/2)*DB173*DE173*VLOOKUP('Données projet'!$B$13,Paramètres!$A$1:$I$88,3,0)*0.475*44/12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69.65798219217217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projet'!$B$14,Paramètres!$A$1:$I$88,3,0)*0.475*44/12</f>
        <v>#N/A</v>
      </c>
      <c r="EB173" s="23" t="e">
        <f>EXP(-LN(2)/25)*EB172+(1-EXP(-LN(2)/25))/(LN(2)/25)*Calculateur!DW173*Calculateur!DY173*VLOOKUP('Données projet'!$B$14,Paramètres!$A$1:$I$88,3,0)*0.475*44/12</f>
        <v>#N/A</v>
      </c>
      <c r="EC173" s="23" t="e">
        <f>EXP(-LN(2)/2)*EC172+(1-EXP(-LN(2)/2))/(LN(2)/2)*DW173*DZ173*VLOOKUP('Données projet'!$B$14,Paramètres!$A$1:$I$88,3,0)*0.475*44/12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69.65798219217217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69.65798219217217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69.65798219217217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69.65798219217217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1.34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4.9133333333333331</v>
      </c>
      <c r="H174" s="70">
        <f t="shared" si="110"/>
        <v>237.01333333333332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69.663915436500716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-5.1159076974727213E-13</v>
      </c>
      <c r="O174" s="14">
        <f>N174*VLOOKUP('Données projet'!$B$9,Paramètres!$A$1:$I$88,3,0)*VLOOKUP('Données projet'!$B$9,Paramètres!$A$1:$I$88,5,0)</f>
        <v>-5.1875304052373401E-13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488.16146816015231</v>
      </c>
      <c r="T174" s="62">
        <f t="shared" si="142"/>
        <v>259.37115195552127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0</v>
      </c>
      <c r="AA174" s="23">
        <f>EXP(-LN(2)/25)*AA173+(1-EXP(-LN(2)/25))/(LN(2)/25)*Calculateur!V174*Calculateur!X174*VLOOKUP('Données projet'!$B$9,Paramètres!$A$1:$I$88,3,0)*0.475*44/12</f>
        <v>0</v>
      </c>
      <c r="AB174" s="23">
        <f>EXP(-LN(2)/2)*AB173+(1-EXP(-LN(2)/2))/(LN(2)/2)*V174*Y174*VLOOKUP('Données projet'!$B$9,Paramètres!$A$1:$I$88,3,0)*0.475*44/12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69.663915436500716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-5.1159076974727213E-13</v>
      </c>
      <c r="AJ174" s="14">
        <f>AI174*VLOOKUP('Données projet'!$B$10,Paramètres!$A$1:$I$88,3,0)*VLOOKUP('Données projet'!$B$10,Paramètres!$A$1:$I$88,5,0)</f>
        <v>-4.6288732846733184E-13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441.34749554136755</v>
      </c>
      <c r="AO174" s="62">
        <f t="shared" si="144"/>
        <v>236.49038586666222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0</v>
      </c>
      <c r="AV174" s="23">
        <f>EXP(-LN(2)/25)*AV173+(1-EXP(-LN(2)/25))/(LN(2)/25)*Calculateur!AQ174*Calculateur!AS174*VLOOKUP('Données projet'!$B$10,Paramètres!$A$1:$I$88,3,0)*0.475*44/12</f>
        <v>0</v>
      </c>
      <c r="AW174" s="23">
        <f>EXP(-LN(2)/2)*AW173+(1-EXP(-LN(2)/2))/(LN(2)/2)*AQ174*AT174*VLOOKUP('Données projet'!$B$10,Paramètres!$A$1:$I$88,3,0)*0.475*44/12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69.663915436500716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-5.1159076974727213E-13</v>
      </c>
      <c r="BE174" s="14">
        <f>BD174*VLOOKUP('Données projet'!$B$11,Paramètres!$A$1:$I$88,3,0)*VLOOKUP('Données projet'!$B$11,Paramètres!$A$1:$I$88,5,0)</f>
        <v>-5.5067630455596371E-13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514.86487884889584</v>
      </c>
      <c r="BJ174" s="62">
        <f t="shared" si="146"/>
        <v>272.4206208356191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projet'!$B$11,Paramètres!$A$1:$I$88,3,0)*0.475*44/12</f>
        <v>0</v>
      </c>
      <c r="BQ174" s="23">
        <f>EXP(-LN(2)/25)*BQ173+(1-EXP(-LN(2)/25))/(LN(2)/25)*Calculateur!BL174*Calculateur!BN174*VLOOKUP('Données projet'!$B$11,Paramètres!$A$1:$I$88,3,0)*0.475*44/12</f>
        <v>0</v>
      </c>
      <c r="BR174" s="23">
        <f>EXP(-LN(2)/2)*BR173+(1-EXP(-LN(2)/2))/(LN(2)/2)*BL174*BO174*VLOOKUP('Données projet'!$B$11,Paramètres!$A$1:$I$88,3,0)*0.475*44/12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69.663915436500716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-1.7053025658242404E-13</v>
      </c>
      <c r="BZ174" s="14">
        <f>BY174*VLOOKUP('Données projet'!$B$12,Paramètres!$A$1:$I$88,3,0)*VLOOKUP('Données projet'!$B$12,Paramètres!$A$1:$I$88,5,0)</f>
        <v>-1.1173142411280423E-13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270.10151451661864</v>
      </c>
      <c r="CE174" s="62">
        <f t="shared" si="148"/>
        <v>294.47934482366804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projet'!$B$12,Paramètres!$A$1:$I$88,3,0)*0.475*44/12</f>
        <v>0</v>
      </c>
      <c r="CL174" s="23">
        <f>EXP(-LN(2)/25)*CL173+(1-EXP(-LN(2)/25))/(LN(2)/25)*Calculateur!CG174*Calculateur!CI174*VLOOKUP('Données projet'!$B$12,Paramètres!$A$1:$I$88,3,0)*0.475*44/12</f>
        <v>0</v>
      </c>
      <c r="CM174" s="23">
        <f>EXP(-LN(2)/2)*CM173+(1-EXP(-LN(2)/2))/(LN(2)/2)*CG174*CJ174*VLOOKUP('Données projet'!$B$12,Paramètres!$A$1:$I$88,3,0)*0.475*44/12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69.663915436500716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-1.7053025658242404E-13</v>
      </c>
      <c r="CU174" s="18">
        <f>CT174*VLOOKUP('Données projet'!$B$13,Paramètres!$A$1:$I$88,3,0)*VLOOKUP('Données projet'!$B$13,Paramètres!$A$1:$I$88,5,0)</f>
        <v>-1.1173142411280423E-13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270.10151451661864</v>
      </c>
      <c r="CZ174" s="62">
        <f t="shared" si="150"/>
        <v>294.47934482366804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projet'!$B$13,Paramètres!$A$1:$I$88,3,0)*0.475*44/12</f>
        <v>0</v>
      </c>
      <c r="DG174" s="23">
        <f>EXP(-LN(2)/25)*DG173+(1-EXP(-LN(2)/25))/(LN(2)/25)*Calculateur!DB174*Calculateur!DD174*VLOOKUP('Données projet'!$B$13,Paramètres!$A$1:$I$88,3,0)*0.475*44/12</f>
        <v>0</v>
      </c>
      <c r="DH174" s="23">
        <f>EXP(-LN(2)/2)*DH173+(1-EXP(-LN(2)/2))/(LN(2)/2)*DB174*DE174*VLOOKUP('Données projet'!$B$13,Paramètres!$A$1:$I$88,3,0)*0.475*44/12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69.663915436500716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projet'!$B$14,Paramètres!$A$1:$I$88,3,0)*0.475*44/12</f>
        <v>#N/A</v>
      </c>
      <c r="EB174" s="23" t="e">
        <f>EXP(-LN(2)/25)*EB173+(1-EXP(-LN(2)/25))/(LN(2)/25)*Calculateur!DW174*Calculateur!DY174*VLOOKUP('Données projet'!$B$14,Paramètres!$A$1:$I$88,3,0)*0.475*44/12</f>
        <v>#N/A</v>
      </c>
      <c r="EC174" s="23" t="e">
        <f>EXP(-LN(2)/2)*EC173+(1-EXP(-LN(2)/2))/(LN(2)/2)*DW174*DZ174*VLOOKUP('Données projet'!$B$14,Paramètres!$A$1:$I$88,3,0)*0.475*44/12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69.663915436500716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69.663915436500716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69.663915436500716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69.663915436500716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1.34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4.9133333333333331</v>
      </c>
      <c r="H175" s="70">
        <f t="shared" si="110"/>
        <v>237.01333333333332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69.669745752304905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-5.1159076974727213E-13</v>
      </c>
      <c r="O175" s="14">
        <f>N175*VLOOKUP('Données projet'!$B$9,Paramètres!$A$1:$I$88,3,0)*VLOOKUP('Données projet'!$B$9,Paramètres!$A$1:$I$88,5,0)</f>
        <v>-5.1875304052373401E-13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488.16146816015231</v>
      </c>
      <c r="T175" s="62">
        <f t="shared" si="142"/>
        <v>259.37115195552127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0</v>
      </c>
      <c r="AA175" s="23">
        <f>EXP(-LN(2)/25)*AA174+(1-EXP(-LN(2)/25))/(LN(2)/25)*Calculateur!V175*Calculateur!X175*VLOOKUP('Données projet'!$B$9,Paramètres!$A$1:$I$88,3,0)*0.475*44/12</f>
        <v>0</v>
      </c>
      <c r="AB175" s="23">
        <f>EXP(-LN(2)/2)*AB174+(1-EXP(-LN(2)/2))/(LN(2)/2)*V175*Y175*VLOOKUP('Données projet'!$B$9,Paramètres!$A$1:$I$88,3,0)*0.475*44/12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69.669745752304905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-5.1159076974727213E-13</v>
      </c>
      <c r="AJ175" s="14">
        <f>AI175*VLOOKUP('Données projet'!$B$10,Paramètres!$A$1:$I$88,3,0)*VLOOKUP('Données projet'!$B$10,Paramètres!$A$1:$I$88,5,0)</f>
        <v>-4.6288732846733184E-13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441.34749554136755</v>
      </c>
      <c r="AO175" s="62">
        <f t="shared" si="144"/>
        <v>236.49038586666222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0</v>
      </c>
      <c r="AV175" s="23">
        <f>EXP(-LN(2)/25)*AV174+(1-EXP(-LN(2)/25))/(LN(2)/25)*Calculateur!AQ175*Calculateur!AS175*VLOOKUP('Données projet'!$B$10,Paramètres!$A$1:$I$88,3,0)*0.475*44/12</f>
        <v>0</v>
      </c>
      <c r="AW175" s="23">
        <f>EXP(-LN(2)/2)*AW174+(1-EXP(-LN(2)/2))/(LN(2)/2)*AQ175*AT175*VLOOKUP('Données projet'!$B$10,Paramètres!$A$1:$I$88,3,0)*0.475*44/12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69.669745752304905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-5.1159076974727213E-13</v>
      </c>
      <c r="BE175" s="14">
        <f>BD175*VLOOKUP('Données projet'!$B$11,Paramètres!$A$1:$I$88,3,0)*VLOOKUP('Données projet'!$B$11,Paramètres!$A$1:$I$88,5,0)</f>
        <v>-5.5067630455596371E-13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514.86487884889584</v>
      </c>
      <c r="BJ175" s="62">
        <f t="shared" si="146"/>
        <v>272.4206208356191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projet'!$B$11,Paramètres!$A$1:$I$88,3,0)*0.475*44/12</f>
        <v>0</v>
      </c>
      <c r="BQ175" s="23">
        <f>EXP(-LN(2)/25)*BQ174+(1-EXP(-LN(2)/25))/(LN(2)/25)*Calculateur!BL175*Calculateur!BN175*VLOOKUP('Données projet'!$B$11,Paramètres!$A$1:$I$88,3,0)*0.475*44/12</f>
        <v>0</v>
      </c>
      <c r="BR175" s="23">
        <f>EXP(-LN(2)/2)*BR174+(1-EXP(-LN(2)/2))/(LN(2)/2)*BL175*BO175*VLOOKUP('Données projet'!$B$11,Paramètres!$A$1:$I$88,3,0)*0.475*44/12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69.669745752304905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-1.7053025658242404E-13</v>
      </c>
      <c r="BZ175" s="14">
        <f>BY175*VLOOKUP('Données projet'!$B$12,Paramètres!$A$1:$I$88,3,0)*VLOOKUP('Données projet'!$B$12,Paramètres!$A$1:$I$88,5,0)</f>
        <v>-1.1173142411280423E-13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270.10151451661864</v>
      </c>
      <c r="CE175" s="62">
        <f t="shared" si="148"/>
        <v>294.47934482366804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projet'!$B$12,Paramètres!$A$1:$I$88,3,0)*0.475*44/12</f>
        <v>0</v>
      </c>
      <c r="CL175" s="23">
        <f>EXP(-LN(2)/25)*CL174+(1-EXP(-LN(2)/25))/(LN(2)/25)*Calculateur!CG175*Calculateur!CI175*VLOOKUP('Données projet'!$B$12,Paramètres!$A$1:$I$88,3,0)*0.475*44/12</f>
        <v>0</v>
      </c>
      <c r="CM175" s="23">
        <f>EXP(-LN(2)/2)*CM174+(1-EXP(-LN(2)/2))/(LN(2)/2)*CG175*CJ175*VLOOKUP('Données projet'!$B$12,Paramètres!$A$1:$I$88,3,0)*0.475*44/12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69.669745752304905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-1.7053025658242404E-13</v>
      </c>
      <c r="CU175" s="18">
        <f>CT175*VLOOKUP('Données projet'!$B$13,Paramètres!$A$1:$I$88,3,0)*VLOOKUP('Données projet'!$B$13,Paramètres!$A$1:$I$88,5,0)</f>
        <v>-1.1173142411280423E-13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270.10151451661864</v>
      </c>
      <c r="CZ175" s="62">
        <f t="shared" si="150"/>
        <v>294.47934482366804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projet'!$B$13,Paramètres!$A$1:$I$88,3,0)*0.475*44/12</f>
        <v>0</v>
      </c>
      <c r="DG175" s="23">
        <f>EXP(-LN(2)/25)*DG174+(1-EXP(-LN(2)/25))/(LN(2)/25)*Calculateur!DB175*Calculateur!DD175*VLOOKUP('Données projet'!$B$13,Paramètres!$A$1:$I$88,3,0)*0.475*44/12</f>
        <v>0</v>
      </c>
      <c r="DH175" s="23">
        <f>EXP(-LN(2)/2)*DH174+(1-EXP(-LN(2)/2))/(LN(2)/2)*DB175*DE175*VLOOKUP('Données projet'!$B$13,Paramètres!$A$1:$I$88,3,0)*0.475*44/12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69.669745752304905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projet'!$B$14,Paramètres!$A$1:$I$88,3,0)*0.475*44/12</f>
        <v>#N/A</v>
      </c>
      <c r="EB175" s="23" t="e">
        <f>EXP(-LN(2)/25)*EB174+(1-EXP(-LN(2)/25))/(LN(2)/25)*Calculateur!DW175*Calculateur!DY175*VLOOKUP('Données projet'!$B$14,Paramètres!$A$1:$I$88,3,0)*0.475*44/12</f>
        <v>#N/A</v>
      </c>
      <c r="EC175" s="23" t="e">
        <f>EXP(-LN(2)/2)*EC174+(1-EXP(-LN(2)/2))/(LN(2)/2)*DW175*DZ175*VLOOKUP('Données projet'!$B$14,Paramètres!$A$1:$I$88,3,0)*0.475*44/12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69.669745752304905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69.669745752304905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69.669745752304905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69.669745752304905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1.34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4.9133333333333331</v>
      </c>
      <c r="H176" s="70">
        <f t="shared" si="110"/>
        <v>237.01333333333332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69.675474925164536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-5.1159076974727213E-13</v>
      </c>
      <c r="O176" s="14">
        <f>N176*VLOOKUP('Données projet'!$B$9,Paramètres!$A$1:$I$88,3,0)*VLOOKUP('Données projet'!$B$9,Paramètres!$A$1:$I$88,5,0)</f>
        <v>-5.1875304052373401E-13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488.16146816015231</v>
      </c>
      <c r="T176" s="62">
        <f t="shared" si="142"/>
        <v>259.37115195552127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0</v>
      </c>
      <c r="AA176" s="23">
        <f>EXP(-LN(2)/25)*AA175+(1-EXP(-LN(2)/25))/(LN(2)/25)*Calculateur!V176*Calculateur!X176*VLOOKUP('Données projet'!$B$9,Paramètres!$A$1:$I$88,3,0)*0.475*44/12</f>
        <v>0</v>
      </c>
      <c r="AB176" s="23">
        <f>EXP(-LN(2)/2)*AB175+(1-EXP(-LN(2)/2))/(LN(2)/2)*V176*Y176*VLOOKUP('Données projet'!$B$9,Paramètres!$A$1:$I$88,3,0)*0.475*44/12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69.675474925164536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-5.1159076974727213E-13</v>
      </c>
      <c r="AJ176" s="14">
        <f>AI176*VLOOKUP('Données projet'!$B$10,Paramètres!$A$1:$I$88,3,0)*VLOOKUP('Données projet'!$B$10,Paramètres!$A$1:$I$88,5,0)</f>
        <v>-4.6288732846733184E-13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441.34749554136755</v>
      </c>
      <c r="AO176" s="62">
        <f t="shared" si="144"/>
        <v>236.49038586666222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0</v>
      </c>
      <c r="AV176" s="23">
        <f>EXP(-LN(2)/25)*AV175+(1-EXP(-LN(2)/25))/(LN(2)/25)*Calculateur!AQ176*Calculateur!AS176*VLOOKUP('Données projet'!$B$10,Paramètres!$A$1:$I$88,3,0)*0.475*44/12</f>
        <v>0</v>
      </c>
      <c r="AW176" s="23">
        <f>EXP(-LN(2)/2)*AW175+(1-EXP(-LN(2)/2))/(LN(2)/2)*AQ176*AT176*VLOOKUP('Données projet'!$B$10,Paramètres!$A$1:$I$88,3,0)*0.475*44/12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69.675474925164536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-5.1159076974727213E-13</v>
      </c>
      <c r="BE176" s="14">
        <f>BD176*VLOOKUP('Données projet'!$B$11,Paramètres!$A$1:$I$88,3,0)*VLOOKUP('Données projet'!$B$11,Paramètres!$A$1:$I$88,5,0)</f>
        <v>-5.5067630455596371E-13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514.86487884889584</v>
      </c>
      <c r="BJ176" s="62">
        <f t="shared" si="146"/>
        <v>272.4206208356191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projet'!$B$11,Paramètres!$A$1:$I$88,3,0)*0.475*44/12</f>
        <v>0</v>
      </c>
      <c r="BQ176" s="23">
        <f>EXP(-LN(2)/25)*BQ175+(1-EXP(-LN(2)/25))/(LN(2)/25)*Calculateur!BL176*Calculateur!BN176*VLOOKUP('Données projet'!$B$11,Paramètres!$A$1:$I$88,3,0)*0.475*44/12</f>
        <v>0</v>
      </c>
      <c r="BR176" s="23">
        <f>EXP(-LN(2)/2)*BR175+(1-EXP(-LN(2)/2))/(LN(2)/2)*BL176*BO176*VLOOKUP('Données projet'!$B$11,Paramètres!$A$1:$I$88,3,0)*0.475*44/12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69.675474925164536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-1.7053025658242404E-13</v>
      </c>
      <c r="BZ176" s="14">
        <f>BY176*VLOOKUP('Données projet'!$B$12,Paramètres!$A$1:$I$88,3,0)*VLOOKUP('Données projet'!$B$12,Paramètres!$A$1:$I$88,5,0)</f>
        <v>-1.1173142411280423E-13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270.10151451661864</v>
      </c>
      <c r="CE176" s="62">
        <f t="shared" si="148"/>
        <v>294.47934482366804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projet'!$B$12,Paramètres!$A$1:$I$88,3,0)*0.475*44/12</f>
        <v>0</v>
      </c>
      <c r="CL176" s="23">
        <f>EXP(-LN(2)/25)*CL175+(1-EXP(-LN(2)/25))/(LN(2)/25)*Calculateur!CG176*Calculateur!CI176*VLOOKUP('Données projet'!$B$12,Paramètres!$A$1:$I$88,3,0)*0.475*44/12</f>
        <v>0</v>
      </c>
      <c r="CM176" s="23">
        <f>EXP(-LN(2)/2)*CM175+(1-EXP(-LN(2)/2))/(LN(2)/2)*CG176*CJ176*VLOOKUP('Données projet'!$B$12,Paramètres!$A$1:$I$88,3,0)*0.475*44/12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69.675474925164536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-1.7053025658242404E-13</v>
      </c>
      <c r="CU176" s="18">
        <f>CT176*VLOOKUP('Données projet'!$B$13,Paramètres!$A$1:$I$88,3,0)*VLOOKUP('Données projet'!$B$13,Paramètres!$A$1:$I$88,5,0)</f>
        <v>-1.1173142411280423E-13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270.10151451661864</v>
      </c>
      <c r="CZ176" s="62">
        <f t="shared" si="150"/>
        <v>294.47934482366804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projet'!$B$13,Paramètres!$A$1:$I$88,3,0)*0.475*44/12</f>
        <v>0</v>
      </c>
      <c r="DG176" s="23">
        <f>EXP(-LN(2)/25)*DG175+(1-EXP(-LN(2)/25))/(LN(2)/25)*Calculateur!DB176*Calculateur!DD176*VLOOKUP('Données projet'!$B$13,Paramètres!$A$1:$I$88,3,0)*0.475*44/12</f>
        <v>0</v>
      </c>
      <c r="DH176" s="23">
        <f>EXP(-LN(2)/2)*DH175+(1-EXP(-LN(2)/2))/(LN(2)/2)*DB176*DE176*VLOOKUP('Données projet'!$B$13,Paramètres!$A$1:$I$88,3,0)*0.475*44/12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69.675474925164536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projet'!$B$14,Paramètres!$A$1:$I$88,3,0)*0.475*44/12</f>
        <v>#N/A</v>
      </c>
      <c r="EB176" s="23" t="e">
        <f>EXP(-LN(2)/25)*EB175+(1-EXP(-LN(2)/25))/(LN(2)/25)*Calculateur!DW176*Calculateur!DY176*VLOOKUP('Données projet'!$B$14,Paramètres!$A$1:$I$88,3,0)*0.475*44/12</f>
        <v>#N/A</v>
      </c>
      <c r="EC176" s="23" t="e">
        <f>EXP(-LN(2)/2)*EC175+(1-EXP(-LN(2)/2))/(LN(2)/2)*DW176*DZ176*VLOOKUP('Données projet'!$B$14,Paramètres!$A$1:$I$88,3,0)*0.475*44/12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69.675474925164536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69.675474925164536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69.675474925164536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69.675474925164536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1.34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4.9133333333333331</v>
      </c>
      <c r="H177" s="70">
        <f t="shared" si="110"/>
        <v>237.01333333333332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69.681104709683552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-5.1159076974727213E-13</v>
      </c>
      <c r="O177" s="14">
        <f>N177*VLOOKUP('Données projet'!$B$9,Paramètres!$A$1:$I$88,3,0)*VLOOKUP('Données projet'!$B$9,Paramètres!$A$1:$I$88,5,0)</f>
        <v>-5.1875304052373401E-13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488.16146816015231</v>
      </c>
      <c r="T177" s="62">
        <f t="shared" si="142"/>
        <v>259.37115195552127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0</v>
      </c>
      <c r="AA177" s="23">
        <f>EXP(-LN(2)/25)*AA176+(1-EXP(-LN(2)/25))/(LN(2)/25)*Calculateur!V177*Calculateur!X177*VLOOKUP('Données projet'!$B$9,Paramètres!$A$1:$I$88,3,0)*0.475*44/12</f>
        <v>0</v>
      </c>
      <c r="AB177" s="23">
        <f>EXP(-LN(2)/2)*AB176+(1-EXP(-LN(2)/2))/(LN(2)/2)*V177*Y177*VLOOKUP('Données projet'!$B$9,Paramètres!$A$1:$I$88,3,0)*0.475*44/12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69.681104709683552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-5.1159076974727213E-13</v>
      </c>
      <c r="AJ177" s="14">
        <f>AI177*VLOOKUP('Données projet'!$B$10,Paramètres!$A$1:$I$88,3,0)*VLOOKUP('Données projet'!$B$10,Paramètres!$A$1:$I$88,5,0)</f>
        <v>-4.6288732846733184E-13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441.34749554136755</v>
      </c>
      <c r="AO177" s="62">
        <f t="shared" si="144"/>
        <v>236.49038586666222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0</v>
      </c>
      <c r="AV177" s="23">
        <f>EXP(-LN(2)/25)*AV176+(1-EXP(-LN(2)/25))/(LN(2)/25)*Calculateur!AQ177*Calculateur!AS177*VLOOKUP('Données projet'!$B$10,Paramètres!$A$1:$I$88,3,0)*0.475*44/12</f>
        <v>0</v>
      </c>
      <c r="AW177" s="23">
        <f>EXP(-LN(2)/2)*AW176+(1-EXP(-LN(2)/2))/(LN(2)/2)*AQ177*AT177*VLOOKUP('Données projet'!$B$10,Paramètres!$A$1:$I$88,3,0)*0.475*44/12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69.681104709683552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-5.1159076974727213E-13</v>
      </c>
      <c r="BE177" s="14">
        <f>BD177*VLOOKUP('Données projet'!$B$11,Paramètres!$A$1:$I$88,3,0)*VLOOKUP('Données projet'!$B$11,Paramètres!$A$1:$I$88,5,0)</f>
        <v>-5.5067630455596371E-13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514.86487884889584</v>
      </c>
      <c r="BJ177" s="62">
        <f t="shared" si="146"/>
        <v>272.4206208356191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projet'!$B$11,Paramètres!$A$1:$I$88,3,0)*0.475*44/12</f>
        <v>0</v>
      </c>
      <c r="BQ177" s="23">
        <f>EXP(-LN(2)/25)*BQ176+(1-EXP(-LN(2)/25))/(LN(2)/25)*Calculateur!BL177*Calculateur!BN177*VLOOKUP('Données projet'!$B$11,Paramètres!$A$1:$I$88,3,0)*0.475*44/12</f>
        <v>0</v>
      </c>
      <c r="BR177" s="23">
        <f>EXP(-LN(2)/2)*BR176+(1-EXP(-LN(2)/2))/(LN(2)/2)*BL177*BO177*VLOOKUP('Données projet'!$B$11,Paramètres!$A$1:$I$88,3,0)*0.475*44/12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69.681104709683552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-1.7053025658242404E-13</v>
      </c>
      <c r="BZ177" s="14">
        <f>BY177*VLOOKUP('Données projet'!$B$12,Paramètres!$A$1:$I$88,3,0)*VLOOKUP('Données projet'!$B$12,Paramètres!$A$1:$I$88,5,0)</f>
        <v>-1.1173142411280423E-13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270.10151451661864</v>
      </c>
      <c r="CE177" s="62">
        <f t="shared" si="148"/>
        <v>294.47934482366804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projet'!$B$12,Paramètres!$A$1:$I$88,3,0)*0.475*44/12</f>
        <v>0</v>
      </c>
      <c r="CL177" s="23">
        <f>EXP(-LN(2)/25)*CL176+(1-EXP(-LN(2)/25))/(LN(2)/25)*Calculateur!CG177*Calculateur!CI177*VLOOKUP('Données projet'!$B$12,Paramètres!$A$1:$I$88,3,0)*0.475*44/12</f>
        <v>0</v>
      </c>
      <c r="CM177" s="23">
        <f>EXP(-LN(2)/2)*CM176+(1-EXP(-LN(2)/2))/(LN(2)/2)*CG177*CJ177*VLOOKUP('Données projet'!$B$12,Paramètres!$A$1:$I$88,3,0)*0.475*44/12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69.681104709683552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-1.7053025658242404E-13</v>
      </c>
      <c r="CU177" s="18">
        <f>CT177*VLOOKUP('Données projet'!$B$13,Paramètres!$A$1:$I$88,3,0)*VLOOKUP('Données projet'!$B$13,Paramètres!$A$1:$I$88,5,0)</f>
        <v>-1.1173142411280423E-13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270.10151451661864</v>
      </c>
      <c r="CZ177" s="62">
        <f t="shared" si="150"/>
        <v>294.47934482366804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projet'!$B$13,Paramètres!$A$1:$I$88,3,0)*0.475*44/12</f>
        <v>0</v>
      </c>
      <c r="DG177" s="23">
        <f>EXP(-LN(2)/25)*DG176+(1-EXP(-LN(2)/25))/(LN(2)/25)*Calculateur!DB177*Calculateur!DD177*VLOOKUP('Données projet'!$B$13,Paramètres!$A$1:$I$88,3,0)*0.475*44/12</f>
        <v>0</v>
      </c>
      <c r="DH177" s="23">
        <f>EXP(-LN(2)/2)*DH176+(1-EXP(-LN(2)/2))/(LN(2)/2)*DB177*DE177*VLOOKUP('Données projet'!$B$13,Paramètres!$A$1:$I$88,3,0)*0.475*44/12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69.681104709683552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projet'!$B$14,Paramètres!$A$1:$I$88,3,0)*0.475*44/12</f>
        <v>#N/A</v>
      </c>
      <c r="EB177" s="23" t="e">
        <f>EXP(-LN(2)/25)*EB176+(1-EXP(-LN(2)/25))/(LN(2)/25)*Calculateur!DW177*Calculateur!DY177*VLOOKUP('Données projet'!$B$14,Paramètres!$A$1:$I$88,3,0)*0.475*44/12</f>
        <v>#N/A</v>
      </c>
      <c r="EC177" s="23" t="e">
        <f>EXP(-LN(2)/2)*EC176+(1-EXP(-LN(2)/2))/(LN(2)/2)*DW177*DZ177*VLOOKUP('Données projet'!$B$14,Paramètres!$A$1:$I$88,3,0)*0.475*44/12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69.681104709683552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69.681104709683552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69.681104709683552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69.681104709683552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1.34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4.9133333333333331</v>
      </c>
      <c r="H178" s="70">
        <f t="shared" si="110"/>
        <v>237.01333333333332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69.686636830027481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-5.1159076974727213E-13</v>
      </c>
      <c r="O178" s="14">
        <f>N178*VLOOKUP('Données projet'!$B$9,Paramètres!$A$1:$I$88,3,0)*VLOOKUP('Données projet'!$B$9,Paramètres!$A$1:$I$88,5,0)</f>
        <v>-5.1875304052373401E-13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488.16146816015231</v>
      </c>
      <c r="T178" s="62">
        <f t="shared" si="142"/>
        <v>259.37115195552127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0</v>
      </c>
      <c r="AA178" s="23">
        <f>EXP(-LN(2)/25)*AA177+(1-EXP(-LN(2)/25))/(LN(2)/25)*Calculateur!V178*Calculateur!X178*VLOOKUP('Données projet'!$B$9,Paramètres!$A$1:$I$88,3,0)*0.475*44/12</f>
        <v>0</v>
      </c>
      <c r="AB178" s="23">
        <f>EXP(-LN(2)/2)*AB177+(1-EXP(-LN(2)/2))/(LN(2)/2)*V178*Y178*VLOOKUP('Données projet'!$B$9,Paramètres!$A$1:$I$88,3,0)*0.475*44/12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69.686636830027481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-5.1159076974727213E-13</v>
      </c>
      <c r="AJ178" s="14">
        <f>AI178*VLOOKUP('Données projet'!$B$10,Paramètres!$A$1:$I$88,3,0)*VLOOKUP('Données projet'!$B$10,Paramètres!$A$1:$I$88,5,0)</f>
        <v>-4.6288732846733184E-13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441.34749554136755</v>
      </c>
      <c r="AO178" s="62">
        <f t="shared" si="144"/>
        <v>236.49038586666222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0</v>
      </c>
      <c r="AV178" s="23">
        <f>EXP(-LN(2)/25)*AV177+(1-EXP(-LN(2)/25))/(LN(2)/25)*Calculateur!AQ178*Calculateur!AS178*VLOOKUP('Données projet'!$B$10,Paramètres!$A$1:$I$88,3,0)*0.475*44/12</f>
        <v>0</v>
      </c>
      <c r="AW178" s="23">
        <f>EXP(-LN(2)/2)*AW177+(1-EXP(-LN(2)/2))/(LN(2)/2)*AQ178*AT178*VLOOKUP('Données projet'!$B$10,Paramètres!$A$1:$I$88,3,0)*0.475*44/12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69.686636830027481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-5.1159076974727213E-13</v>
      </c>
      <c r="BE178" s="14">
        <f>BD178*VLOOKUP('Données projet'!$B$11,Paramètres!$A$1:$I$88,3,0)*VLOOKUP('Données projet'!$B$11,Paramètres!$A$1:$I$88,5,0)</f>
        <v>-5.5067630455596371E-13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514.86487884889584</v>
      </c>
      <c r="BJ178" s="62">
        <f t="shared" si="146"/>
        <v>272.4206208356191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projet'!$B$11,Paramètres!$A$1:$I$88,3,0)*0.475*44/12</f>
        <v>0</v>
      </c>
      <c r="BQ178" s="23">
        <f>EXP(-LN(2)/25)*BQ177+(1-EXP(-LN(2)/25))/(LN(2)/25)*Calculateur!BL178*Calculateur!BN178*VLOOKUP('Données projet'!$B$11,Paramètres!$A$1:$I$88,3,0)*0.475*44/12</f>
        <v>0</v>
      </c>
      <c r="BR178" s="23">
        <f>EXP(-LN(2)/2)*BR177+(1-EXP(-LN(2)/2))/(LN(2)/2)*BL178*BO178*VLOOKUP('Données projet'!$B$11,Paramètres!$A$1:$I$88,3,0)*0.475*44/12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69.686636830027481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-1.7053025658242404E-13</v>
      </c>
      <c r="BZ178" s="14">
        <f>BY178*VLOOKUP('Données projet'!$B$12,Paramètres!$A$1:$I$88,3,0)*VLOOKUP('Données projet'!$B$12,Paramètres!$A$1:$I$88,5,0)</f>
        <v>-1.1173142411280423E-13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270.10151451661864</v>
      </c>
      <c r="CE178" s="62">
        <f t="shared" si="148"/>
        <v>294.47934482366804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projet'!$B$12,Paramètres!$A$1:$I$88,3,0)*0.475*44/12</f>
        <v>0</v>
      </c>
      <c r="CL178" s="23">
        <f>EXP(-LN(2)/25)*CL177+(1-EXP(-LN(2)/25))/(LN(2)/25)*Calculateur!CG178*Calculateur!CI178*VLOOKUP('Données projet'!$B$12,Paramètres!$A$1:$I$88,3,0)*0.475*44/12</f>
        <v>0</v>
      </c>
      <c r="CM178" s="23">
        <f>EXP(-LN(2)/2)*CM177+(1-EXP(-LN(2)/2))/(LN(2)/2)*CG178*CJ178*VLOOKUP('Données projet'!$B$12,Paramètres!$A$1:$I$88,3,0)*0.475*44/12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69.686636830027481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-1.7053025658242404E-13</v>
      </c>
      <c r="CU178" s="18">
        <f>CT178*VLOOKUP('Données projet'!$B$13,Paramètres!$A$1:$I$88,3,0)*VLOOKUP('Données projet'!$B$13,Paramètres!$A$1:$I$88,5,0)</f>
        <v>-1.1173142411280423E-13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270.10151451661864</v>
      </c>
      <c r="CZ178" s="62">
        <f t="shared" si="150"/>
        <v>294.47934482366804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projet'!$B$13,Paramètres!$A$1:$I$88,3,0)*0.475*44/12</f>
        <v>0</v>
      </c>
      <c r="DG178" s="23">
        <f>EXP(-LN(2)/25)*DG177+(1-EXP(-LN(2)/25))/(LN(2)/25)*Calculateur!DB178*Calculateur!DD178*VLOOKUP('Données projet'!$B$13,Paramètres!$A$1:$I$88,3,0)*0.475*44/12</f>
        <v>0</v>
      </c>
      <c r="DH178" s="23">
        <f>EXP(-LN(2)/2)*DH177+(1-EXP(-LN(2)/2))/(LN(2)/2)*DB178*DE178*VLOOKUP('Données projet'!$B$13,Paramètres!$A$1:$I$88,3,0)*0.475*44/12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69.686636830027481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projet'!$B$14,Paramètres!$A$1:$I$88,3,0)*0.475*44/12</f>
        <v>#N/A</v>
      </c>
      <c r="EB178" s="23" t="e">
        <f>EXP(-LN(2)/25)*EB177+(1-EXP(-LN(2)/25))/(LN(2)/25)*Calculateur!DW178*Calculateur!DY178*VLOOKUP('Données projet'!$B$14,Paramètres!$A$1:$I$88,3,0)*0.475*44/12</f>
        <v>#N/A</v>
      </c>
      <c r="EC178" s="23" t="e">
        <f>EXP(-LN(2)/2)*EC177+(1-EXP(-LN(2)/2))/(LN(2)/2)*DW178*DZ178*VLOOKUP('Données projet'!$B$14,Paramètres!$A$1:$I$88,3,0)*0.475*44/12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69.686636830027481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69.686636830027481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69.686636830027481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69.686636830027481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1.34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4.9133333333333331</v>
      </c>
      <c r="H179" s="70">
        <f t="shared" si="110"/>
        <v>237.01333333333332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69.6920729804514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-5.1159076974727213E-13</v>
      </c>
      <c r="O179" s="14">
        <f>N179*VLOOKUP('Données projet'!$B$9,Paramètres!$A$1:$I$88,3,0)*VLOOKUP('Données projet'!$B$9,Paramètres!$A$1:$I$88,5,0)</f>
        <v>-5.1875304052373401E-13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488.16146816015231</v>
      </c>
      <c r="T179" s="62">
        <f t="shared" si="142"/>
        <v>259.37115195552127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0</v>
      </c>
      <c r="AA179" s="23">
        <f>EXP(-LN(2)/25)*AA178+(1-EXP(-LN(2)/25))/(LN(2)/25)*Calculateur!V179*Calculateur!X179*VLOOKUP('Données projet'!$B$9,Paramètres!$A$1:$I$88,3,0)*0.475*44/12</f>
        <v>0</v>
      </c>
      <c r="AB179" s="23">
        <f>EXP(-LN(2)/2)*AB178+(1-EXP(-LN(2)/2))/(LN(2)/2)*V179*Y179*VLOOKUP('Données projet'!$B$9,Paramètres!$A$1:$I$88,3,0)*0.475*44/12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69.6920729804514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-5.1159076974727213E-13</v>
      </c>
      <c r="AJ179" s="14">
        <f>AI179*VLOOKUP('Données projet'!$B$10,Paramètres!$A$1:$I$88,3,0)*VLOOKUP('Données projet'!$B$10,Paramètres!$A$1:$I$88,5,0)</f>
        <v>-4.6288732846733184E-13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441.34749554136755</v>
      </c>
      <c r="AO179" s="62">
        <f t="shared" si="144"/>
        <v>236.49038586666222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0</v>
      </c>
      <c r="AV179" s="23">
        <f>EXP(-LN(2)/25)*AV178+(1-EXP(-LN(2)/25))/(LN(2)/25)*Calculateur!AQ179*Calculateur!AS179*VLOOKUP('Données projet'!$B$10,Paramètres!$A$1:$I$88,3,0)*0.475*44/12</f>
        <v>0</v>
      </c>
      <c r="AW179" s="23">
        <f>EXP(-LN(2)/2)*AW178+(1-EXP(-LN(2)/2))/(LN(2)/2)*AQ179*AT179*VLOOKUP('Données projet'!$B$10,Paramètres!$A$1:$I$88,3,0)*0.475*44/12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69.6920729804514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-5.1159076974727213E-13</v>
      </c>
      <c r="BE179" s="14">
        <f>BD179*VLOOKUP('Données projet'!$B$11,Paramètres!$A$1:$I$88,3,0)*VLOOKUP('Données projet'!$B$11,Paramètres!$A$1:$I$88,5,0)</f>
        <v>-5.5067630455596371E-13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514.86487884889584</v>
      </c>
      <c r="BJ179" s="62">
        <f t="shared" si="146"/>
        <v>272.4206208356191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projet'!$B$11,Paramètres!$A$1:$I$88,3,0)*0.475*44/12</f>
        <v>0</v>
      </c>
      <c r="BQ179" s="23">
        <f>EXP(-LN(2)/25)*BQ178+(1-EXP(-LN(2)/25))/(LN(2)/25)*Calculateur!BL179*Calculateur!BN179*VLOOKUP('Données projet'!$B$11,Paramètres!$A$1:$I$88,3,0)*0.475*44/12</f>
        <v>0</v>
      </c>
      <c r="BR179" s="23">
        <f>EXP(-LN(2)/2)*BR178+(1-EXP(-LN(2)/2))/(LN(2)/2)*BL179*BO179*VLOOKUP('Données projet'!$B$11,Paramètres!$A$1:$I$88,3,0)*0.475*44/12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69.6920729804514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-1.7053025658242404E-13</v>
      </c>
      <c r="BZ179" s="14">
        <f>BY179*VLOOKUP('Données projet'!$B$12,Paramètres!$A$1:$I$88,3,0)*VLOOKUP('Données projet'!$B$12,Paramètres!$A$1:$I$88,5,0)</f>
        <v>-1.1173142411280423E-13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270.10151451661864</v>
      </c>
      <c r="CE179" s="62">
        <f t="shared" si="148"/>
        <v>294.47934482366804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projet'!$B$12,Paramètres!$A$1:$I$88,3,0)*0.475*44/12</f>
        <v>0</v>
      </c>
      <c r="CL179" s="23">
        <f>EXP(-LN(2)/25)*CL178+(1-EXP(-LN(2)/25))/(LN(2)/25)*Calculateur!CG179*Calculateur!CI179*VLOOKUP('Données projet'!$B$12,Paramètres!$A$1:$I$88,3,0)*0.475*44/12</f>
        <v>0</v>
      </c>
      <c r="CM179" s="23">
        <f>EXP(-LN(2)/2)*CM178+(1-EXP(-LN(2)/2))/(LN(2)/2)*CG179*CJ179*VLOOKUP('Données projet'!$B$12,Paramètres!$A$1:$I$88,3,0)*0.475*44/12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69.6920729804514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-1.7053025658242404E-13</v>
      </c>
      <c r="CU179" s="18">
        <f>CT179*VLOOKUP('Données projet'!$B$13,Paramètres!$A$1:$I$88,3,0)*VLOOKUP('Données projet'!$B$13,Paramètres!$A$1:$I$88,5,0)</f>
        <v>-1.1173142411280423E-13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270.10151451661864</v>
      </c>
      <c r="CZ179" s="62">
        <f t="shared" si="150"/>
        <v>294.47934482366804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projet'!$B$13,Paramètres!$A$1:$I$88,3,0)*0.475*44/12</f>
        <v>0</v>
      </c>
      <c r="DG179" s="23">
        <f>EXP(-LN(2)/25)*DG178+(1-EXP(-LN(2)/25))/(LN(2)/25)*Calculateur!DB179*Calculateur!DD179*VLOOKUP('Données projet'!$B$13,Paramètres!$A$1:$I$88,3,0)*0.475*44/12</f>
        <v>0</v>
      </c>
      <c r="DH179" s="23">
        <f>EXP(-LN(2)/2)*DH178+(1-EXP(-LN(2)/2))/(LN(2)/2)*DB179*DE179*VLOOKUP('Données projet'!$B$13,Paramètres!$A$1:$I$88,3,0)*0.475*44/12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69.6920729804514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projet'!$B$14,Paramètres!$A$1:$I$88,3,0)*0.475*44/12</f>
        <v>#N/A</v>
      </c>
      <c r="EB179" s="23" t="e">
        <f>EXP(-LN(2)/25)*EB178+(1-EXP(-LN(2)/25))/(LN(2)/25)*Calculateur!DW179*Calculateur!DY179*VLOOKUP('Données projet'!$B$14,Paramètres!$A$1:$I$88,3,0)*0.475*44/12</f>
        <v>#N/A</v>
      </c>
      <c r="EC179" s="23" t="e">
        <f>EXP(-LN(2)/2)*EC178+(1-EXP(-LN(2)/2))/(LN(2)/2)*DW179*DZ179*VLOOKUP('Données projet'!$B$14,Paramètres!$A$1:$I$88,3,0)*0.475*44/12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69.6920729804514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69.6920729804514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69.6920729804514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69.6920729804514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1.34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4.9133333333333331</v>
      </c>
      <c r="H180" s="70">
        <f t="shared" si="110"/>
        <v>237.01333333333332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69.697414825818896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-5.1159076974727213E-13</v>
      </c>
      <c r="O180" s="14">
        <f>N180*VLOOKUP('Données projet'!$B$9,Paramètres!$A$1:$I$88,3,0)*VLOOKUP('Données projet'!$B$9,Paramètres!$A$1:$I$88,5,0)</f>
        <v>-5.1875304052373401E-13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488.16146816015231</v>
      </c>
      <c r="T180" s="62">
        <f t="shared" si="142"/>
        <v>259.37115195552127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0</v>
      </c>
      <c r="AA180" s="23">
        <f>EXP(-LN(2)/25)*AA179+(1-EXP(-LN(2)/25))/(LN(2)/25)*Calculateur!V180*Calculateur!X180*VLOOKUP('Données projet'!$B$9,Paramètres!$A$1:$I$88,3,0)*0.475*44/12</f>
        <v>0</v>
      </c>
      <c r="AB180" s="23">
        <f>EXP(-LN(2)/2)*AB179+(1-EXP(-LN(2)/2))/(LN(2)/2)*V180*Y180*VLOOKUP('Données projet'!$B$9,Paramètres!$A$1:$I$88,3,0)*0.475*44/12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69.697414825818896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-5.1159076974727213E-13</v>
      </c>
      <c r="AJ180" s="14">
        <f>AI180*VLOOKUP('Données projet'!$B$10,Paramètres!$A$1:$I$88,3,0)*VLOOKUP('Données projet'!$B$10,Paramètres!$A$1:$I$88,5,0)</f>
        <v>-4.6288732846733184E-13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441.34749554136755</v>
      </c>
      <c r="AO180" s="62">
        <f t="shared" si="144"/>
        <v>236.49038586666222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0</v>
      </c>
      <c r="AV180" s="23">
        <f>EXP(-LN(2)/25)*AV179+(1-EXP(-LN(2)/25))/(LN(2)/25)*Calculateur!AQ180*Calculateur!AS180*VLOOKUP('Données projet'!$B$10,Paramètres!$A$1:$I$88,3,0)*0.475*44/12</f>
        <v>0</v>
      </c>
      <c r="AW180" s="23">
        <f>EXP(-LN(2)/2)*AW179+(1-EXP(-LN(2)/2))/(LN(2)/2)*AQ180*AT180*VLOOKUP('Données projet'!$B$10,Paramètres!$A$1:$I$88,3,0)*0.475*44/12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69.697414825818896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-5.1159076974727213E-13</v>
      </c>
      <c r="BE180" s="14">
        <f>BD180*VLOOKUP('Données projet'!$B$11,Paramètres!$A$1:$I$88,3,0)*VLOOKUP('Données projet'!$B$11,Paramètres!$A$1:$I$88,5,0)</f>
        <v>-5.5067630455596371E-13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514.86487884889584</v>
      </c>
      <c r="BJ180" s="62">
        <f t="shared" si="146"/>
        <v>272.4206208356191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projet'!$B$11,Paramètres!$A$1:$I$88,3,0)*0.475*44/12</f>
        <v>0</v>
      </c>
      <c r="BQ180" s="23">
        <f>EXP(-LN(2)/25)*BQ179+(1-EXP(-LN(2)/25))/(LN(2)/25)*Calculateur!BL180*Calculateur!BN180*VLOOKUP('Données projet'!$B$11,Paramètres!$A$1:$I$88,3,0)*0.475*44/12</f>
        <v>0</v>
      </c>
      <c r="BR180" s="23">
        <f>EXP(-LN(2)/2)*BR179+(1-EXP(-LN(2)/2))/(LN(2)/2)*BL180*BO180*VLOOKUP('Données projet'!$B$11,Paramètres!$A$1:$I$88,3,0)*0.475*44/12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69.697414825818896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-1.7053025658242404E-13</v>
      </c>
      <c r="BZ180" s="14">
        <f>BY180*VLOOKUP('Données projet'!$B$12,Paramètres!$A$1:$I$88,3,0)*VLOOKUP('Données projet'!$B$12,Paramètres!$A$1:$I$88,5,0)</f>
        <v>-1.1173142411280423E-13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270.10151451661864</v>
      </c>
      <c r="CE180" s="62">
        <f t="shared" si="148"/>
        <v>294.47934482366804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projet'!$B$12,Paramètres!$A$1:$I$88,3,0)*0.475*44/12</f>
        <v>0</v>
      </c>
      <c r="CL180" s="23">
        <f>EXP(-LN(2)/25)*CL179+(1-EXP(-LN(2)/25))/(LN(2)/25)*Calculateur!CG180*Calculateur!CI180*VLOOKUP('Données projet'!$B$12,Paramètres!$A$1:$I$88,3,0)*0.475*44/12</f>
        <v>0</v>
      </c>
      <c r="CM180" s="23">
        <f>EXP(-LN(2)/2)*CM179+(1-EXP(-LN(2)/2))/(LN(2)/2)*CG180*CJ180*VLOOKUP('Données projet'!$B$12,Paramètres!$A$1:$I$88,3,0)*0.475*44/12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69.697414825818896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-1.7053025658242404E-13</v>
      </c>
      <c r="CU180" s="18">
        <f>CT180*VLOOKUP('Données projet'!$B$13,Paramètres!$A$1:$I$88,3,0)*VLOOKUP('Données projet'!$B$13,Paramètres!$A$1:$I$88,5,0)</f>
        <v>-1.1173142411280423E-13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270.10151451661864</v>
      </c>
      <c r="CZ180" s="62">
        <f t="shared" si="150"/>
        <v>294.47934482366804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projet'!$B$13,Paramètres!$A$1:$I$88,3,0)*0.475*44/12</f>
        <v>0</v>
      </c>
      <c r="DG180" s="23">
        <f>EXP(-LN(2)/25)*DG179+(1-EXP(-LN(2)/25))/(LN(2)/25)*Calculateur!DB180*Calculateur!DD180*VLOOKUP('Données projet'!$B$13,Paramètres!$A$1:$I$88,3,0)*0.475*44/12</f>
        <v>0</v>
      </c>
      <c r="DH180" s="23">
        <f>EXP(-LN(2)/2)*DH179+(1-EXP(-LN(2)/2))/(LN(2)/2)*DB180*DE180*VLOOKUP('Données projet'!$B$13,Paramètres!$A$1:$I$88,3,0)*0.475*44/12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69.697414825818896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projet'!$B$14,Paramètres!$A$1:$I$88,3,0)*0.475*44/12</f>
        <v>#N/A</v>
      </c>
      <c r="EB180" s="23" t="e">
        <f>EXP(-LN(2)/25)*EB179+(1-EXP(-LN(2)/25))/(LN(2)/25)*Calculateur!DW180*Calculateur!DY180*VLOOKUP('Données projet'!$B$14,Paramètres!$A$1:$I$88,3,0)*0.475*44/12</f>
        <v>#N/A</v>
      </c>
      <c r="EC180" s="23" t="e">
        <f>EXP(-LN(2)/2)*EC179+(1-EXP(-LN(2)/2))/(LN(2)/2)*DW180*DZ180*VLOOKUP('Données projet'!$B$14,Paramètres!$A$1:$I$88,3,0)*0.475*44/12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69.697414825818896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69.697414825818896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69.697414825818896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69.697414825818896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1.34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4.9133333333333331</v>
      </c>
      <c r="H181" s="70">
        <f t="shared" si="110"/>
        <v>237.01333333333332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69.702664002111831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-5.1159076974727213E-13</v>
      </c>
      <c r="O181" s="14">
        <f>N181*VLOOKUP('Données projet'!$B$9,Paramètres!$A$1:$I$88,3,0)*VLOOKUP('Données projet'!$B$9,Paramètres!$A$1:$I$88,5,0)</f>
        <v>-5.1875304052373401E-13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488.16146816015231</v>
      </c>
      <c r="T181" s="62">
        <f t="shared" si="142"/>
        <v>259.37115195552127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0</v>
      </c>
      <c r="AA181" s="23">
        <f>EXP(-LN(2)/25)*AA180+(1-EXP(-LN(2)/25))/(LN(2)/25)*Calculateur!V181*Calculateur!X181*VLOOKUP('Données projet'!$B$9,Paramètres!$A$1:$I$88,3,0)*0.475*44/12</f>
        <v>0</v>
      </c>
      <c r="AB181" s="23">
        <f>EXP(-LN(2)/2)*AB180+(1-EXP(-LN(2)/2))/(LN(2)/2)*V181*Y181*VLOOKUP('Données projet'!$B$9,Paramètres!$A$1:$I$88,3,0)*0.475*44/12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69.702664002111831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-5.1159076974727213E-13</v>
      </c>
      <c r="AJ181" s="14">
        <f>AI181*VLOOKUP('Données projet'!$B$10,Paramètres!$A$1:$I$88,3,0)*VLOOKUP('Données projet'!$B$10,Paramètres!$A$1:$I$88,5,0)</f>
        <v>-4.6288732846733184E-13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441.34749554136755</v>
      </c>
      <c r="AO181" s="62">
        <f t="shared" si="144"/>
        <v>236.49038586666222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0</v>
      </c>
      <c r="AV181" s="23">
        <f>EXP(-LN(2)/25)*AV180+(1-EXP(-LN(2)/25))/(LN(2)/25)*Calculateur!AQ181*Calculateur!AS181*VLOOKUP('Données projet'!$B$10,Paramètres!$A$1:$I$88,3,0)*0.475*44/12</f>
        <v>0</v>
      </c>
      <c r="AW181" s="23">
        <f>EXP(-LN(2)/2)*AW180+(1-EXP(-LN(2)/2))/(LN(2)/2)*AQ181*AT181*VLOOKUP('Données projet'!$B$10,Paramètres!$A$1:$I$88,3,0)*0.475*44/12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69.702664002111831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-5.1159076974727213E-13</v>
      </c>
      <c r="BE181" s="14">
        <f>BD181*VLOOKUP('Données projet'!$B$11,Paramètres!$A$1:$I$88,3,0)*VLOOKUP('Données projet'!$B$11,Paramètres!$A$1:$I$88,5,0)</f>
        <v>-5.5067630455596371E-13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514.86487884889584</v>
      </c>
      <c r="BJ181" s="62">
        <f t="shared" si="146"/>
        <v>272.4206208356191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projet'!$B$11,Paramètres!$A$1:$I$88,3,0)*0.475*44/12</f>
        <v>0</v>
      </c>
      <c r="BQ181" s="23">
        <f>EXP(-LN(2)/25)*BQ180+(1-EXP(-LN(2)/25))/(LN(2)/25)*Calculateur!BL181*Calculateur!BN181*VLOOKUP('Données projet'!$B$11,Paramètres!$A$1:$I$88,3,0)*0.475*44/12</f>
        <v>0</v>
      </c>
      <c r="BR181" s="23">
        <f>EXP(-LN(2)/2)*BR180+(1-EXP(-LN(2)/2))/(LN(2)/2)*BL181*BO181*VLOOKUP('Données projet'!$B$11,Paramètres!$A$1:$I$88,3,0)*0.475*44/12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69.702664002111831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-1.7053025658242404E-13</v>
      </c>
      <c r="BZ181" s="14">
        <f>BY181*VLOOKUP('Données projet'!$B$12,Paramètres!$A$1:$I$88,3,0)*VLOOKUP('Données projet'!$B$12,Paramètres!$A$1:$I$88,5,0)</f>
        <v>-1.1173142411280423E-13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270.10151451661864</v>
      </c>
      <c r="CE181" s="62">
        <f t="shared" si="148"/>
        <v>294.47934482366804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projet'!$B$12,Paramètres!$A$1:$I$88,3,0)*0.475*44/12</f>
        <v>0</v>
      </c>
      <c r="CL181" s="23">
        <f>EXP(-LN(2)/25)*CL180+(1-EXP(-LN(2)/25))/(LN(2)/25)*Calculateur!CG181*Calculateur!CI181*VLOOKUP('Données projet'!$B$12,Paramètres!$A$1:$I$88,3,0)*0.475*44/12</f>
        <v>0</v>
      </c>
      <c r="CM181" s="23">
        <f>EXP(-LN(2)/2)*CM180+(1-EXP(-LN(2)/2))/(LN(2)/2)*CG181*CJ181*VLOOKUP('Données projet'!$B$12,Paramètres!$A$1:$I$88,3,0)*0.475*44/12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69.702664002111831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-1.7053025658242404E-13</v>
      </c>
      <c r="CU181" s="18">
        <f>CT181*VLOOKUP('Données projet'!$B$13,Paramètres!$A$1:$I$88,3,0)*VLOOKUP('Données projet'!$B$13,Paramètres!$A$1:$I$88,5,0)</f>
        <v>-1.1173142411280423E-13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270.10151451661864</v>
      </c>
      <c r="CZ181" s="62">
        <f t="shared" si="150"/>
        <v>294.47934482366804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projet'!$B$13,Paramètres!$A$1:$I$88,3,0)*0.475*44/12</f>
        <v>0</v>
      </c>
      <c r="DG181" s="23">
        <f>EXP(-LN(2)/25)*DG180+(1-EXP(-LN(2)/25))/(LN(2)/25)*Calculateur!DB181*Calculateur!DD181*VLOOKUP('Données projet'!$B$13,Paramètres!$A$1:$I$88,3,0)*0.475*44/12</f>
        <v>0</v>
      </c>
      <c r="DH181" s="23">
        <f>EXP(-LN(2)/2)*DH180+(1-EXP(-LN(2)/2))/(LN(2)/2)*DB181*DE181*VLOOKUP('Données projet'!$B$13,Paramètres!$A$1:$I$88,3,0)*0.475*44/12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69.702664002111831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projet'!$B$14,Paramètres!$A$1:$I$88,3,0)*0.475*44/12</f>
        <v>#N/A</v>
      </c>
      <c r="EB181" s="23" t="e">
        <f>EXP(-LN(2)/25)*EB180+(1-EXP(-LN(2)/25))/(LN(2)/25)*Calculateur!DW181*Calculateur!DY181*VLOOKUP('Données projet'!$B$14,Paramètres!$A$1:$I$88,3,0)*0.475*44/12</f>
        <v>#N/A</v>
      </c>
      <c r="EC181" s="23" t="e">
        <f>EXP(-LN(2)/2)*EC180+(1-EXP(-LN(2)/2))/(LN(2)/2)*DW181*DZ181*VLOOKUP('Données projet'!$B$14,Paramètres!$A$1:$I$88,3,0)*0.475*44/12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69.702664002111831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69.702664002111831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69.702664002111831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69.702664002111831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1.34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4.9133333333333331</v>
      </c>
      <c r="H182" s="70">
        <f t="shared" si="110"/>
        <v>237.01333333333332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69.707822116931482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-5.1159076974727213E-13</v>
      </c>
      <c r="O182" s="14">
        <f>N182*VLOOKUP('Données projet'!$B$9,Paramètres!$A$1:$I$88,3,0)*VLOOKUP('Données projet'!$B$9,Paramètres!$A$1:$I$88,5,0)</f>
        <v>-5.1875304052373401E-13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488.16146816015231</v>
      </c>
      <c r="T182" s="62">
        <f t="shared" si="142"/>
        <v>259.37115195552127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0</v>
      </c>
      <c r="AA182" s="23">
        <f>EXP(-LN(2)/25)*AA181+(1-EXP(-LN(2)/25))/(LN(2)/25)*Calculateur!V182*Calculateur!X182*VLOOKUP('Données projet'!$B$9,Paramètres!$A$1:$I$88,3,0)*0.475*44/12</f>
        <v>0</v>
      </c>
      <c r="AB182" s="23">
        <f>EXP(-LN(2)/2)*AB181+(1-EXP(-LN(2)/2))/(LN(2)/2)*V182*Y182*VLOOKUP('Données projet'!$B$9,Paramètres!$A$1:$I$88,3,0)*0.475*44/12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69.707822116931482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-5.1159076974727213E-13</v>
      </c>
      <c r="AJ182" s="14">
        <f>AI182*VLOOKUP('Données projet'!$B$10,Paramètres!$A$1:$I$88,3,0)*VLOOKUP('Données projet'!$B$10,Paramètres!$A$1:$I$88,5,0)</f>
        <v>-4.6288732846733184E-13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441.34749554136755</v>
      </c>
      <c r="AO182" s="62">
        <f t="shared" si="144"/>
        <v>236.49038586666222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0</v>
      </c>
      <c r="AV182" s="23">
        <f>EXP(-LN(2)/25)*AV181+(1-EXP(-LN(2)/25))/(LN(2)/25)*Calculateur!AQ182*Calculateur!AS182*VLOOKUP('Données projet'!$B$10,Paramètres!$A$1:$I$88,3,0)*0.475*44/12</f>
        <v>0</v>
      </c>
      <c r="AW182" s="23">
        <f>EXP(-LN(2)/2)*AW181+(1-EXP(-LN(2)/2))/(LN(2)/2)*AQ182*AT182*VLOOKUP('Données projet'!$B$10,Paramètres!$A$1:$I$88,3,0)*0.475*44/12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69.707822116931482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-5.1159076974727213E-13</v>
      </c>
      <c r="BE182" s="14">
        <f>BD182*VLOOKUP('Données projet'!$B$11,Paramètres!$A$1:$I$88,3,0)*VLOOKUP('Données projet'!$B$11,Paramètres!$A$1:$I$88,5,0)</f>
        <v>-5.5067630455596371E-13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514.86487884889584</v>
      </c>
      <c r="BJ182" s="62">
        <f t="shared" si="146"/>
        <v>272.4206208356191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projet'!$B$11,Paramètres!$A$1:$I$88,3,0)*0.475*44/12</f>
        <v>0</v>
      </c>
      <c r="BQ182" s="23">
        <f>EXP(-LN(2)/25)*BQ181+(1-EXP(-LN(2)/25))/(LN(2)/25)*Calculateur!BL182*Calculateur!BN182*VLOOKUP('Données projet'!$B$11,Paramètres!$A$1:$I$88,3,0)*0.475*44/12</f>
        <v>0</v>
      </c>
      <c r="BR182" s="23">
        <f>EXP(-LN(2)/2)*BR181+(1-EXP(-LN(2)/2))/(LN(2)/2)*BL182*BO182*VLOOKUP('Données projet'!$B$11,Paramètres!$A$1:$I$88,3,0)*0.475*44/12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69.707822116931482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-1.7053025658242404E-13</v>
      </c>
      <c r="BZ182" s="14">
        <f>BY182*VLOOKUP('Données projet'!$B$12,Paramètres!$A$1:$I$88,3,0)*VLOOKUP('Données projet'!$B$12,Paramètres!$A$1:$I$88,5,0)</f>
        <v>-1.1173142411280423E-13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270.10151451661864</v>
      </c>
      <c r="CE182" s="62">
        <f t="shared" si="148"/>
        <v>294.47934482366804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projet'!$B$12,Paramètres!$A$1:$I$88,3,0)*0.475*44/12</f>
        <v>0</v>
      </c>
      <c r="CL182" s="23">
        <f>EXP(-LN(2)/25)*CL181+(1-EXP(-LN(2)/25))/(LN(2)/25)*Calculateur!CG182*Calculateur!CI182*VLOOKUP('Données projet'!$B$12,Paramètres!$A$1:$I$88,3,0)*0.475*44/12</f>
        <v>0</v>
      </c>
      <c r="CM182" s="23">
        <f>EXP(-LN(2)/2)*CM181+(1-EXP(-LN(2)/2))/(LN(2)/2)*CG182*CJ182*VLOOKUP('Données projet'!$B$12,Paramètres!$A$1:$I$88,3,0)*0.475*44/12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69.707822116931482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-1.7053025658242404E-13</v>
      </c>
      <c r="CU182" s="18">
        <f>CT182*VLOOKUP('Données projet'!$B$13,Paramètres!$A$1:$I$88,3,0)*VLOOKUP('Données projet'!$B$13,Paramètres!$A$1:$I$88,5,0)</f>
        <v>-1.1173142411280423E-13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270.10151451661864</v>
      </c>
      <c r="CZ182" s="62">
        <f t="shared" si="150"/>
        <v>294.47934482366804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projet'!$B$13,Paramètres!$A$1:$I$88,3,0)*0.475*44/12</f>
        <v>0</v>
      </c>
      <c r="DG182" s="23">
        <f>EXP(-LN(2)/25)*DG181+(1-EXP(-LN(2)/25))/(LN(2)/25)*Calculateur!DB182*Calculateur!DD182*VLOOKUP('Données projet'!$B$13,Paramètres!$A$1:$I$88,3,0)*0.475*44/12</f>
        <v>0</v>
      </c>
      <c r="DH182" s="23">
        <f>EXP(-LN(2)/2)*DH181+(1-EXP(-LN(2)/2))/(LN(2)/2)*DB182*DE182*VLOOKUP('Données projet'!$B$13,Paramètres!$A$1:$I$88,3,0)*0.475*44/12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69.707822116931482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projet'!$B$14,Paramètres!$A$1:$I$88,3,0)*0.475*44/12</f>
        <v>#N/A</v>
      </c>
      <c r="EB182" s="23" t="e">
        <f>EXP(-LN(2)/25)*EB181+(1-EXP(-LN(2)/25))/(LN(2)/25)*Calculateur!DW182*Calculateur!DY182*VLOOKUP('Données projet'!$B$14,Paramètres!$A$1:$I$88,3,0)*0.475*44/12</f>
        <v>#N/A</v>
      </c>
      <c r="EC182" s="23" t="e">
        <f>EXP(-LN(2)/2)*EC181+(1-EXP(-LN(2)/2))/(LN(2)/2)*DW182*DZ182*VLOOKUP('Données projet'!$B$14,Paramètres!$A$1:$I$88,3,0)*0.475*44/12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69.707822116931482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69.707822116931482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69.707822116931482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69.707822116931482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1.34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4.9133333333333331</v>
      </c>
      <c r="H183" s="70">
        <f t="shared" si="110"/>
        <v>237.01333333333332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69.712890749990834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-5.1159076974727213E-13</v>
      </c>
      <c r="O183" s="14">
        <f>N183*VLOOKUP('Données projet'!$B$9,Paramètres!$A$1:$I$88,3,0)*VLOOKUP('Données projet'!$B$9,Paramètres!$A$1:$I$88,5,0)</f>
        <v>-5.1875304052373401E-13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488.16146816015231</v>
      </c>
      <c r="T183" s="62">
        <f t="shared" si="142"/>
        <v>259.37115195552127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0</v>
      </c>
      <c r="AA183" s="23">
        <f>EXP(-LN(2)/25)*AA182+(1-EXP(-LN(2)/25))/(LN(2)/25)*Calculateur!V183*Calculateur!X183*VLOOKUP('Données projet'!$B$9,Paramètres!$A$1:$I$88,3,0)*0.475*44/12</f>
        <v>0</v>
      </c>
      <c r="AB183" s="23">
        <f>EXP(-LN(2)/2)*AB182+(1-EXP(-LN(2)/2))/(LN(2)/2)*V183*Y183*VLOOKUP('Données projet'!$B$9,Paramètres!$A$1:$I$88,3,0)*0.475*44/12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69.712890749990834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-5.1159076974727213E-13</v>
      </c>
      <c r="AJ183" s="14">
        <f>AI183*VLOOKUP('Données projet'!$B$10,Paramètres!$A$1:$I$88,3,0)*VLOOKUP('Données projet'!$B$10,Paramètres!$A$1:$I$88,5,0)</f>
        <v>-4.6288732846733184E-13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441.34749554136755</v>
      </c>
      <c r="AO183" s="62">
        <f t="shared" si="144"/>
        <v>236.49038586666222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0</v>
      </c>
      <c r="AV183" s="23">
        <f>EXP(-LN(2)/25)*AV182+(1-EXP(-LN(2)/25))/(LN(2)/25)*Calculateur!AQ183*Calculateur!AS183*VLOOKUP('Données projet'!$B$10,Paramètres!$A$1:$I$88,3,0)*0.475*44/12</f>
        <v>0</v>
      </c>
      <c r="AW183" s="23">
        <f>EXP(-LN(2)/2)*AW182+(1-EXP(-LN(2)/2))/(LN(2)/2)*AQ183*AT183*VLOOKUP('Données projet'!$B$10,Paramètres!$A$1:$I$88,3,0)*0.475*44/12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69.712890749990834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-5.1159076974727213E-13</v>
      </c>
      <c r="BE183" s="14">
        <f>BD183*VLOOKUP('Données projet'!$B$11,Paramètres!$A$1:$I$88,3,0)*VLOOKUP('Données projet'!$B$11,Paramètres!$A$1:$I$88,5,0)</f>
        <v>-5.5067630455596371E-13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514.86487884889584</v>
      </c>
      <c r="BJ183" s="62">
        <f t="shared" si="146"/>
        <v>272.4206208356191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projet'!$B$11,Paramètres!$A$1:$I$88,3,0)*0.475*44/12</f>
        <v>0</v>
      </c>
      <c r="BQ183" s="23">
        <f>EXP(-LN(2)/25)*BQ182+(1-EXP(-LN(2)/25))/(LN(2)/25)*Calculateur!BL183*Calculateur!BN183*VLOOKUP('Données projet'!$B$11,Paramètres!$A$1:$I$88,3,0)*0.475*44/12</f>
        <v>0</v>
      </c>
      <c r="BR183" s="23">
        <f>EXP(-LN(2)/2)*BR182+(1-EXP(-LN(2)/2))/(LN(2)/2)*BL183*BO183*VLOOKUP('Données projet'!$B$11,Paramètres!$A$1:$I$88,3,0)*0.475*44/12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69.712890749990834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-1.7053025658242404E-13</v>
      </c>
      <c r="BZ183" s="14">
        <f>BY183*VLOOKUP('Données projet'!$B$12,Paramètres!$A$1:$I$88,3,0)*VLOOKUP('Données projet'!$B$12,Paramètres!$A$1:$I$88,5,0)</f>
        <v>-1.1173142411280423E-13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270.10151451661864</v>
      </c>
      <c r="CE183" s="62">
        <f t="shared" si="148"/>
        <v>294.47934482366804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projet'!$B$12,Paramètres!$A$1:$I$88,3,0)*0.475*44/12</f>
        <v>0</v>
      </c>
      <c r="CL183" s="23">
        <f>EXP(-LN(2)/25)*CL182+(1-EXP(-LN(2)/25))/(LN(2)/25)*Calculateur!CG183*Calculateur!CI183*VLOOKUP('Données projet'!$B$12,Paramètres!$A$1:$I$88,3,0)*0.475*44/12</f>
        <v>0</v>
      </c>
      <c r="CM183" s="23">
        <f>EXP(-LN(2)/2)*CM182+(1-EXP(-LN(2)/2))/(LN(2)/2)*CG183*CJ183*VLOOKUP('Données projet'!$B$12,Paramètres!$A$1:$I$88,3,0)*0.475*44/12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69.712890749990834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-1.7053025658242404E-13</v>
      </c>
      <c r="CU183" s="18">
        <f>CT183*VLOOKUP('Données projet'!$B$13,Paramètres!$A$1:$I$88,3,0)*VLOOKUP('Données projet'!$B$13,Paramètres!$A$1:$I$88,5,0)</f>
        <v>-1.1173142411280423E-13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270.10151451661864</v>
      </c>
      <c r="CZ183" s="62">
        <f t="shared" si="150"/>
        <v>294.47934482366804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projet'!$B$13,Paramètres!$A$1:$I$88,3,0)*0.475*44/12</f>
        <v>0</v>
      </c>
      <c r="DG183" s="23">
        <f>EXP(-LN(2)/25)*DG182+(1-EXP(-LN(2)/25))/(LN(2)/25)*Calculateur!DB183*Calculateur!DD183*VLOOKUP('Données projet'!$B$13,Paramètres!$A$1:$I$88,3,0)*0.475*44/12</f>
        <v>0</v>
      </c>
      <c r="DH183" s="23">
        <f>EXP(-LN(2)/2)*DH182+(1-EXP(-LN(2)/2))/(LN(2)/2)*DB183*DE183*VLOOKUP('Données projet'!$B$13,Paramètres!$A$1:$I$88,3,0)*0.475*44/12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69.712890749990834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projet'!$B$14,Paramètres!$A$1:$I$88,3,0)*0.475*44/12</f>
        <v>#N/A</v>
      </c>
      <c r="EB183" s="23" t="e">
        <f>EXP(-LN(2)/25)*EB182+(1-EXP(-LN(2)/25))/(LN(2)/25)*Calculateur!DW183*Calculateur!DY183*VLOOKUP('Données projet'!$B$14,Paramètres!$A$1:$I$88,3,0)*0.475*44/12</f>
        <v>#N/A</v>
      </c>
      <c r="EC183" s="23" t="e">
        <f>EXP(-LN(2)/2)*EC182+(1-EXP(-LN(2)/2))/(LN(2)/2)*DW183*DZ183*VLOOKUP('Données projet'!$B$14,Paramètres!$A$1:$I$88,3,0)*0.475*44/12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69.712890749990834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69.712890749990834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69.712890749990834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69.712890749990834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1.34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4.9133333333333331</v>
      </c>
      <c r="H184" s="70">
        <f t="shared" si="110"/>
        <v>237.01333333333332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69.717871453598377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-5.1159076974727213E-13</v>
      </c>
      <c r="O184" s="14">
        <f>N184*VLOOKUP('Données projet'!$B$9,Paramètres!$A$1:$I$88,3,0)*VLOOKUP('Données projet'!$B$9,Paramètres!$A$1:$I$88,5,0)</f>
        <v>-5.1875304052373401E-13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488.16146816015231</v>
      </c>
      <c r="T184" s="62">
        <f t="shared" si="142"/>
        <v>259.37115195552127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0</v>
      </c>
      <c r="AA184" s="23">
        <f>EXP(-LN(2)/25)*AA183+(1-EXP(-LN(2)/25))/(LN(2)/25)*Calculateur!V184*Calculateur!X184*VLOOKUP('Données projet'!$B$9,Paramètres!$A$1:$I$88,3,0)*0.475*44/12</f>
        <v>0</v>
      </c>
      <c r="AB184" s="23">
        <f>EXP(-LN(2)/2)*AB183+(1-EXP(-LN(2)/2))/(LN(2)/2)*V184*Y184*VLOOKUP('Données projet'!$B$9,Paramètres!$A$1:$I$88,3,0)*0.475*44/12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69.717871453598377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-5.1159076974727213E-13</v>
      </c>
      <c r="AJ184" s="14">
        <f>AI184*VLOOKUP('Données projet'!$B$10,Paramètres!$A$1:$I$88,3,0)*VLOOKUP('Données projet'!$B$10,Paramètres!$A$1:$I$88,5,0)</f>
        <v>-4.6288732846733184E-13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441.34749554136755</v>
      </c>
      <c r="AO184" s="62">
        <f t="shared" si="144"/>
        <v>236.49038586666222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0</v>
      </c>
      <c r="AV184" s="23">
        <f>EXP(-LN(2)/25)*AV183+(1-EXP(-LN(2)/25))/(LN(2)/25)*Calculateur!AQ184*Calculateur!AS184*VLOOKUP('Données projet'!$B$10,Paramètres!$A$1:$I$88,3,0)*0.475*44/12</f>
        <v>0</v>
      </c>
      <c r="AW184" s="23">
        <f>EXP(-LN(2)/2)*AW183+(1-EXP(-LN(2)/2))/(LN(2)/2)*AQ184*AT184*VLOOKUP('Données projet'!$B$10,Paramètres!$A$1:$I$88,3,0)*0.475*44/12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69.717871453598377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-5.1159076974727213E-13</v>
      </c>
      <c r="BE184" s="14">
        <f>BD184*VLOOKUP('Données projet'!$B$11,Paramètres!$A$1:$I$88,3,0)*VLOOKUP('Données projet'!$B$11,Paramètres!$A$1:$I$88,5,0)</f>
        <v>-5.5067630455596371E-13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514.86487884889584</v>
      </c>
      <c r="BJ184" s="62">
        <f t="shared" si="146"/>
        <v>272.4206208356191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projet'!$B$11,Paramètres!$A$1:$I$88,3,0)*0.475*44/12</f>
        <v>0</v>
      </c>
      <c r="BQ184" s="23">
        <f>EXP(-LN(2)/25)*BQ183+(1-EXP(-LN(2)/25))/(LN(2)/25)*Calculateur!BL184*Calculateur!BN184*VLOOKUP('Données projet'!$B$11,Paramètres!$A$1:$I$88,3,0)*0.475*44/12</f>
        <v>0</v>
      </c>
      <c r="BR184" s="23">
        <f>EXP(-LN(2)/2)*BR183+(1-EXP(-LN(2)/2))/(LN(2)/2)*BL184*BO184*VLOOKUP('Données projet'!$B$11,Paramètres!$A$1:$I$88,3,0)*0.475*44/12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69.717871453598377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-1.7053025658242404E-13</v>
      </c>
      <c r="BZ184" s="14">
        <f>BY184*VLOOKUP('Données projet'!$B$12,Paramètres!$A$1:$I$88,3,0)*VLOOKUP('Données projet'!$B$12,Paramètres!$A$1:$I$88,5,0)</f>
        <v>-1.1173142411280423E-13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270.10151451661864</v>
      </c>
      <c r="CE184" s="62">
        <f t="shared" si="148"/>
        <v>294.47934482366804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projet'!$B$12,Paramètres!$A$1:$I$88,3,0)*0.475*44/12</f>
        <v>0</v>
      </c>
      <c r="CL184" s="23">
        <f>EXP(-LN(2)/25)*CL183+(1-EXP(-LN(2)/25))/(LN(2)/25)*Calculateur!CG184*Calculateur!CI184*VLOOKUP('Données projet'!$B$12,Paramètres!$A$1:$I$88,3,0)*0.475*44/12</f>
        <v>0</v>
      </c>
      <c r="CM184" s="23">
        <f>EXP(-LN(2)/2)*CM183+(1-EXP(-LN(2)/2))/(LN(2)/2)*CG184*CJ184*VLOOKUP('Données projet'!$B$12,Paramètres!$A$1:$I$88,3,0)*0.475*44/12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69.717871453598377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-1.7053025658242404E-13</v>
      </c>
      <c r="CU184" s="18">
        <f>CT184*VLOOKUP('Données projet'!$B$13,Paramètres!$A$1:$I$88,3,0)*VLOOKUP('Données projet'!$B$13,Paramètres!$A$1:$I$88,5,0)</f>
        <v>-1.1173142411280423E-13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270.10151451661864</v>
      </c>
      <c r="CZ184" s="62">
        <f t="shared" si="150"/>
        <v>294.47934482366804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projet'!$B$13,Paramètres!$A$1:$I$88,3,0)*0.475*44/12</f>
        <v>0</v>
      </c>
      <c r="DG184" s="23">
        <f>EXP(-LN(2)/25)*DG183+(1-EXP(-LN(2)/25))/(LN(2)/25)*Calculateur!DB184*Calculateur!DD184*VLOOKUP('Données projet'!$B$13,Paramètres!$A$1:$I$88,3,0)*0.475*44/12</f>
        <v>0</v>
      </c>
      <c r="DH184" s="23">
        <f>EXP(-LN(2)/2)*DH183+(1-EXP(-LN(2)/2))/(LN(2)/2)*DB184*DE184*VLOOKUP('Données projet'!$B$13,Paramètres!$A$1:$I$88,3,0)*0.475*44/12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69.717871453598377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projet'!$B$14,Paramètres!$A$1:$I$88,3,0)*0.475*44/12</f>
        <v>#N/A</v>
      </c>
      <c r="EB184" s="23" t="e">
        <f>EXP(-LN(2)/25)*EB183+(1-EXP(-LN(2)/25))/(LN(2)/25)*Calculateur!DW184*Calculateur!DY184*VLOOKUP('Données projet'!$B$14,Paramètres!$A$1:$I$88,3,0)*0.475*44/12</f>
        <v>#N/A</v>
      </c>
      <c r="EC184" s="23" t="e">
        <f>EXP(-LN(2)/2)*EC183+(1-EXP(-LN(2)/2))/(LN(2)/2)*DW184*DZ184*VLOOKUP('Données projet'!$B$14,Paramètres!$A$1:$I$88,3,0)*0.475*44/12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69.717871453598377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69.717871453598377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69.717871453598377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69.717871453598377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1.34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4.9133333333333331</v>
      </c>
      <c r="H185" s="70">
        <f t="shared" si="110"/>
        <v>237.01333333333332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69.722765753133501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-5.1159076974727213E-13</v>
      </c>
      <c r="O185" s="14">
        <f>N185*VLOOKUP('Données projet'!$B$9,Paramètres!$A$1:$I$88,3,0)*VLOOKUP('Données projet'!$B$9,Paramètres!$A$1:$I$88,5,0)</f>
        <v>-5.1875304052373401E-13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488.16146816015231</v>
      </c>
      <c r="T185" s="62">
        <f t="shared" si="142"/>
        <v>259.37115195552127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0</v>
      </c>
      <c r="AA185" s="23">
        <f>EXP(-LN(2)/25)*AA184+(1-EXP(-LN(2)/25))/(LN(2)/25)*Calculateur!V185*Calculateur!X185*VLOOKUP('Données projet'!$B$9,Paramètres!$A$1:$I$88,3,0)*0.475*44/12</f>
        <v>0</v>
      </c>
      <c r="AB185" s="23">
        <f>EXP(-LN(2)/2)*AB184+(1-EXP(-LN(2)/2))/(LN(2)/2)*V185*Y185*VLOOKUP('Données projet'!$B$9,Paramètres!$A$1:$I$88,3,0)*0.475*44/12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69.722765753133501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-5.1159076974727213E-13</v>
      </c>
      <c r="AJ185" s="14">
        <f>AI185*VLOOKUP('Données projet'!$B$10,Paramètres!$A$1:$I$88,3,0)*VLOOKUP('Données projet'!$B$10,Paramètres!$A$1:$I$88,5,0)</f>
        <v>-4.6288732846733184E-13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441.34749554136755</v>
      </c>
      <c r="AO185" s="62">
        <f t="shared" si="144"/>
        <v>236.49038586666222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0</v>
      </c>
      <c r="AV185" s="23">
        <f>EXP(-LN(2)/25)*AV184+(1-EXP(-LN(2)/25))/(LN(2)/25)*Calculateur!AQ185*Calculateur!AS185*VLOOKUP('Données projet'!$B$10,Paramètres!$A$1:$I$88,3,0)*0.475*44/12</f>
        <v>0</v>
      </c>
      <c r="AW185" s="23">
        <f>EXP(-LN(2)/2)*AW184+(1-EXP(-LN(2)/2))/(LN(2)/2)*AQ185*AT185*VLOOKUP('Données projet'!$B$10,Paramètres!$A$1:$I$88,3,0)*0.475*44/12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69.722765753133501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-5.1159076974727213E-13</v>
      </c>
      <c r="BE185" s="14">
        <f>BD185*VLOOKUP('Données projet'!$B$11,Paramètres!$A$1:$I$88,3,0)*VLOOKUP('Données projet'!$B$11,Paramètres!$A$1:$I$88,5,0)</f>
        <v>-5.5067630455596371E-13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514.86487884889584</v>
      </c>
      <c r="BJ185" s="62">
        <f t="shared" si="146"/>
        <v>272.4206208356191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projet'!$B$11,Paramètres!$A$1:$I$88,3,0)*0.475*44/12</f>
        <v>0</v>
      </c>
      <c r="BQ185" s="23">
        <f>EXP(-LN(2)/25)*BQ184+(1-EXP(-LN(2)/25))/(LN(2)/25)*Calculateur!BL185*Calculateur!BN185*VLOOKUP('Données projet'!$B$11,Paramètres!$A$1:$I$88,3,0)*0.475*44/12</f>
        <v>0</v>
      </c>
      <c r="BR185" s="23">
        <f>EXP(-LN(2)/2)*BR184+(1-EXP(-LN(2)/2))/(LN(2)/2)*BL185*BO185*VLOOKUP('Données projet'!$B$11,Paramètres!$A$1:$I$88,3,0)*0.475*44/12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69.722765753133501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-1.7053025658242404E-13</v>
      </c>
      <c r="BZ185" s="14">
        <f>BY185*VLOOKUP('Données projet'!$B$12,Paramètres!$A$1:$I$88,3,0)*VLOOKUP('Données projet'!$B$12,Paramètres!$A$1:$I$88,5,0)</f>
        <v>-1.1173142411280423E-13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270.10151451661864</v>
      </c>
      <c r="CE185" s="62">
        <f t="shared" si="148"/>
        <v>294.47934482366804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projet'!$B$12,Paramètres!$A$1:$I$88,3,0)*0.475*44/12</f>
        <v>0</v>
      </c>
      <c r="CL185" s="23">
        <f>EXP(-LN(2)/25)*CL184+(1-EXP(-LN(2)/25))/(LN(2)/25)*Calculateur!CG185*Calculateur!CI185*VLOOKUP('Données projet'!$B$12,Paramètres!$A$1:$I$88,3,0)*0.475*44/12</f>
        <v>0</v>
      </c>
      <c r="CM185" s="23">
        <f>EXP(-LN(2)/2)*CM184+(1-EXP(-LN(2)/2))/(LN(2)/2)*CG185*CJ185*VLOOKUP('Données projet'!$B$12,Paramètres!$A$1:$I$88,3,0)*0.475*44/12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69.722765753133501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-1.7053025658242404E-13</v>
      </c>
      <c r="CU185" s="18">
        <f>CT185*VLOOKUP('Données projet'!$B$13,Paramètres!$A$1:$I$88,3,0)*VLOOKUP('Données projet'!$B$13,Paramètres!$A$1:$I$88,5,0)</f>
        <v>-1.1173142411280423E-13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270.10151451661864</v>
      </c>
      <c r="CZ185" s="62">
        <f t="shared" si="150"/>
        <v>294.47934482366804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projet'!$B$13,Paramètres!$A$1:$I$88,3,0)*0.475*44/12</f>
        <v>0</v>
      </c>
      <c r="DG185" s="23">
        <f>EXP(-LN(2)/25)*DG184+(1-EXP(-LN(2)/25))/(LN(2)/25)*Calculateur!DB185*Calculateur!DD185*VLOOKUP('Données projet'!$B$13,Paramètres!$A$1:$I$88,3,0)*0.475*44/12</f>
        <v>0</v>
      </c>
      <c r="DH185" s="23">
        <f>EXP(-LN(2)/2)*DH184+(1-EXP(-LN(2)/2))/(LN(2)/2)*DB185*DE185*VLOOKUP('Données projet'!$B$13,Paramètres!$A$1:$I$88,3,0)*0.475*44/12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69.722765753133501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projet'!$B$14,Paramètres!$A$1:$I$88,3,0)*0.475*44/12</f>
        <v>#N/A</v>
      </c>
      <c r="EB185" s="23" t="e">
        <f>EXP(-LN(2)/25)*EB184+(1-EXP(-LN(2)/25))/(LN(2)/25)*Calculateur!DW185*Calculateur!DY185*VLOOKUP('Données projet'!$B$14,Paramètres!$A$1:$I$88,3,0)*0.475*44/12</f>
        <v>#N/A</v>
      </c>
      <c r="EC185" s="23" t="e">
        <f>EXP(-LN(2)/2)*EC184+(1-EXP(-LN(2)/2))/(LN(2)/2)*DW185*DZ185*VLOOKUP('Données projet'!$B$14,Paramètres!$A$1:$I$88,3,0)*0.475*44/12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69.722765753133501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69.722765753133501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69.722765753133501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69.722765753133501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1.34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4.9133333333333331</v>
      </c>
      <c r="H186" s="70">
        <f t="shared" si="110"/>
        <v>237.01333333333332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69.727575147513718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-5.1159076974727213E-13</v>
      </c>
      <c r="O186" s="14">
        <f>N186*VLOOKUP('Données projet'!$B$9,Paramètres!$A$1:$I$88,3,0)*VLOOKUP('Données projet'!$B$9,Paramètres!$A$1:$I$88,5,0)</f>
        <v>-5.1875304052373401E-13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488.16146816015231</v>
      </c>
      <c r="T186" s="62">
        <f t="shared" si="142"/>
        <v>259.37115195552127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0</v>
      </c>
      <c r="AA186" s="23">
        <f>EXP(-LN(2)/25)*AA185+(1-EXP(-LN(2)/25))/(LN(2)/25)*Calculateur!V186*Calculateur!X186*VLOOKUP('Données projet'!$B$9,Paramètres!$A$1:$I$88,3,0)*0.475*44/12</f>
        <v>0</v>
      </c>
      <c r="AB186" s="23">
        <f>EXP(-LN(2)/2)*AB185+(1-EXP(-LN(2)/2))/(LN(2)/2)*V186*Y186*VLOOKUP('Données projet'!$B$9,Paramètres!$A$1:$I$88,3,0)*0.475*44/12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69.727575147513718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-5.1159076974727213E-13</v>
      </c>
      <c r="AJ186" s="14">
        <f>AI186*VLOOKUP('Données projet'!$B$10,Paramètres!$A$1:$I$88,3,0)*VLOOKUP('Données projet'!$B$10,Paramètres!$A$1:$I$88,5,0)</f>
        <v>-4.6288732846733184E-13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441.34749554136755</v>
      </c>
      <c r="AO186" s="62">
        <f t="shared" si="144"/>
        <v>236.49038586666222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0</v>
      </c>
      <c r="AV186" s="23">
        <f>EXP(-LN(2)/25)*AV185+(1-EXP(-LN(2)/25))/(LN(2)/25)*Calculateur!AQ186*Calculateur!AS186*VLOOKUP('Données projet'!$B$10,Paramètres!$A$1:$I$88,3,0)*0.475*44/12</f>
        <v>0</v>
      </c>
      <c r="AW186" s="23">
        <f>EXP(-LN(2)/2)*AW185+(1-EXP(-LN(2)/2))/(LN(2)/2)*AQ186*AT186*VLOOKUP('Données projet'!$B$10,Paramètres!$A$1:$I$88,3,0)*0.475*44/12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69.727575147513718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-5.1159076974727213E-13</v>
      </c>
      <c r="BE186" s="14">
        <f>BD186*VLOOKUP('Données projet'!$B$11,Paramètres!$A$1:$I$88,3,0)*VLOOKUP('Données projet'!$B$11,Paramètres!$A$1:$I$88,5,0)</f>
        <v>-5.5067630455596371E-13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514.86487884889584</v>
      </c>
      <c r="BJ186" s="62">
        <f t="shared" si="146"/>
        <v>272.4206208356191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projet'!$B$11,Paramètres!$A$1:$I$88,3,0)*0.475*44/12</f>
        <v>0</v>
      </c>
      <c r="BQ186" s="23">
        <f>EXP(-LN(2)/25)*BQ185+(1-EXP(-LN(2)/25))/(LN(2)/25)*Calculateur!BL186*Calculateur!BN186*VLOOKUP('Données projet'!$B$11,Paramètres!$A$1:$I$88,3,0)*0.475*44/12</f>
        <v>0</v>
      </c>
      <c r="BR186" s="23">
        <f>EXP(-LN(2)/2)*BR185+(1-EXP(-LN(2)/2))/(LN(2)/2)*BL186*BO186*VLOOKUP('Données projet'!$B$11,Paramètres!$A$1:$I$88,3,0)*0.475*44/12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69.727575147513718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-1.7053025658242404E-13</v>
      </c>
      <c r="BZ186" s="14">
        <f>BY186*VLOOKUP('Données projet'!$B$12,Paramètres!$A$1:$I$88,3,0)*VLOOKUP('Données projet'!$B$12,Paramètres!$A$1:$I$88,5,0)</f>
        <v>-1.1173142411280423E-13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270.10151451661864</v>
      </c>
      <c r="CE186" s="62">
        <f t="shared" si="148"/>
        <v>294.47934482366804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projet'!$B$12,Paramètres!$A$1:$I$88,3,0)*0.475*44/12</f>
        <v>0</v>
      </c>
      <c r="CL186" s="23">
        <f>EXP(-LN(2)/25)*CL185+(1-EXP(-LN(2)/25))/(LN(2)/25)*Calculateur!CG186*Calculateur!CI186*VLOOKUP('Données projet'!$B$12,Paramètres!$A$1:$I$88,3,0)*0.475*44/12</f>
        <v>0</v>
      </c>
      <c r="CM186" s="23">
        <f>EXP(-LN(2)/2)*CM185+(1-EXP(-LN(2)/2))/(LN(2)/2)*CG186*CJ186*VLOOKUP('Données projet'!$B$12,Paramètres!$A$1:$I$88,3,0)*0.475*44/12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69.727575147513718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-1.7053025658242404E-13</v>
      </c>
      <c r="CU186" s="18">
        <f>CT186*VLOOKUP('Données projet'!$B$13,Paramètres!$A$1:$I$88,3,0)*VLOOKUP('Données projet'!$B$13,Paramètres!$A$1:$I$88,5,0)</f>
        <v>-1.1173142411280423E-13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270.10151451661864</v>
      </c>
      <c r="CZ186" s="62">
        <f t="shared" si="150"/>
        <v>294.47934482366804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projet'!$B$13,Paramètres!$A$1:$I$88,3,0)*0.475*44/12</f>
        <v>0</v>
      </c>
      <c r="DG186" s="23">
        <f>EXP(-LN(2)/25)*DG185+(1-EXP(-LN(2)/25))/(LN(2)/25)*Calculateur!DB186*Calculateur!DD186*VLOOKUP('Données projet'!$B$13,Paramètres!$A$1:$I$88,3,0)*0.475*44/12</f>
        <v>0</v>
      </c>
      <c r="DH186" s="23">
        <f>EXP(-LN(2)/2)*DH185+(1-EXP(-LN(2)/2))/(LN(2)/2)*DB186*DE186*VLOOKUP('Données projet'!$B$13,Paramètres!$A$1:$I$88,3,0)*0.475*44/12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69.727575147513718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projet'!$B$14,Paramètres!$A$1:$I$88,3,0)*0.475*44/12</f>
        <v>#N/A</v>
      </c>
      <c r="EB186" s="23" t="e">
        <f>EXP(-LN(2)/25)*EB185+(1-EXP(-LN(2)/25))/(LN(2)/25)*Calculateur!DW186*Calculateur!DY186*VLOOKUP('Données projet'!$B$14,Paramètres!$A$1:$I$88,3,0)*0.475*44/12</f>
        <v>#N/A</v>
      </c>
      <c r="EC186" s="23" t="e">
        <f>EXP(-LN(2)/2)*EC185+(1-EXP(-LN(2)/2))/(LN(2)/2)*DW186*DZ186*VLOOKUP('Données projet'!$B$14,Paramètres!$A$1:$I$88,3,0)*0.475*44/12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69.727575147513718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69.727575147513718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69.727575147513718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69.727575147513718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1.34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4.9133333333333331</v>
      </c>
      <c r="H187" s="70">
        <f t="shared" si="110"/>
        <v>237.01333333333332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69.732301109653619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-5.1159076974727213E-13</v>
      </c>
      <c r="O187" s="14">
        <f>N187*VLOOKUP('Données projet'!$B$9,Paramètres!$A$1:$I$88,3,0)*VLOOKUP('Données projet'!$B$9,Paramètres!$A$1:$I$88,5,0)</f>
        <v>-5.1875304052373401E-13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488.16146816015231</v>
      </c>
      <c r="T187" s="62">
        <f t="shared" si="142"/>
        <v>259.37115195552127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0</v>
      </c>
      <c r="AA187" s="23">
        <f>EXP(-LN(2)/25)*AA186+(1-EXP(-LN(2)/25))/(LN(2)/25)*Calculateur!V187*Calculateur!X187*VLOOKUP('Données projet'!$B$9,Paramètres!$A$1:$I$88,3,0)*0.475*44/12</f>
        <v>0</v>
      </c>
      <c r="AB187" s="23">
        <f>EXP(-LN(2)/2)*AB186+(1-EXP(-LN(2)/2))/(LN(2)/2)*V187*Y187*VLOOKUP('Données projet'!$B$9,Paramètres!$A$1:$I$88,3,0)*0.475*44/12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69.732301109653619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-5.1159076974727213E-13</v>
      </c>
      <c r="AJ187" s="14">
        <f>AI187*VLOOKUP('Données projet'!$B$10,Paramètres!$A$1:$I$88,3,0)*VLOOKUP('Données projet'!$B$10,Paramètres!$A$1:$I$88,5,0)</f>
        <v>-4.6288732846733184E-13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441.34749554136755</v>
      </c>
      <c r="AO187" s="62">
        <f t="shared" si="144"/>
        <v>236.49038586666222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0</v>
      </c>
      <c r="AV187" s="23">
        <f>EXP(-LN(2)/25)*AV186+(1-EXP(-LN(2)/25))/(LN(2)/25)*Calculateur!AQ187*Calculateur!AS187*VLOOKUP('Données projet'!$B$10,Paramètres!$A$1:$I$88,3,0)*0.475*44/12</f>
        <v>0</v>
      </c>
      <c r="AW187" s="23">
        <f>EXP(-LN(2)/2)*AW186+(1-EXP(-LN(2)/2))/(LN(2)/2)*AQ187*AT187*VLOOKUP('Données projet'!$B$10,Paramètres!$A$1:$I$88,3,0)*0.475*44/12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69.732301109653619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-5.1159076974727213E-13</v>
      </c>
      <c r="BE187" s="14">
        <f>BD187*VLOOKUP('Données projet'!$B$11,Paramètres!$A$1:$I$88,3,0)*VLOOKUP('Données projet'!$B$11,Paramètres!$A$1:$I$88,5,0)</f>
        <v>-5.5067630455596371E-13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514.86487884889584</v>
      </c>
      <c r="BJ187" s="62">
        <f t="shared" si="146"/>
        <v>272.4206208356191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projet'!$B$11,Paramètres!$A$1:$I$88,3,0)*0.475*44/12</f>
        <v>0</v>
      </c>
      <c r="BQ187" s="23">
        <f>EXP(-LN(2)/25)*BQ186+(1-EXP(-LN(2)/25))/(LN(2)/25)*Calculateur!BL187*Calculateur!BN187*VLOOKUP('Données projet'!$B$11,Paramètres!$A$1:$I$88,3,0)*0.475*44/12</f>
        <v>0</v>
      </c>
      <c r="BR187" s="23">
        <f>EXP(-LN(2)/2)*BR186+(1-EXP(-LN(2)/2))/(LN(2)/2)*BL187*BO187*VLOOKUP('Données projet'!$B$11,Paramètres!$A$1:$I$88,3,0)*0.475*44/12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69.732301109653619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-1.7053025658242404E-13</v>
      </c>
      <c r="BZ187" s="14">
        <f>BY187*VLOOKUP('Données projet'!$B$12,Paramètres!$A$1:$I$88,3,0)*VLOOKUP('Données projet'!$B$12,Paramètres!$A$1:$I$88,5,0)</f>
        <v>-1.1173142411280423E-13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270.10151451661864</v>
      </c>
      <c r="CE187" s="62">
        <f t="shared" si="148"/>
        <v>294.47934482366804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projet'!$B$12,Paramètres!$A$1:$I$88,3,0)*0.475*44/12</f>
        <v>0</v>
      </c>
      <c r="CL187" s="23">
        <f>EXP(-LN(2)/25)*CL186+(1-EXP(-LN(2)/25))/(LN(2)/25)*Calculateur!CG187*Calculateur!CI187*VLOOKUP('Données projet'!$B$12,Paramètres!$A$1:$I$88,3,0)*0.475*44/12</f>
        <v>0</v>
      </c>
      <c r="CM187" s="23">
        <f>EXP(-LN(2)/2)*CM186+(1-EXP(-LN(2)/2))/(LN(2)/2)*CG187*CJ187*VLOOKUP('Données projet'!$B$12,Paramètres!$A$1:$I$88,3,0)*0.475*44/12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69.732301109653619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-1.7053025658242404E-13</v>
      </c>
      <c r="CU187" s="18">
        <f>CT187*VLOOKUP('Données projet'!$B$13,Paramètres!$A$1:$I$88,3,0)*VLOOKUP('Données projet'!$B$13,Paramètres!$A$1:$I$88,5,0)</f>
        <v>-1.1173142411280423E-13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270.10151451661864</v>
      </c>
      <c r="CZ187" s="62">
        <f t="shared" si="150"/>
        <v>294.47934482366804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projet'!$B$13,Paramètres!$A$1:$I$88,3,0)*0.475*44/12</f>
        <v>0</v>
      </c>
      <c r="DG187" s="23">
        <f>EXP(-LN(2)/25)*DG186+(1-EXP(-LN(2)/25))/(LN(2)/25)*Calculateur!DB187*Calculateur!DD187*VLOOKUP('Données projet'!$B$13,Paramètres!$A$1:$I$88,3,0)*0.475*44/12</f>
        <v>0</v>
      </c>
      <c r="DH187" s="23">
        <f>EXP(-LN(2)/2)*DH186+(1-EXP(-LN(2)/2))/(LN(2)/2)*DB187*DE187*VLOOKUP('Données projet'!$B$13,Paramètres!$A$1:$I$88,3,0)*0.475*44/12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69.732301109653619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projet'!$B$14,Paramètres!$A$1:$I$88,3,0)*0.475*44/12</f>
        <v>#N/A</v>
      </c>
      <c r="EB187" s="23" t="e">
        <f>EXP(-LN(2)/25)*EB186+(1-EXP(-LN(2)/25))/(LN(2)/25)*Calculateur!DW187*Calculateur!DY187*VLOOKUP('Données projet'!$B$14,Paramètres!$A$1:$I$88,3,0)*0.475*44/12</f>
        <v>#N/A</v>
      </c>
      <c r="EC187" s="23" t="e">
        <f>EXP(-LN(2)/2)*EC186+(1-EXP(-LN(2)/2))/(LN(2)/2)*DW187*DZ187*VLOOKUP('Données projet'!$B$14,Paramètres!$A$1:$I$88,3,0)*0.475*44/12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69.732301109653619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69.732301109653619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69.732301109653619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69.732301109653619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1.34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4.9133333333333331</v>
      </c>
      <c r="H188" s="70">
        <f t="shared" si="110"/>
        <v>237.01333333333332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69.73694508691608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-5.1159076974727213E-13</v>
      </c>
      <c r="O188" s="14">
        <f>N188*VLOOKUP('Données projet'!$B$9,Paramètres!$A$1:$I$88,3,0)*VLOOKUP('Données projet'!$B$9,Paramètres!$A$1:$I$88,5,0)</f>
        <v>-5.1875304052373401E-13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488.16146816015231</v>
      </c>
      <c r="T188" s="62">
        <f t="shared" si="142"/>
        <v>259.37115195552127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0</v>
      </c>
      <c r="AA188" s="23">
        <f>EXP(-LN(2)/25)*AA187+(1-EXP(-LN(2)/25))/(LN(2)/25)*Calculateur!V188*Calculateur!X188*VLOOKUP('Données projet'!$B$9,Paramètres!$A$1:$I$88,3,0)*0.475*44/12</f>
        <v>0</v>
      </c>
      <c r="AB188" s="23">
        <f>EXP(-LN(2)/2)*AB187+(1-EXP(-LN(2)/2))/(LN(2)/2)*V188*Y188*VLOOKUP('Données projet'!$B$9,Paramètres!$A$1:$I$88,3,0)*0.475*44/12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69.73694508691608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-5.1159076974727213E-13</v>
      </c>
      <c r="AJ188" s="14">
        <f>AI188*VLOOKUP('Données projet'!$B$10,Paramètres!$A$1:$I$88,3,0)*VLOOKUP('Données projet'!$B$10,Paramètres!$A$1:$I$88,5,0)</f>
        <v>-4.6288732846733184E-13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441.34749554136755</v>
      </c>
      <c r="AO188" s="62">
        <f t="shared" si="144"/>
        <v>236.49038586666222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0</v>
      </c>
      <c r="AV188" s="23">
        <f>EXP(-LN(2)/25)*AV187+(1-EXP(-LN(2)/25))/(LN(2)/25)*Calculateur!AQ188*Calculateur!AS188*VLOOKUP('Données projet'!$B$10,Paramètres!$A$1:$I$88,3,0)*0.475*44/12</f>
        <v>0</v>
      </c>
      <c r="AW188" s="23">
        <f>EXP(-LN(2)/2)*AW187+(1-EXP(-LN(2)/2))/(LN(2)/2)*AQ188*AT188*VLOOKUP('Données projet'!$B$10,Paramètres!$A$1:$I$88,3,0)*0.475*44/12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69.73694508691608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-5.1159076974727213E-13</v>
      </c>
      <c r="BE188" s="14">
        <f>BD188*VLOOKUP('Données projet'!$B$11,Paramètres!$A$1:$I$88,3,0)*VLOOKUP('Données projet'!$B$11,Paramètres!$A$1:$I$88,5,0)</f>
        <v>-5.5067630455596371E-13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514.86487884889584</v>
      </c>
      <c r="BJ188" s="62">
        <f t="shared" si="146"/>
        <v>272.4206208356191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projet'!$B$11,Paramètres!$A$1:$I$88,3,0)*0.475*44/12</f>
        <v>0</v>
      </c>
      <c r="BQ188" s="23">
        <f>EXP(-LN(2)/25)*BQ187+(1-EXP(-LN(2)/25))/(LN(2)/25)*Calculateur!BL188*Calculateur!BN188*VLOOKUP('Données projet'!$B$11,Paramètres!$A$1:$I$88,3,0)*0.475*44/12</f>
        <v>0</v>
      </c>
      <c r="BR188" s="23">
        <f>EXP(-LN(2)/2)*BR187+(1-EXP(-LN(2)/2))/(LN(2)/2)*BL188*BO188*VLOOKUP('Données projet'!$B$11,Paramètres!$A$1:$I$88,3,0)*0.475*44/12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69.73694508691608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-1.7053025658242404E-13</v>
      </c>
      <c r="BZ188" s="14">
        <f>BY188*VLOOKUP('Données projet'!$B$12,Paramètres!$A$1:$I$88,3,0)*VLOOKUP('Données projet'!$B$12,Paramètres!$A$1:$I$88,5,0)</f>
        <v>-1.1173142411280423E-13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270.10151451661864</v>
      </c>
      <c r="CE188" s="62">
        <f t="shared" si="148"/>
        <v>294.47934482366804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projet'!$B$12,Paramètres!$A$1:$I$88,3,0)*0.475*44/12</f>
        <v>0</v>
      </c>
      <c r="CL188" s="23">
        <f>EXP(-LN(2)/25)*CL187+(1-EXP(-LN(2)/25))/(LN(2)/25)*Calculateur!CG188*Calculateur!CI188*VLOOKUP('Données projet'!$B$12,Paramètres!$A$1:$I$88,3,0)*0.475*44/12</f>
        <v>0</v>
      </c>
      <c r="CM188" s="23">
        <f>EXP(-LN(2)/2)*CM187+(1-EXP(-LN(2)/2))/(LN(2)/2)*CG188*CJ188*VLOOKUP('Données projet'!$B$12,Paramètres!$A$1:$I$88,3,0)*0.475*44/12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69.73694508691608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-1.7053025658242404E-13</v>
      </c>
      <c r="CU188" s="18">
        <f>CT188*VLOOKUP('Données projet'!$B$13,Paramètres!$A$1:$I$88,3,0)*VLOOKUP('Données projet'!$B$13,Paramètres!$A$1:$I$88,5,0)</f>
        <v>-1.1173142411280423E-13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270.10151451661864</v>
      </c>
      <c r="CZ188" s="62">
        <f t="shared" si="150"/>
        <v>294.47934482366804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projet'!$B$13,Paramètres!$A$1:$I$88,3,0)*0.475*44/12</f>
        <v>0</v>
      </c>
      <c r="DG188" s="23">
        <f>EXP(-LN(2)/25)*DG187+(1-EXP(-LN(2)/25))/(LN(2)/25)*Calculateur!DB188*Calculateur!DD188*VLOOKUP('Données projet'!$B$13,Paramètres!$A$1:$I$88,3,0)*0.475*44/12</f>
        <v>0</v>
      </c>
      <c r="DH188" s="23">
        <f>EXP(-LN(2)/2)*DH187+(1-EXP(-LN(2)/2))/(LN(2)/2)*DB188*DE188*VLOOKUP('Données projet'!$B$13,Paramètres!$A$1:$I$88,3,0)*0.475*44/12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69.73694508691608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projet'!$B$14,Paramètres!$A$1:$I$88,3,0)*0.475*44/12</f>
        <v>#N/A</v>
      </c>
      <c r="EB188" s="23" t="e">
        <f>EXP(-LN(2)/25)*EB187+(1-EXP(-LN(2)/25))/(LN(2)/25)*Calculateur!DW188*Calculateur!DY188*VLOOKUP('Données projet'!$B$14,Paramètres!$A$1:$I$88,3,0)*0.475*44/12</f>
        <v>#N/A</v>
      </c>
      <c r="EC188" s="23" t="e">
        <f>EXP(-LN(2)/2)*EC187+(1-EXP(-LN(2)/2))/(LN(2)/2)*DW188*DZ188*VLOOKUP('Données projet'!$B$14,Paramètres!$A$1:$I$88,3,0)*0.475*44/12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69.73694508691608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69.73694508691608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69.73694508691608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69.73694508691608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1.34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4.9133333333333331</v>
      </c>
      <c r="H189" s="70">
        <f t="shared" si="110"/>
        <v>237.01333333333332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69.741508501555401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-5.1159076974727213E-13</v>
      </c>
      <c r="O189" s="14">
        <f>N189*VLOOKUP('Données projet'!$B$9,Paramètres!$A$1:$I$88,3,0)*VLOOKUP('Données projet'!$B$9,Paramètres!$A$1:$I$88,5,0)</f>
        <v>-5.1875304052373401E-13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488.16146816015231</v>
      </c>
      <c r="T189" s="62">
        <f t="shared" si="142"/>
        <v>259.37115195552127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0</v>
      </c>
      <c r="AA189" s="23">
        <f>EXP(-LN(2)/25)*AA188+(1-EXP(-LN(2)/25))/(LN(2)/25)*Calculateur!V189*Calculateur!X189*VLOOKUP('Données projet'!$B$9,Paramètres!$A$1:$I$88,3,0)*0.475*44/12</f>
        <v>0</v>
      </c>
      <c r="AB189" s="23">
        <f>EXP(-LN(2)/2)*AB188+(1-EXP(-LN(2)/2))/(LN(2)/2)*V189*Y189*VLOOKUP('Données projet'!$B$9,Paramètres!$A$1:$I$88,3,0)*0.475*44/12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69.741508501555401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-5.1159076974727213E-13</v>
      </c>
      <c r="AJ189" s="14">
        <f>AI189*VLOOKUP('Données projet'!$B$10,Paramètres!$A$1:$I$88,3,0)*VLOOKUP('Données projet'!$B$10,Paramètres!$A$1:$I$88,5,0)</f>
        <v>-4.6288732846733184E-13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441.34749554136755</v>
      </c>
      <c r="AO189" s="62">
        <f t="shared" si="144"/>
        <v>236.49038586666222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0</v>
      </c>
      <c r="AV189" s="23">
        <f>EXP(-LN(2)/25)*AV188+(1-EXP(-LN(2)/25))/(LN(2)/25)*Calculateur!AQ189*Calculateur!AS189*VLOOKUP('Données projet'!$B$10,Paramètres!$A$1:$I$88,3,0)*0.475*44/12</f>
        <v>0</v>
      </c>
      <c r="AW189" s="23">
        <f>EXP(-LN(2)/2)*AW188+(1-EXP(-LN(2)/2))/(LN(2)/2)*AQ189*AT189*VLOOKUP('Données projet'!$B$10,Paramètres!$A$1:$I$88,3,0)*0.475*44/12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69.741508501555401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-5.1159076974727213E-13</v>
      </c>
      <c r="BE189" s="14">
        <f>BD189*VLOOKUP('Données projet'!$B$11,Paramètres!$A$1:$I$88,3,0)*VLOOKUP('Données projet'!$B$11,Paramètres!$A$1:$I$88,5,0)</f>
        <v>-5.5067630455596371E-13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514.86487884889584</v>
      </c>
      <c r="BJ189" s="62">
        <f t="shared" si="146"/>
        <v>272.4206208356191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projet'!$B$11,Paramètres!$A$1:$I$88,3,0)*0.475*44/12</f>
        <v>0</v>
      </c>
      <c r="BQ189" s="23">
        <f>EXP(-LN(2)/25)*BQ188+(1-EXP(-LN(2)/25))/(LN(2)/25)*Calculateur!BL189*Calculateur!BN189*VLOOKUP('Données projet'!$B$11,Paramètres!$A$1:$I$88,3,0)*0.475*44/12</f>
        <v>0</v>
      </c>
      <c r="BR189" s="23">
        <f>EXP(-LN(2)/2)*BR188+(1-EXP(-LN(2)/2))/(LN(2)/2)*BL189*BO189*VLOOKUP('Données projet'!$B$11,Paramètres!$A$1:$I$88,3,0)*0.475*44/12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69.741508501555401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-1.7053025658242404E-13</v>
      </c>
      <c r="BZ189" s="14">
        <f>BY189*VLOOKUP('Données projet'!$B$12,Paramètres!$A$1:$I$88,3,0)*VLOOKUP('Données projet'!$B$12,Paramètres!$A$1:$I$88,5,0)</f>
        <v>-1.1173142411280423E-13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270.10151451661864</v>
      </c>
      <c r="CE189" s="62">
        <f t="shared" si="148"/>
        <v>294.47934482366804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projet'!$B$12,Paramètres!$A$1:$I$88,3,0)*0.475*44/12</f>
        <v>0</v>
      </c>
      <c r="CL189" s="23">
        <f>EXP(-LN(2)/25)*CL188+(1-EXP(-LN(2)/25))/(LN(2)/25)*Calculateur!CG189*Calculateur!CI189*VLOOKUP('Données projet'!$B$12,Paramètres!$A$1:$I$88,3,0)*0.475*44/12</f>
        <v>0</v>
      </c>
      <c r="CM189" s="23">
        <f>EXP(-LN(2)/2)*CM188+(1-EXP(-LN(2)/2))/(LN(2)/2)*CG189*CJ189*VLOOKUP('Données projet'!$B$12,Paramètres!$A$1:$I$88,3,0)*0.475*44/12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69.741508501555401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-1.7053025658242404E-13</v>
      </c>
      <c r="CU189" s="18">
        <f>CT189*VLOOKUP('Données projet'!$B$13,Paramètres!$A$1:$I$88,3,0)*VLOOKUP('Données projet'!$B$13,Paramètres!$A$1:$I$88,5,0)</f>
        <v>-1.1173142411280423E-13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270.10151451661864</v>
      </c>
      <c r="CZ189" s="62">
        <f t="shared" si="150"/>
        <v>294.47934482366804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projet'!$B$13,Paramètres!$A$1:$I$88,3,0)*0.475*44/12</f>
        <v>0</v>
      </c>
      <c r="DG189" s="23">
        <f>EXP(-LN(2)/25)*DG188+(1-EXP(-LN(2)/25))/(LN(2)/25)*Calculateur!DB189*Calculateur!DD189*VLOOKUP('Données projet'!$B$13,Paramètres!$A$1:$I$88,3,0)*0.475*44/12</f>
        <v>0</v>
      </c>
      <c r="DH189" s="23">
        <f>EXP(-LN(2)/2)*DH188+(1-EXP(-LN(2)/2))/(LN(2)/2)*DB189*DE189*VLOOKUP('Données projet'!$B$13,Paramètres!$A$1:$I$88,3,0)*0.475*44/12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69.741508501555401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projet'!$B$14,Paramètres!$A$1:$I$88,3,0)*0.475*44/12</f>
        <v>#N/A</v>
      </c>
      <c r="EB189" s="23" t="e">
        <f>EXP(-LN(2)/25)*EB188+(1-EXP(-LN(2)/25))/(LN(2)/25)*Calculateur!DW189*Calculateur!DY189*VLOOKUP('Données projet'!$B$14,Paramètres!$A$1:$I$88,3,0)*0.475*44/12</f>
        <v>#N/A</v>
      </c>
      <c r="EC189" s="23" t="e">
        <f>EXP(-LN(2)/2)*EC188+(1-EXP(-LN(2)/2))/(LN(2)/2)*DW189*DZ189*VLOOKUP('Données projet'!$B$14,Paramètres!$A$1:$I$88,3,0)*0.475*44/12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69.741508501555401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69.741508501555401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69.741508501555401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69.741508501555401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1.34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4.9133333333333331</v>
      </c>
      <c r="H190" s="70">
        <f t="shared" si="110"/>
        <v>237.01333333333332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69.745992751152997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-5.1159076974727213E-13</v>
      </c>
      <c r="O190" s="14">
        <f>N190*VLOOKUP('Données projet'!$B$9,Paramètres!$A$1:$I$88,3,0)*VLOOKUP('Données projet'!$B$9,Paramètres!$A$1:$I$88,5,0)</f>
        <v>-5.1875304052373401E-13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488.16146816015231</v>
      </c>
      <c r="T190" s="62">
        <f t="shared" si="142"/>
        <v>259.37115195552127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0</v>
      </c>
      <c r="AA190" s="23">
        <f>EXP(-LN(2)/25)*AA189+(1-EXP(-LN(2)/25))/(LN(2)/25)*Calculateur!V190*Calculateur!X190*VLOOKUP('Données projet'!$B$9,Paramètres!$A$1:$I$88,3,0)*0.475*44/12</f>
        <v>0</v>
      </c>
      <c r="AB190" s="23">
        <f>EXP(-LN(2)/2)*AB189+(1-EXP(-LN(2)/2))/(LN(2)/2)*V190*Y190*VLOOKUP('Données projet'!$B$9,Paramètres!$A$1:$I$88,3,0)*0.475*44/12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69.745992751152997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-5.1159076974727213E-13</v>
      </c>
      <c r="AJ190" s="14">
        <f>AI190*VLOOKUP('Données projet'!$B$10,Paramètres!$A$1:$I$88,3,0)*VLOOKUP('Données projet'!$B$10,Paramètres!$A$1:$I$88,5,0)</f>
        <v>-4.6288732846733184E-13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441.34749554136755</v>
      </c>
      <c r="AO190" s="62">
        <f t="shared" si="144"/>
        <v>236.49038586666222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0</v>
      </c>
      <c r="AV190" s="23">
        <f>EXP(-LN(2)/25)*AV189+(1-EXP(-LN(2)/25))/(LN(2)/25)*Calculateur!AQ190*Calculateur!AS190*VLOOKUP('Données projet'!$B$10,Paramètres!$A$1:$I$88,3,0)*0.475*44/12</f>
        <v>0</v>
      </c>
      <c r="AW190" s="23">
        <f>EXP(-LN(2)/2)*AW189+(1-EXP(-LN(2)/2))/(LN(2)/2)*AQ190*AT190*VLOOKUP('Données projet'!$B$10,Paramètres!$A$1:$I$88,3,0)*0.475*44/12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69.745992751152997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-5.1159076974727213E-13</v>
      </c>
      <c r="BE190" s="14">
        <f>BD190*VLOOKUP('Données projet'!$B$11,Paramètres!$A$1:$I$88,3,0)*VLOOKUP('Données projet'!$B$11,Paramètres!$A$1:$I$88,5,0)</f>
        <v>-5.5067630455596371E-13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514.86487884889584</v>
      </c>
      <c r="BJ190" s="62">
        <f t="shared" si="146"/>
        <v>272.4206208356191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projet'!$B$11,Paramètres!$A$1:$I$88,3,0)*0.475*44/12</f>
        <v>0</v>
      </c>
      <c r="BQ190" s="23">
        <f>EXP(-LN(2)/25)*BQ189+(1-EXP(-LN(2)/25))/(LN(2)/25)*Calculateur!BL190*Calculateur!BN190*VLOOKUP('Données projet'!$B$11,Paramètres!$A$1:$I$88,3,0)*0.475*44/12</f>
        <v>0</v>
      </c>
      <c r="BR190" s="23">
        <f>EXP(-LN(2)/2)*BR189+(1-EXP(-LN(2)/2))/(LN(2)/2)*BL190*BO190*VLOOKUP('Données projet'!$B$11,Paramètres!$A$1:$I$88,3,0)*0.475*44/12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69.745992751152997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-1.7053025658242404E-13</v>
      </c>
      <c r="BZ190" s="14">
        <f>BY190*VLOOKUP('Données projet'!$B$12,Paramètres!$A$1:$I$88,3,0)*VLOOKUP('Données projet'!$B$12,Paramètres!$A$1:$I$88,5,0)</f>
        <v>-1.1173142411280423E-13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270.10151451661864</v>
      </c>
      <c r="CE190" s="62">
        <f t="shared" si="148"/>
        <v>294.47934482366804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projet'!$B$12,Paramètres!$A$1:$I$88,3,0)*0.475*44/12</f>
        <v>0</v>
      </c>
      <c r="CL190" s="23">
        <f>EXP(-LN(2)/25)*CL189+(1-EXP(-LN(2)/25))/(LN(2)/25)*Calculateur!CG190*Calculateur!CI190*VLOOKUP('Données projet'!$B$12,Paramètres!$A$1:$I$88,3,0)*0.475*44/12</f>
        <v>0</v>
      </c>
      <c r="CM190" s="23">
        <f>EXP(-LN(2)/2)*CM189+(1-EXP(-LN(2)/2))/(LN(2)/2)*CG190*CJ190*VLOOKUP('Données projet'!$B$12,Paramètres!$A$1:$I$88,3,0)*0.475*44/12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69.745992751152997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-1.7053025658242404E-13</v>
      </c>
      <c r="CU190" s="18">
        <f>CT190*VLOOKUP('Données projet'!$B$13,Paramètres!$A$1:$I$88,3,0)*VLOOKUP('Données projet'!$B$13,Paramètres!$A$1:$I$88,5,0)</f>
        <v>-1.1173142411280423E-13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270.10151451661864</v>
      </c>
      <c r="CZ190" s="62">
        <f t="shared" si="150"/>
        <v>294.47934482366804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projet'!$B$13,Paramètres!$A$1:$I$88,3,0)*0.475*44/12</f>
        <v>0</v>
      </c>
      <c r="DG190" s="23">
        <f>EXP(-LN(2)/25)*DG189+(1-EXP(-LN(2)/25))/(LN(2)/25)*Calculateur!DB190*Calculateur!DD190*VLOOKUP('Données projet'!$B$13,Paramètres!$A$1:$I$88,3,0)*0.475*44/12</f>
        <v>0</v>
      </c>
      <c r="DH190" s="23">
        <f>EXP(-LN(2)/2)*DH189+(1-EXP(-LN(2)/2))/(LN(2)/2)*DB190*DE190*VLOOKUP('Données projet'!$B$13,Paramètres!$A$1:$I$88,3,0)*0.475*44/12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69.745992751152997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projet'!$B$14,Paramètres!$A$1:$I$88,3,0)*0.475*44/12</f>
        <v>#N/A</v>
      </c>
      <c r="EB190" s="23" t="e">
        <f>EXP(-LN(2)/25)*EB189+(1-EXP(-LN(2)/25))/(LN(2)/25)*Calculateur!DW190*Calculateur!DY190*VLOOKUP('Données projet'!$B$14,Paramètres!$A$1:$I$88,3,0)*0.475*44/12</f>
        <v>#N/A</v>
      </c>
      <c r="EC190" s="23" t="e">
        <f>EXP(-LN(2)/2)*EC189+(1-EXP(-LN(2)/2))/(LN(2)/2)*DW190*DZ190*VLOOKUP('Données projet'!$B$14,Paramètres!$A$1:$I$88,3,0)*0.475*44/12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69.745992751152997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69.745992751152997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69.745992751152997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69.745992751152997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1.34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4.9133333333333331</v>
      </c>
      <c r="H191" s="70">
        <f t="shared" si="110"/>
        <v>237.01333333333332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69.750399209045355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-5.1159076974727213E-13</v>
      </c>
      <c r="O191" s="14">
        <f>N191*VLOOKUP('Données projet'!$B$9,Paramètres!$A$1:$I$88,3,0)*VLOOKUP('Données projet'!$B$9,Paramètres!$A$1:$I$88,5,0)</f>
        <v>-5.1875304052373401E-13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488.16146816015231</v>
      </c>
      <c r="T191" s="62">
        <f t="shared" si="142"/>
        <v>259.37115195552127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0</v>
      </c>
      <c r="AA191" s="23">
        <f>EXP(-LN(2)/25)*AA190+(1-EXP(-LN(2)/25))/(LN(2)/25)*Calculateur!V191*Calculateur!X191*VLOOKUP('Données projet'!$B$9,Paramètres!$A$1:$I$88,3,0)*0.475*44/12</f>
        <v>0</v>
      </c>
      <c r="AB191" s="23">
        <f>EXP(-LN(2)/2)*AB190+(1-EXP(-LN(2)/2))/(LN(2)/2)*V191*Y191*VLOOKUP('Données projet'!$B$9,Paramètres!$A$1:$I$88,3,0)*0.475*44/12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69.750399209045355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-5.1159076974727213E-13</v>
      </c>
      <c r="AJ191" s="14">
        <f>AI191*VLOOKUP('Données projet'!$B$10,Paramètres!$A$1:$I$88,3,0)*VLOOKUP('Données projet'!$B$10,Paramètres!$A$1:$I$88,5,0)</f>
        <v>-4.6288732846733184E-13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441.34749554136755</v>
      </c>
      <c r="AO191" s="62">
        <f t="shared" si="144"/>
        <v>236.49038586666222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0</v>
      </c>
      <c r="AV191" s="23">
        <f>EXP(-LN(2)/25)*AV190+(1-EXP(-LN(2)/25))/(LN(2)/25)*Calculateur!AQ191*Calculateur!AS191*VLOOKUP('Données projet'!$B$10,Paramètres!$A$1:$I$88,3,0)*0.475*44/12</f>
        <v>0</v>
      </c>
      <c r="AW191" s="23">
        <f>EXP(-LN(2)/2)*AW190+(1-EXP(-LN(2)/2))/(LN(2)/2)*AQ191*AT191*VLOOKUP('Données projet'!$B$10,Paramètres!$A$1:$I$88,3,0)*0.475*44/12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69.750399209045355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-5.1159076974727213E-13</v>
      </c>
      <c r="BE191" s="14">
        <f>BD191*VLOOKUP('Données projet'!$B$11,Paramètres!$A$1:$I$88,3,0)*VLOOKUP('Données projet'!$B$11,Paramètres!$A$1:$I$88,5,0)</f>
        <v>-5.5067630455596371E-13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514.86487884889584</v>
      </c>
      <c r="BJ191" s="62">
        <f t="shared" si="146"/>
        <v>272.4206208356191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projet'!$B$11,Paramètres!$A$1:$I$88,3,0)*0.475*44/12</f>
        <v>0</v>
      </c>
      <c r="BQ191" s="23">
        <f>EXP(-LN(2)/25)*BQ190+(1-EXP(-LN(2)/25))/(LN(2)/25)*Calculateur!BL191*Calculateur!BN191*VLOOKUP('Données projet'!$B$11,Paramètres!$A$1:$I$88,3,0)*0.475*44/12</f>
        <v>0</v>
      </c>
      <c r="BR191" s="23">
        <f>EXP(-LN(2)/2)*BR190+(1-EXP(-LN(2)/2))/(LN(2)/2)*BL191*BO191*VLOOKUP('Données projet'!$B$11,Paramètres!$A$1:$I$88,3,0)*0.475*44/12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69.750399209045355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-1.7053025658242404E-13</v>
      </c>
      <c r="BZ191" s="14">
        <f>BY191*VLOOKUP('Données projet'!$B$12,Paramètres!$A$1:$I$88,3,0)*VLOOKUP('Données projet'!$B$12,Paramètres!$A$1:$I$88,5,0)</f>
        <v>-1.1173142411280423E-13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270.10151451661864</v>
      </c>
      <c r="CE191" s="62">
        <f t="shared" si="148"/>
        <v>294.47934482366804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projet'!$B$12,Paramètres!$A$1:$I$88,3,0)*0.475*44/12</f>
        <v>0</v>
      </c>
      <c r="CL191" s="23">
        <f>EXP(-LN(2)/25)*CL190+(1-EXP(-LN(2)/25))/(LN(2)/25)*Calculateur!CG191*Calculateur!CI191*VLOOKUP('Données projet'!$B$12,Paramètres!$A$1:$I$88,3,0)*0.475*44/12</f>
        <v>0</v>
      </c>
      <c r="CM191" s="23">
        <f>EXP(-LN(2)/2)*CM190+(1-EXP(-LN(2)/2))/(LN(2)/2)*CG191*CJ191*VLOOKUP('Données projet'!$B$12,Paramètres!$A$1:$I$88,3,0)*0.475*44/12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69.750399209045355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-1.7053025658242404E-13</v>
      </c>
      <c r="CU191" s="18">
        <f>CT191*VLOOKUP('Données projet'!$B$13,Paramètres!$A$1:$I$88,3,0)*VLOOKUP('Données projet'!$B$13,Paramètres!$A$1:$I$88,5,0)</f>
        <v>-1.1173142411280423E-13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270.10151451661864</v>
      </c>
      <c r="CZ191" s="62">
        <f t="shared" si="150"/>
        <v>294.47934482366804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projet'!$B$13,Paramètres!$A$1:$I$88,3,0)*0.475*44/12</f>
        <v>0</v>
      </c>
      <c r="DG191" s="23">
        <f>EXP(-LN(2)/25)*DG190+(1-EXP(-LN(2)/25))/(LN(2)/25)*Calculateur!DB191*Calculateur!DD191*VLOOKUP('Données projet'!$B$13,Paramètres!$A$1:$I$88,3,0)*0.475*44/12</f>
        <v>0</v>
      </c>
      <c r="DH191" s="23">
        <f>EXP(-LN(2)/2)*DH190+(1-EXP(-LN(2)/2))/(LN(2)/2)*DB191*DE191*VLOOKUP('Données projet'!$B$13,Paramètres!$A$1:$I$88,3,0)*0.475*44/12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69.750399209045355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projet'!$B$14,Paramètres!$A$1:$I$88,3,0)*0.475*44/12</f>
        <v>#N/A</v>
      </c>
      <c r="EB191" s="23" t="e">
        <f>EXP(-LN(2)/25)*EB190+(1-EXP(-LN(2)/25))/(LN(2)/25)*Calculateur!DW191*Calculateur!DY191*VLOOKUP('Données projet'!$B$14,Paramètres!$A$1:$I$88,3,0)*0.475*44/12</f>
        <v>#N/A</v>
      </c>
      <c r="EC191" s="23" t="e">
        <f>EXP(-LN(2)/2)*EC190+(1-EXP(-LN(2)/2))/(LN(2)/2)*DW191*DZ191*VLOOKUP('Données projet'!$B$14,Paramètres!$A$1:$I$88,3,0)*0.475*44/12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69.750399209045355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69.750399209045355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69.750399209045355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69.750399209045355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1.34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4.9133333333333331</v>
      </c>
      <c r="H192" s="70">
        <f t="shared" si="110"/>
        <v>237.01333333333332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69.754729224744651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-5.1159076974727213E-13</v>
      </c>
      <c r="O192" s="14">
        <f>N192*VLOOKUP('Données projet'!$B$9,Paramètres!$A$1:$I$88,3,0)*VLOOKUP('Données projet'!$B$9,Paramètres!$A$1:$I$88,5,0)</f>
        <v>-5.1875304052373401E-13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488.16146816015231</v>
      </c>
      <c r="T192" s="62">
        <f t="shared" si="142"/>
        <v>259.37115195552127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0</v>
      </c>
      <c r="AA192" s="23">
        <f>EXP(-LN(2)/25)*AA191+(1-EXP(-LN(2)/25))/(LN(2)/25)*Calculateur!V192*Calculateur!X192*VLOOKUP('Données projet'!$B$9,Paramètres!$A$1:$I$88,3,0)*0.475*44/12</f>
        <v>0</v>
      </c>
      <c r="AB192" s="23">
        <f>EXP(-LN(2)/2)*AB191+(1-EXP(-LN(2)/2))/(LN(2)/2)*V192*Y192*VLOOKUP('Données projet'!$B$9,Paramètres!$A$1:$I$88,3,0)*0.475*44/12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69.754729224744651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-5.1159076974727213E-13</v>
      </c>
      <c r="AJ192" s="14">
        <f>AI192*VLOOKUP('Données projet'!$B$10,Paramètres!$A$1:$I$88,3,0)*VLOOKUP('Données projet'!$B$10,Paramètres!$A$1:$I$88,5,0)</f>
        <v>-4.6288732846733184E-13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441.34749554136755</v>
      </c>
      <c r="AO192" s="62">
        <f t="shared" si="144"/>
        <v>236.49038586666222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0</v>
      </c>
      <c r="AV192" s="23">
        <f>EXP(-LN(2)/25)*AV191+(1-EXP(-LN(2)/25))/(LN(2)/25)*Calculateur!AQ192*Calculateur!AS192*VLOOKUP('Données projet'!$B$10,Paramètres!$A$1:$I$88,3,0)*0.475*44/12</f>
        <v>0</v>
      </c>
      <c r="AW192" s="23">
        <f>EXP(-LN(2)/2)*AW191+(1-EXP(-LN(2)/2))/(LN(2)/2)*AQ192*AT192*VLOOKUP('Données projet'!$B$10,Paramètres!$A$1:$I$88,3,0)*0.475*44/12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69.754729224744651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-5.1159076974727213E-13</v>
      </c>
      <c r="BE192" s="14">
        <f>BD192*VLOOKUP('Données projet'!$B$11,Paramètres!$A$1:$I$88,3,0)*VLOOKUP('Données projet'!$B$11,Paramètres!$A$1:$I$88,5,0)</f>
        <v>-5.5067630455596371E-13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514.86487884889584</v>
      </c>
      <c r="BJ192" s="62">
        <f t="shared" si="146"/>
        <v>272.4206208356191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projet'!$B$11,Paramètres!$A$1:$I$88,3,0)*0.475*44/12</f>
        <v>0</v>
      </c>
      <c r="BQ192" s="23">
        <f>EXP(-LN(2)/25)*BQ191+(1-EXP(-LN(2)/25))/(LN(2)/25)*Calculateur!BL192*Calculateur!BN192*VLOOKUP('Données projet'!$B$11,Paramètres!$A$1:$I$88,3,0)*0.475*44/12</f>
        <v>0</v>
      </c>
      <c r="BR192" s="23">
        <f>EXP(-LN(2)/2)*BR191+(1-EXP(-LN(2)/2))/(LN(2)/2)*BL192*BO192*VLOOKUP('Données projet'!$B$11,Paramètres!$A$1:$I$88,3,0)*0.475*44/12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69.754729224744651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-1.7053025658242404E-13</v>
      </c>
      <c r="BZ192" s="14">
        <f>BY192*VLOOKUP('Données projet'!$B$12,Paramètres!$A$1:$I$88,3,0)*VLOOKUP('Données projet'!$B$12,Paramètres!$A$1:$I$88,5,0)</f>
        <v>-1.1173142411280423E-13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270.10151451661864</v>
      </c>
      <c r="CE192" s="62">
        <f t="shared" si="148"/>
        <v>294.47934482366804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projet'!$B$12,Paramètres!$A$1:$I$88,3,0)*0.475*44/12</f>
        <v>0</v>
      </c>
      <c r="CL192" s="23">
        <f>EXP(-LN(2)/25)*CL191+(1-EXP(-LN(2)/25))/(LN(2)/25)*Calculateur!CG192*Calculateur!CI192*VLOOKUP('Données projet'!$B$12,Paramètres!$A$1:$I$88,3,0)*0.475*44/12</f>
        <v>0</v>
      </c>
      <c r="CM192" s="23">
        <f>EXP(-LN(2)/2)*CM191+(1-EXP(-LN(2)/2))/(LN(2)/2)*CG192*CJ192*VLOOKUP('Données projet'!$B$12,Paramètres!$A$1:$I$88,3,0)*0.475*44/12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69.754729224744651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-1.7053025658242404E-13</v>
      </c>
      <c r="CU192" s="18">
        <f>CT192*VLOOKUP('Données projet'!$B$13,Paramètres!$A$1:$I$88,3,0)*VLOOKUP('Données projet'!$B$13,Paramètres!$A$1:$I$88,5,0)</f>
        <v>-1.1173142411280423E-13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270.10151451661864</v>
      </c>
      <c r="CZ192" s="62">
        <f t="shared" si="150"/>
        <v>294.47934482366804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projet'!$B$13,Paramètres!$A$1:$I$88,3,0)*0.475*44/12</f>
        <v>0</v>
      </c>
      <c r="DG192" s="23">
        <f>EXP(-LN(2)/25)*DG191+(1-EXP(-LN(2)/25))/(LN(2)/25)*Calculateur!DB192*Calculateur!DD192*VLOOKUP('Données projet'!$B$13,Paramètres!$A$1:$I$88,3,0)*0.475*44/12</f>
        <v>0</v>
      </c>
      <c r="DH192" s="23">
        <f>EXP(-LN(2)/2)*DH191+(1-EXP(-LN(2)/2))/(LN(2)/2)*DB192*DE192*VLOOKUP('Données projet'!$B$13,Paramètres!$A$1:$I$88,3,0)*0.475*44/12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69.754729224744651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projet'!$B$14,Paramètres!$A$1:$I$88,3,0)*0.475*44/12</f>
        <v>#N/A</v>
      </c>
      <c r="EB192" s="23" t="e">
        <f>EXP(-LN(2)/25)*EB191+(1-EXP(-LN(2)/25))/(LN(2)/25)*Calculateur!DW192*Calculateur!DY192*VLOOKUP('Données projet'!$B$14,Paramètres!$A$1:$I$88,3,0)*0.475*44/12</f>
        <v>#N/A</v>
      </c>
      <c r="EC192" s="23" t="e">
        <f>EXP(-LN(2)/2)*EC191+(1-EXP(-LN(2)/2))/(LN(2)/2)*DW192*DZ192*VLOOKUP('Données projet'!$B$14,Paramètres!$A$1:$I$88,3,0)*0.475*44/12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69.754729224744651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69.754729224744651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69.754729224744651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69.754729224744651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1.34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4.9133333333333331</v>
      </c>
      <c r="H193" s="70">
        <f t="shared" si="110"/>
        <v>237.01333333333332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69.758984124352025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-5.1159076974727213E-13</v>
      </c>
      <c r="O193" s="14">
        <f>N193*VLOOKUP('Données projet'!$B$9,Paramètres!$A$1:$I$88,3,0)*VLOOKUP('Données projet'!$B$9,Paramètres!$A$1:$I$88,5,0)</f>
        <v>-5.1875304052373401E-13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488.16146816015231</v>
      </c>
      <c r="T193" s="62">
        <f t="shared" si="142"/>
        <v>259.37115195552127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0</v>
      </c>
      <c r="AA193" s="23">
        <f>EXP(-LN(2)/25)*AA192+(1-EXP(-LN(2)/25))/(LN(2)/25)*Calculateur!V193*Calculateur!X193*VLOOKUP('Données projet'!$B$9,Paramètres!$A$1:$I$88,3,0)*0.475*44/12</f>
        <v>0</v>
      </c>
      <c r="AB193" s="23">
        <f>EXP(-LN(2)/2)*AB192+(1-EXP(-LN(2)/2))/(LN(2)/2)*V193*Y193*VLOOKUP('Données projet'!$B$9,Paramètres!$A$1:$I$88,3,0)*0.475*44/12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69.758984124352025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-5.1159076974727213E-13</v>
      </c>
      <c r="AJ193" s="14">
        <f>AI193*VLOOKUP('Données projet'!$B$10,Paramètres!$A$1:$I$88,3,0)*VLOOKUP('Données projet'!$B$10,Paramètres!$A$1:$I$88,5,0)</f>
        <v>-4.6288732846733184E-13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441.34749554136755</v>
      </c>
      <c r="AO193" s="62">
        <f t="shared" si="144"/>
        <v>236.49038586666222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0</v>
      </c>
      <c r="AV193" s="23">
        <f>EXP(-LN(2)/25)*AV192+(1-EXP(-LN(2)/25))/(LN(2)/25)*Calculateur!AQ193*Calculateur!AS193*VLOOKUP('Données projet'!$B$10,Paramètres!$A$1:$I$88,3,0)*0.475*44/12</f>
        <v>0</v>
      </c>
      <c r="AW193" s="23">
        <f>EXP(-LN(2)/2)*AW192+(1-EXP(-LN(2)/2))/(LN(2)/2)*AQ193*AT193*VLOOKUP('Données projet'!$B$10,Paramètres!$A$1:$I$88,3,0)*0.475*44/12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69.758984124352025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-5.1159076974727213E-13</v>
      </c>
      <c r="BE193" s="14">
        <f>BD193*VLOOKUP('Données projet'!$B$11,Paramètres!$A$1:$I$88,3,0)*VLOOKUP('Données projet'!$B$11,Paramètres!$A$1:$I$88,5,0)</f>
        <v>-5.5067630455596371E-13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514.86487884889584</v>
      </c>
      <c r="BJ193" s="62">
        <f t="shared" si="146"/>
        <v>272.4206208356191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projet'!$B$11,Paramètres!$A$1:$I$88,3,0)*0.475*44/12</f>
        <v>0</v>
      </c>
      <c r="BQ193" s="23">
        <f>EXP(-LN(2)/25)*BQ192+(1-EXP(-LN(2)/25))/(LN(2)/25)*Calculateur!BL193*Calculateur!BN193*VLOOKUP('Données projet'!$B$11,Paramètres!$A$1:$I$88,3,0)*0.475*44/12</f>
        <v>0</v>
      </c>
      <c r="BR193" s="23">
        <f>EXP(-LN(2)/2)*BR192+(1-EXP(-LN(2)/2))/(LN(2)/2)*BL193*BO193*VLOOKUP('Données projet'!$B$11,Paramètres!$A$1:$I$88,3,0)*0.475*44/12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69.758984124352025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-1.7053025658242404E-13</v>
      </c>
      <c r="BZ193" s="14">
        <f>BY193*VLOOKUP('Données projet'!$B$12,Paramètres!$A$1:$I$88,3,0)*VLOOKUP('Données projet'!$B$12,Paramètres!$A$1:$I$88,5,0)</f>
        <v>-1.1173142411280423E-13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270.10151451661864</v>
      </c>
      <c r="CE193" s="62">
        <f t="shared" si="148"/>
        <v>294.47934482366804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projet'!$B$12,Paramètres!$A$1:$I$88,3,0)*0.475*44/12</f>
        <v>0</v>
      </c>
      <c r="CL193" s="23">
        <f>EXP(-LN(2)/25)*CL192+(1-EXP(-LN(2)/25))/(LN(2)/25)*Calculateur!CG193*Calculateur!CI193*VLOOKUP('Données projet'!$B$12,Paramètres!$A$1:$I$88,3,0)*0.475*44/12</f>
        <v>0</v>
      </c>
      <c r="CM193" s="23">
        <f>EXP(-LN(2)/2)*CM192+(1-EXP(-LN(2)/2))/(LN(2)/2)*CG193*CJ193*VLOOKUP('Données projet'!$B$12,Paramètres!$A$1:$I$88,3,0)*0.475*44/12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69.758984124352025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-1.7053025658242404E-13</v>
      </c>
      <c r="CU193" s="18">
        <f>CT193*VLOOKUP('Données projet'!$B$13,Paramètres!$A$1:$I$88,3,0)*VLOOKUP('Données projet'!$B$13,Paramètres!$A$1:$I$88,5,0)</f>
        <v>-1.1173142411280423E-13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270.10151451661864</v>
      </c>
      <c r="CZ193" s="62">
        <f t="shared" si="150"/>
        <v>294.47934482366804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projet'!$B$13,Paramètres!$A$1:$I$88,3,0)*0.475*44/12</f>
        <v>0</v>
      </c>
      <c r="DG193" s="23">
        <f>EXP(-LN(2)/25)*DG192+(1-EXP(-LN(2)/25))/(LN(2)/25)*Calculateur!DB193*Calculateur!DD193*VLOOKUP('Données projet'!$B$13,Paramètres!$A$1:$I$88,3,0)*0.475*44/12</f>
        <v>0</v>
      </c>
      <c r="DH193" s="23">
        <f>EXP(-LN(2)/2)*DH192+(1-EXP(-LN(2)/2))/(LN(2)/2)*DB193*DE193*VLOOKUP('Données projet'!$B$13,Paramètres!$A$1:$I$88,3,0)*0.475*44/12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69.758984124352025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projet'!$B$14,Paramètres!$A$1:$I$88,3,0)*0.475*44/12</f>
        <v>#N/A</v>
      </c>
      <c r="EB193" s="23" t="e">
        <f>EXP(-LN(2)/25)*EB192+(1-EXP(-LN(2)/25))/(LN(2)/25)*Calculateur!DW193*Calculateur!DY193*VLOOKUP('Données projet'!$B$14,Paramètres!$A$1:$I$88,3,0)*0.475*44/12</f>
        <v>#N/A</v>
      </c>
      <c r="EC193" s="23" t="e">
        <f>EXP(-LN(2)/2)*EC192+(1-EXP(-LN(2)/2))/(LN(2)/2)*DW193*DZ193*VLOOKUP('Données projet'!$B$14,Paramètres!$A$1:$I$88,3,0)*0.475*44/12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69.758984124352025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69.758984124352025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69.758984124352025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69.758984124352025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1.34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4.9133333333333331</v>
      </c>
      <c r="H194" s="70">
        <f t="shared" si="110"/>
        <v>237.01333333333332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69.763165210963734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-5.1159076974727213E-13</v>
      </c>
      <c r="O194" s="14">
        <f>N194*VLOOKUP('Données projet'!$B$9,Paramètres!$A$1:$I$88,3,0)*VLOOKUP('Données projet'!$B$9,Paramètres!$A$1:$I$88,5,0)</f>
        <v>-5.1875304052373401E-13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488.16146816015231</v>
      </c>
      <c r="T194" s="62">
        <f t="shared" si="142"/>
        <v>259.37115195552127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0</v>
      </c>
      <c r="AA194" s="23">
        <f>EXP(-LN(2)/25)*AA193+(1-EXP(-LN(2)/25))/(LN(2)/25)*Calculateur!V194*Calculateur!X194*VLOOKUP('Données projet'!$B$9,Paramètres!$A$1:$I$88,3,0)*0.475*44/12</f>
        <v>0</v>
      </c>
      <c r="AB194" s="23">
        <f>EXP(-LN(2)/2)*AB193+(1-EXP(-LN(2)/2))/(LN(2)/2)*V194*Y194*VLOOKUP('Données projet'!$B$9,Paramètres!$A$1:$I$88,3,0)*0.475*44/12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69.763165210963734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-5.1159076974727213E-13</v>
      </c>
      <c r="AJ194" s="14">
        <f>AI194*VLOOKUP('Données projet'!$B$10,Paramètres!$A$1:$I$88,3,0)*VLOOKUP('Données projet'!$B$10,Paramètres!$A$1:$I$88,5,0)</f>
        <v>-4.6288732846733184E-13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441.34749554136755</v>
      </c>
      <c r="AO194" s="62">
        <f t="shared" si="144"/>
        <v>236.49038586666222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0</v>
      </c>
      <c r="AV194" s="23">
        <f>EXP(-LN(2)/25)*AV193+(1-EXP(-LN(2)/25))/(LN(2)/25)*Calculateur!AQ194*Calculateur!AS194*VLOOKUP('Données projet'!$B$10,Paramètres!$A$1:$I$88,3,0)*0.475*44/12</f>
        <v>0</v>
      </c>
      <c r="AW194" s="23">
        <f>EXP(-LN(2)/2)*AW193+(1-EXP(-LN(2)/2))/(LN(2)/2)*AQ194*AT194*VLOOKUP('Données projet'!$B$10,Paramètres!$A$1:$I$88,3,0)*0.475*44/12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69.763165210963734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-5.1159076974727213E-13</v>
      </c>
      <c r="BE194" s="14">
        <f>BD194*VLOOKUP('Données projet'!$B$11,Paramètres!$A$1:$I$88,3,0)*VLOOKUP('Données projet'!$B$11,Paramètres!$A$1:$I$88,5,0)</f>
        <v>-5.5067630455596371E-13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514.86487884889584</v>
      </c>
      <c r="BJ194" s="62">
        <f t="shared" si="146"/>
        <v>272.4206208356191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projet'!$B$11,Paramètres!$A$1:$I$88,3,0)*0.475*44/12</f>
        <v>0</v>
      </c>
      <c r="BQ194" s="23">
        <f>EXP(-LN(2)/25)*BQ193+(1-EXP(-LN(2)/25))/(LN(2)/25)*Calculateur!BL194*Calculateur!BN194*VLOOKUP('Données projet'!$B$11,Paramètres!$A$1:$I$88,3,0)*0.475*44/12</f>
        <v>0</v>
      </c>
      <c r="BR194" s="23">
        <f>EXP(-LN(2)/2)*BR193+(1-EXP(-LN(2)/2))/(LN(2)/2)*BL194*BO194*VLOOKUP('Données projet'!$B$11,Paramètres!$A$1:$I$88,3,0)*0.475*44/12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69.763165210963734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-1.7053025658242404E-13</v>
      </c>
      <c r="BZ194" s="14">
        <f>BY194*VLOOKUP('Données projet'!$B$12,Paramètres!$A$1:$I$88,3,0)*VLOOKUP('Données projet'!$B$12,Paramètres!$A$1:$I$88,5,0)</f>
        <v>-1.1173142411280423E-13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270.10151451661864</v>
      </c>
      <c r="CE194" s="62">
        <f t="shared" si="148"/>
        <v>294.47934482366804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projet'!$B$12,Paramètres!$A$1:$I$88,3,0)*0.475*44/12</f>
        <v>0</v>
      </c>
      <c r="CL194" s="23">
        <f>EXP(-LN(2)/25)*CL193+(1-EXP(-LN(2)/25))/(LN(2)/25)*Calculateur!CG194*Calculateur!CI194*VLOOKUP('Données projet'!$B$12,Paramètres!$A$1:$I$88,3,0)*0.475*44/12</f>
        <v>0</v>
      </c>
      <c r="CM194" s="23">
        <f>EXP(-LN(2)/2)*CM193+(1-EXP(-LN(2)/2))/(LN(2)/2)*CG194*CJ194*VLOOKUP('Données projet'!$B$12,Paramètres!$A$1:$I$88,3,0)*0.475*44/12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69.763165210963734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-1.7053025658242404E-13</v>
      </c>
      <c r="CU194" s="18">
        <f>CT194*VLOOKUP('Données projet'!$B$13,Paramètres!$A$1:$I$88,3,0)*VLOOKUP('Données projet'!$B$13,Paramètres!$A$1:$I$88,5,0)</f>
        <v>-1.1173142411280423E-13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270.10151451661864</v>
      </c>
      <c r="CZ194" s="62">
        <f t="shared" si="150"/>
        <v>294.47934482366804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projet'!$B$13,Paramètres!$A$1:$I$88,3,0)*0.475*44/12</f>
        <v>0</v>
      </c>
      <c r="DG194" s="23">
        <f>EXP(-LN(2)/25)*DG193+(1-EXP(-LN(2)/25))/(LN(2)/25)*Calculateur!DB194*Calculateur!DD194*VLOOKUP('Données projet'!$B$13,Paramètres!$A$1:$I$88,3,0)*0.475*44/12</f>
        <v>0</v>
      </c>
      <c r="DH194" s="23">
        <f>EXP(-LN(2)/2)*DH193+(1-EXP(-LN(2)/2))/(LN(2)/2)*DB194*DE194*VLOOKUP('Données projet'!$B$13,Paramètres!$A$1:$I$88,3,0)*0.475*44/12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69.763165210963734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projet'!$B$14,Paramètres!$A$1:$I$88,3,0)*0.475*44/12</f>
        <v>#N/A</v>
      </c>
      <c r="EB194" s="23" t="e">
        <f>EXP(-LN(2)/25)*EB193+(1-EXP(-LN(2)/25))/(LN(2)/25)*Calculateur!DW194*Calculateur!DY194*VLOOKUP('Données projet'!$B$14,Paramètres!$A$1:$I$88,3,0)*0.475*44/12</f>
        <v>#N/A</v>
      </c>
      <c r="EC194" s="23" t="e">
        <f>EXP(-LN(2)/2)*EC193+(1-EXP(-LN(2)/2))/(LN(2)/2)*DW194*DZ194*VLOOKUP('Données projet'!$B$14,Paramètres!$A$1:$I$88,3,0)*0.475*44/12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69.763165210963734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69.763165210963734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69.763165210963734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69.763165210963734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1.34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4.9133333333333331</v>
      </c>
      <c r="H195" s="70">
        <f t="shared" si="110"/>
        <v>237.01333333333332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69.767273765070257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-5.1159076974727213E-13</v>
      </c>
      <c r="O195" s="14">
        <f>N195*VLOOKUP('Données projet'!$B$9,Paramètres!$A$1:$I$88,3,0)*VLOOKUP('Données projet'!$B$9,Paramètres!$A$1:$I$88,5,0)</f>
        <v>-5.1875304052373401E-13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488.16146816015231</v>
      </c>
      <c r="T195" s="62">
        <f t="shared" si="142"/>
        <v>259.37115195552127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0</v>
      </c>
      <c r="AA195" s="23">
        <f>EXP(-LN(2)/25)*AA194+(1-EXP(-LN(2)/25))/(LN(2)/25)*Calculateur!V195*Calculateur!X195*VLOOKUP('Données projet'!$B$9,Paramètres!$A$1:$I$88,3,0)*0.475*44/12</f>
        <v>0</v>
      </c>
      <c r="AB195" s="23">
        <f>EXP(-LN(2)/2)*AB194+(1-EXP(-LN(2)/2))/(LN(2)/2)*V195*Y195*VLOOKUP('Données projet'!$B$9,Paramètres!$A$1:$I$88,3,0)*0.475*44/12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69.767273765070257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-5.1159076974727213E-13</v>
      </c>
      <c r="AJ195" s="14">
        <f>AI195*VLOOKUP('Données projet'!$B$10,Paramètres!$A$1:$I$88,3,0)*VLOOKUP('Données projet'!$B$10,Paramètres!$A$1:$I$88,5,0)</f>
        <v>-4.6288732846733184E-13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441.34749554136755</v>
      </c>
      <c r="AO195" s="62">
        <f t="shared" si="144"/>
        <v>236.49038586666222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0</v>
      </c>
      <c r="AV195" s="23">
        <f>EXP(-LN(2)/25)*AV194+(1-EXP(-LN(2)/25))/(LN(2)/25)*Calculateur!AQ195*Calculateur!AS195*VLOOKUP('Données projet'!$B$10,Paramètres!$A$1:$I$88,3,0)*0.475*44/12</f>
        <v>0</v>
      </c>
      <c r="AW195" s="23">
        <f>EXP(-LN(2)/2)*AW194+(1-EXP(-LN(2)/2))/(LN(2)/2)*AQ195*AT195*VLOOKUP('Données projet'!$B$10,Paramètres!$A$1:$I$88,3,0)*0.475*44/12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69.767273765070257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-5.1159076974727213E-13</v>
      </c>
      <c r="BE195" s="14">
        <f>BD195*VLOOKUP('Données projet'!$B$11,Paramètres!$A$1:$I$88,3,0)*VLOOKUP('Données projet'!$B$11,Paramètres!$A$1:$I$88,5,0)</f>
        <v>-5.5067630455596371E-13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514.86487884889584</v>
      </c>
      <c r="BJ195" s="62">
        <f t="shared" si="146"/>
        <v>272.4206208356191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projet'!$B$11,Paramètres!$A$1:$I$88,3,0)*0.475*44/12</f>
        <v>0</v>
      </c>
      <c r="BQ195" s="23">
        <f>EXP(-LN(2)/25)*BQ194+(1-EXP(-LN(2)/25))/(LN(2)/25)*Calculateur!BL195*Calculateur!BN195*VLOOKUP('Données projet'!$B$11,Paramètres!$A$1:$I$88,3,0)*0.475*44/12</f>
        <v>0</v>
      </c>
      <c r="BR195" s="23">
        <f>EXP(-LN(2)/2)*BR194+(1-EXP(-LN(2)/2))/(LN(2)/2)*BL195*BO195*VLOOKUP('Données projet'!$B$11,Paramètres!$A$1:$I$88,3,0)*0.475*44/12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69.767273765070257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-1.7053025658242404E-13</v>
      </c>
      <c r="BZ195" s="14">
        <f>BY195*VLOOKUP('Données projet'!$B$12,Paramètres!$A$1:$I$88,3,0)*VLOOKUP('Données projet'!$B$12,Paramètres!$A$1:$I$88,5,0)</f>
        <v>-1.1173142411280423E-13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270.10151451661864</v>
      </c>
      <c r="CE195" s="62">
        <f t="shared" si="148"/>
        <v>294.47934482366804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projet'!$B$12,Paramètres!$A$1:$I$88,3,0)*0.475*44/12</f>
        <v>0</v>
      </c>
      <c r="CL195" s="23">
        <f>EXP(-LN(2)/25)*CL194+(1-EXP(-LN(2)/25))/(LN(2)/25)*Calculateur!CG195*Calculateur!CI195*VLOOKUP('Données projet'!$B$12,Paramètres!$A$1:$I$88,3,0)*0.475*44/12</f>
        <v>0</v>
      </c>
      <c r="CM195" s="23">
        <f>EXP(-LN(2)/2)*CM194+(1-EXP(-LN(2)/2))/(LN(2)/2)*CG195*CJ195*VLOOKUP('Données projet'!$B$12,Paramètres!$A$1:$I$88,3,0)*0.475*44/12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69.767273765070257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-1.7053025658242404E-13</v>
      </c>
      <c r="CU195" s="18">
        <f>CT195*VLOOKUP('Données projet'!$B$13,Paramètres!$A$1:$I$88,3,0)*VLOOKUP('Données projet'!$B$13,Paramètres!$A$1:$I$88,5,0)</f>
        <v>-1.1173142411280423E-13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270.10151451661864</v>
      </c>
      <c r="CZ195" s="62">
        <f t="shared" si="150"/>
        <v>294.47934482366804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projet'!$B$13,Paramètres!$A$1:$I$88,3,0)*0.475*44/12</f>
        <v>0</v>
      </c>
      <c r="DG195" s="23">
        <f>EXP(-LN(2)/25)*DG194+(1-EXP(-LN(2)/25))/(LN(2)/25)*Calculateur!DB195*Calculateur!DD195*VLOOKUP('Données projet'!$B$13,Paramètres!$A$1:$I$88,3,0)*0.475*44/12</f>
        <v>0</v>
      </c>
      <c r="DH195" s="23">
        <f>EXP(-LN(2)/2)*DH194+(1-EXP(-LN(2)/2))/(LN(2)/2)*DB195*DE195*VLOOKUP('Données projet'!$B$13,Paramètres!$A$1:$I$88,3,0)*0.475*44/12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69.767273765070257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projet'!$B$14,Paramètres!$A$1:$I$88,3,0)*0.475*44/12</f>
        <v>#N/A</v>
      </c>
      <c r="EB195" s="23" t="e">
        <f>EXP(-LN(2)/25)*EB194+(1-EXP(-LN(2)/25))/(LN(2)/25)*Calculateur!DW195*Calculateur!DY195*VLOOKUP('Données projet'!$B$14,Paramètres!$A$1:$I$88,3,0)*0.475*44/12</f>
        <v>#N/A</v>
      </c>
      <c r="EC195" s="23" t="e">
        <f>EXP(-LN(2)/2)*EC194+(1-EXP(-LN(2)/2))/(LN(2)/2)*DW195*DZ195*VLOOKUP('Données projet'!$B$14,Paramètres!$A$1:$I$88,3,0)*0.475*44/12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69.767273765070257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69.767273765070257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69.767273765070257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69.767273765070257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1.34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4.9133333333333331</v>
      </c>
      <c r="H196" s="70">
        <f t="shared" ref="H196:H203" si="192">(B196+E196+F196)*44/12+(C196+D196)*0.475*44/12</f>
        <v>237.01333333333332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69.771311044948362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-5.1159076974727213E-13</v>
      </c>
      <c r="O196" s="14">
        <f>N196*VLOOKUP('Données projet'!$B$9,Paramètres!$A$1:$I$88,3,0)*VLOOKUP('Données projet'!$B$9,Paramètres!$A$1:$I$88,5,0)</f>
        <v>-5.1875304052373401E-13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488.16146816015231</v>
      </c>
      <c r="T196" s="62">
        <f t="shared" si="142"/>
        <v>259.37115195552127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0</v>
      </c>
      <c r="AA196" s="23">
        <f>EXP(-LN(2)/25)*AA195+(1-EXP(-LN(2)/25))/(LN(2)/25)*Calculateur!V196*Calculateur!X196*VLOOKUP('Données projet'!$B$9,Paramètres!$A$1:$I$88,3,0)*0.475*44/12</f>
        <v>0</v>
      </c>
      <c r="AB196" s="23">
        <f>EXP(-LN(2)/2)*AB195+(1-EXP(-LN(2)/2))/(LN(2)/2)*V196*Y196*VLOOKUP('Données projet'!$B$9,Paramètres!$A$1:$I$88,3,0)*0.475*44/12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69.771311044948362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-5.1159076974727213E-13</v>
      </c>
      <c r="AJ196" s="14">
        <f>AI196*VLOOKUP('Données projet'!$B$10,Paramètres!$A$1:$I$88,3,0)*VLOOKUP('Données projet'!$B$10,Paramètres!$A$1:$I$88,5,0)</f>
        <v>-4.6288732846733184E-13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441.34749554136755</v>
      </c>
      <c r="AO196" s="62">
        <f t="shared" si="144"/>
        <v>236.49038586666222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0</v>
      </c>
      <c r="AV196" s="23">
        <f>EXP(-LN(2)/25)*AV195+(1-EXP(-LN(2)/25))/(LN(2)/25)*Calculateur!AQ196*Calculateur!AS196*VLOOKUP('Données projet'!$B$10,Paramètres!$A$1:$I$88,3,0)*0.475*44/12</f>
        <v>0</v>
      </c>
      <c r="AW196" s="23">
        <f>EXP(-LN(2)/2)*AW195+(1-EXP(-LN(2)/2))/(LN(2)/2)*AQ196*AT196*VLOOKUP('Données projet'!$B$10,Paramètres!$A$1:$I$88,3,0)*0.475*44/12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69.771311044948362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-5.1159076974727213E-13</v>
      </c>
      <c r="BE196" s="14">
        <f>BD196*VLOOKUP('Données projet'!$B$11,Paramètres!$A$1:$I$88,3,0)*VLOOKUP('Données projet'!$B$11,Paramètres!$A$1:$I$88,5,0)</f>
        <v>-5.5067630455596371E-13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514.86487884889584</v>
      </c>
      <c r="BJ196" s="62">
        <f t="shared" si="146"/>
        <v>272.4206208356191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projet'!$B$11,Paramètres!$A$1:$I$88,3,0)*0.475*44/12</f>
        <v>0</v>
      </c>
      <c r="BQ196" s="23">
        <f>EXP(-LN(2)/25)*BQ195+(1-EXP(-LN(2)/25))/(LN(2)/25)*Calculateur!BL196*Calculateur!BN196*VLOOKUP('Données projet'!$B$11,Paramètres!$A$1:$I$88,3,0)*0.475*44/12</f>
        <v>0</v>
      </c>
      <c r="BR196" s="23">
        <f>EXP(-LN(2)/2)*BR195+(1-EXP(-LN(2)/2))/(LN(2)/2)*BL196*BO196*VLOOKUP('Données projet'!$B$11,Paramètres!$A$1:$I$88,3,0)*0.475*44/12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69.771311044948362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-1.7053025658242404E-13</v>
      </c>
      <c r="BZ196" s="14">
        <f>BY196*VLOOKUP('Données projet'!$B$12,Paramètres!$A$1:$I$88,3,0)*VLOOKUP('Données projet'!$B$12,Paramètres!$A$1:$I$88,5,0)</f>
        <v>-1.1173142411280423E-13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270.10151451661864</v>
      </c>
      <c r="CE196" s="62">
        <f t="shared" si="148"/>
        <v>294.47934482366804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projet'!$B$12,Paramètres!$A$1:$I$88,3,0)*0.475*44/12</f>
        <v>0</v>
      </c>
      <c r="CL196" s="23">
        <f>EXP(-LN(2)/25)*CL195+(1-EXP(-LN(2)/25))/(LN(2)/25)*Calculateur!CG196*Calculateur!CI196*VLOOKUP('Données projet'!$B$12,Paramètres!$A$1:$I$88,3,0)*0.475*44/12</f>
        <v>0</v>
      </c>
      <c r="CM196" s="23">
        <f>EXP(-LN(2)/2)*CM195+(1-EXP(-LN(2)/2))/(LN(2)/2)*CG196*CJ196*VLOOKUP('Données projet'!$B$12,Paramètres!$A$1:$I$88,3,0)*0.475*44/12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69.771311044948362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-1.7053025658242404E-13</v>
      </c>
      <c r="CU196" s="18">
        <f>CT196*VLOOKUP('Données projet'!$B$13,Paramètres!$A$1:$I$88,3,0)*VLOOKUP('Données projet'!$B$13,Paramètres!$A$1:$I$88,5,0)</f>
        <v>-1.1173142411280423E-13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270.10151451661864</v>
      </c>
      <c r="CZ196" s="62">
        <f t="shared" si="150"/>
        <v>294.47934482366804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projet'!$B$13,Paramètres!$A$1:$I$88,3,0)*0.475*44/12</f>
        <v>0</v>
      </c>
      <c r="DG196" s="23">
        <f>EXP(-LN(2)/25)*DG195+(1-EXP(-LN(2)/25))/(LN(2)/25)*Calculateur!DB196*Calculateur!DD196*VLOOKUP('Données projet'!$B$13,Paramètres!$A$1:$I$88,3,0)*0.475*44/12</f>
        <v>0</v>
      </c>
      <c r="DH196" s="23">
        <f>EXP(-LN(2)/2)*DH195+(1-EXP(-LN(2)/2))/(LN(2)/2)*DB196*DE196*VLOOKUP('Données projet'!$B$13,Paramètres!$A$1:$I$88,3,0)*0.475*44/12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69.771311044948362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projet'!$B$14,Paramètres!$A$1:$I$88,3,0)*0.475*44/12</f>
        <v>#N/A</v>
      </c>
      <c r="EB196" s="23" t="e">
        <f>EXP(-LN(2)/25)*EB195+(1-EXP(-LN(2)/25))/(LN(2)/25)*Calculateur!DW196*Calculateur!DY196*VLOOKUP('Données projet'!$B$14,Paramètres!$A$1:$I$88,3,0)*0.475*44/12</f>
        <v>#N/A</v>
      </c>
      <c r="EC196" s="23" t="e">
        <f>EXP(-LN(2)/2)*EC195+(1-EXP(-LN(2)/2))/(LN(2)/2)*DW196*DZ196*VLOOKUP('Données projet'!$B$14,Paramètres!$A$1:$I$88,3,0)*0.475*44/12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69.771311044948362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69.771311044948362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69.771311044948362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69.771311044948362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1.34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4.9133333333333331</v>
      </c>
      <c r="H197" s="70">
        <f t="shared" si="192"/>
        <v>237.01333333333332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69.775278287046604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-5.1159076974727213E-13</v>
      </c>
      <c r="O197" s="14">
        <f>N197*VLOOKUP('Données projet'!$B$9,Paramètres!$A$1:$I$88,3,0)*VLOOKUP('Données projet'!$B$9,Paramètres!$A$1:$I$88,5,0)</f>
        <v>-5.1875304052373401E-13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488.16146816015231</v>
      </c>
      <c r="T197" s="62">
        <f t="shared" ref="T197:T203" si="204">$T$3</f>
        <v>259.37115195552127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0</v>
      </c>
      <c r="AA197" s="23">
        <f>EXP(-LN(2)/25)*AA196+(1-EXP(-LN(2)/25))/(LN(2)/25)*Calculateur!V197*Calculateur!X197*VLOOKUP('Données projet'!$B$9,Paramètres!$A$1:$I$88,3,0)*0.475*44/12</f>
        <v>0</v>
      </c>
      <c r="AB197" s="23">
        <f>EXP(-LN(2)/2)*AB196+(1-EXP(-LN(2)/2))/(LN(2)/2)*V197*Y197*VLOOKUP('Données projet'!$B$9,Paramètres!$A$1:$I$88,3,0)*0.475*44/12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69.775278287046604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-5.1159076974727213E-13</v>
      </c>
      <c r="AJ197" s="14">
        <f>AI197*VLOOKUP('Données projet'!$B$10,Paramètres!$A$1:$I$88,3,0)*VLOOKUP('Données projet'!$B$10,Paramètres!$A$1:$I$88,5,0)</f>
        <v>-4.6288732846733184E-13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441.34749554136755</v>
      </c>
      <c r="AO197" s="62">
        <f t="shared" ref="AO197:AO203" si="205">$AO$3</f>
        <v>236.49038586666222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0</v>
      </c>
      <c r="AV197" s="23">
        <f>EXP(-LN(2)/25)*AV196+(1-EXP(-LN(2)/25))/(LN(2)/25)*Calculateur!AQ197*Calculateur!AS197*VLOOKUP('Données projet'!$B$10,Paramètres!$A$1:$I$88,3,0)*0.475*44/12</f>
        <v>0</v>
      </c>
      <c r="AW197" s="23">
        <f>EXP(-LN(2)/2)*AW196+(1-EXP(-LN(2)/2))/(LN(2)/2)*AQ197*AT197*VLOOKUP('Données projet'!$B$10,Paramètres!$A$1:$I$88,3,0)*0.475*44/12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69.775278287046604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-5.1159076974727213E-13</v>
      </c>
      <c r="BE197" s="14">
        <f>BD197*VLOOKUP('Données projet'!$B$11,Paramètres!$A$1:$I$88,3,0)*VLOOKUP('Données projet'!$B$11,Paramètres!$A$1:$I$88,5,0)</f>
        <v>-5.5067630455596371E-13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514.86487884889584</v>
      </c>
      <c r="BJ197" s="62">
        <f t="shared" ref="BJ197:BJ203" si="206">$BJ$3</f>
        <v>272.4206208356191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projet'!$B$11,Paramètres!$A$1:$I$88,3,0)*0.475*44/12</f>
        <v>0</v>
      </c>
      <c r="BQ197" s="23">
        <f>EXP(-LN(2)/25)*BQ196+(1-EXP(-LN(2)/25))/(LN(2)/25)*Calculateur!BL197*Calculateur!BN197*VLOOKUP('Données projet'!$B$11,Paramètres!$A$1:$I$88,3,0)*0.475*44/12</f>
        <v>0</v>
      </c>
      <c r="BR197" s="23">
        <f>EXP(-LN(2)/2)*BR196+(1-EXP(-LN(2)/2))/(LN(2)/2)*BL197*BO197*VLOOKUP('Données projet'!$B$11,Paramètres!$A$1:$I$88,3,0)*0.475*44/12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69.775278287046604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-1.7053025658242404E-13</v>
      </c>
      <c r="BZ197" s="14">
        <f>BY197*VLOOKUP('Données projet'!$B$12,Paramètres!$A$1:$I$88,3,0)*VLOOKUP('Données projet'!$B$12,Paramètres!$A$1:$I$88,5,0)</f>
        <v>-1.1173142411280423E-13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270.10151451661864</v>
      </c>
      <c r="CE197" s="62">
        <f t="shared" ref="CE197:CE203" si="207">$CE$3</f>
        <v>294.47934482366804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projet'!$B$12,Paramètres!$A$1:$I$88,3,0)*0.475*44/12</f>
        <v>0</v>
      </c>
      <c r="CL197" s="23">
        <f>EXP(-LN(2)/25)*CL196+(1-EXP(-LN(2)/25))/(LN(2)/25)*Calculateur!CG197*Calculateur!CI197*VLOOKUP('Données projet'!$B$12,Paramètres!$A$1:$I$88,3,0)*0.475*44/12</f>
        <v>0</v>
      </c>
      <c r="CM197" s="23">
        <f>EXP(-LN(2)/2)*CM196+(1-EXP(-LN(2)/2))/(LN(2)/2)*CG197*CJ197*VLOOKUP('Données projet'!$B$12,Paramètres!$A$1:$I$88,3,0)*0.475*44/12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69.775278287046604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-1.7053025658242404E-13</v>
      </c>
      <c r="CU197" s="18">
        <f>CT197*VLOOKUP('Données projet'!$B$13,Paramètres!$A$1:$I$88,3,0)*VLOOKUP('Données projet'!$B$13,Paramètres!$A$1:$I$88,5,0)</f>
        <v>-1.1173142411280423E-13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270.10151451661864</v>
      </c>
      <c r="CZ197" s="62">
        <f t="shared" ref="CZ197:CZ203" si="208">$CZ$3</f>
        <v>294.47934482366804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projet'!$B$13,Paramètres!$A$1:$I$88,3,0)*0.475*44/12</f>
        <v>0</v>
      </c>
      <c r="DG197" s="23">
        <f>EXP(-LN(2)/25)*DG196+(1-EXP(-LN(2)/25))/(LN(2)/25)*Calculateur!DB197*Calculateur!DD197*VLOOKUP('Données projet'!$B$13,Paramètres!$A$1:$I$88,3,0)*0.475*44/12</f>
        <v>0</v>
      </c>
      <c r="DH197" s="23">
        <f>EXP(-LN(2)/2)*DH196+(1-EXP(-LN(2)/2))/(LN(2)/2)*DB197*DE197*VLOOKUP('Données projet'!$B$13,Paramètres!$A$1:$I$88,3,0)*0.475*44/12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69.775278287046604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projet'!$B$14,Paramètres!$A$1:$I$88,3,0)*0.475*44/12</f>
        <v>#N/A</v>
      </c>
      <c r="EB197" s="23" t="e">
        <f>EXP(-LN(2)/25)*EB196+(1-EXP(-LN(2)/25))/(LN(2)/25)*Calculateur!DW197*Calculateur!DY197*VLOOKUP('Données projet'!$B$14,Paramètres!$A$1:$I$88,3,0)*0.475*44/12</f>
        <v>#N/A</v>
      </c>
      <c r="EC197" s="23" t="e">
        <f>EXP(-LN(2)/2)*EC196+(1-EXP(-LN(2)/2))/(LN(2)/2)*DW197*DZ197*VLOOKUP('Données projet'!$B$14,Paramètres!$A$1:$I$88,3,0)*0.475*44/12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69.775278287046604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69.775278287046604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69.775278287046604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69.775278287046604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1.34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4.9133333333333331</v>
      </c>
      <c r="H198" s="70">
        <f t="shared" si="192"/>
        <v>237.01333333333332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69.77917670636387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-5.1159076974727213E-13</v>
      </c>
      <c r="O198" s="14">
        <f>N198*VLOOKUP('Données projet'!$B$9,Paramètres!$A$1:$I$88,3,0)*VLOOKUP('Données projet'!$B$9,Paramètres!$A$1:$I$88,5,0)</f>
        <v>-5.1875304052373401E-13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488.16146816015231</v>
      </c>
      <c r="T198" s="62">
        <f t="shared" si="204"/>
        <v>259.37115195552127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0</v>
      </c>
      <c r="AA198" s="23">
        <f>EXP(-LN(2)/25)*AA197+(1-EXP(-LN(2)/25))/(LN(2)/25)*Calculateur!V198*Calculateur!X198*VLOOKUP('Données projet'!$B$9,Paramètres!$A$1:$I$88,3,0)*0.475*44/12</f>
        <v>0</v>
      </c>
      <c r="AB198" s="23">
        <f>EXP(-LN(2)/2)*AB197+(1-EXP(-LN(2)/2))/(LN(2)/2)*V198*Y198*VLOOKUP('Données projet'!$B$9,Paramètres!$A$1:$I$88,3,0)*0.475*44/12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69.77917670636387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-5.1159076974727213E-13</v>
      </c>
      <c r="AJ198" s="14">
        <f>AI198*VLOOKUP('Données projet'!$B$10,Paramètres!$A$1:$I$88,3,0)*VLOOKUP('Données projet'!$B$10,Paramètres!$A$1:$I$88,5,0)</f>
        <v>-4.6288732846733184E-13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441.34749554136755</v>
      </c>
      <c r="AO198" s="62">
        <f t="shared" si="205"/>
        <v>236.49038586666222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0</v>
      </c>
      <c r="AV198" s="23">
        <f>EXP(-LN(2)/25)*AV197+(1-EXP(-LN(2)/25))/(LN(2)/25)*Calculateur!AQ198*Calculateur!AS198*VLOOKUP('Données projet'!$B$10,Paramètres!$A$1:$I$88,3,0)*0.475*44/12</f>
        <v>0</v>
      </c>
      <c r="AW198" s="23">
        <f>EXP(-LN(2)/2)*AW197+(1-EXP(-LN(2)/2))/(LN(2)/2)*AQ198*AT198*VLOOKUP('Données projet'!$B$10,Paramètres!$A$1:$I$88,3,0)*0.475*44/12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69.77917670636387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-5.1159076974727213E-13</v>
      </c>
      <c r="BE198" s="14">
        <f>BD198*VLOOKUP('Données projet'!$B$11,Paramètres!$A$1:$I$88,3,0)*VLOOKUP('Données projet'!$B$11,Paramètres!$A$1:$I$88,5,0)</f>
        <v>-5.5067630455596371E-13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514.86487884889584</v>
      </c>
      <c r="BJ198" s="62">
        <f t="shared" si="206"/>
        <v>272.4206208356191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projet'!$B$11,Paramètres!$A$1:$I$88,3,0)*0.475*44/12</f>
        <v>0</v>
      </c>
      <c r="BQ198" s="23">
        <f>EXP(-LN(2)/25)*BQ197+(1-EXP(-LN(2)/25))/(LN(2)/25)*Calculateur!BL198*Calculateur!BN198*VLOOKUP('Données projet'!$B$11,Paramètres!$A$1:$I$88,3,0)*0.475*44/12</f>
        <v>0</v>
      </c>
      <c r="BR198" s="23">
        <f>EXP(-LN(2)/2)*BR197+(1-EXP(-LN(2)/2))/(LN(2)/2)*BL198*BO198*VLOOKUP('Données projet'!$B$11,Paramètres!$A$1:$I$88,3,0)*0.475*44/12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69.77917670636387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-1.7053025658242404E-13</v>
      </c>
      <c r="BZ198" s="14">
        <f>BY198*VLOOKUP('Données projet'!$B$12,Paramètres!$A$1:$I$88,3,0)*VLOOKUP('Données projet'!$B$12,Paramètres!$A$1:$I$88,5,0)</f>
        <v>-1.1173142411280423E-13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270.10151451661864</v>
      </c>
      <c r="CE198" s="62">
        <f t="shared" si="207"/>
        <v>294.47934482366804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projet'!$B$12,Paramètres!$A$1:$I$88,3,0)*0.475*44/12</f>
        <v>0</v>
      </c>
      <c r="CL198" s="23">
        <f>EXP(-LN(2)/25)*CL197+(1-EXP(-LN(2)/25))/(LN(2)/25)*Calculateur!CG198*Calculateur!CI198*VLOOKUP('Données projet'!$B$12,Paramètres!$A$1:$I$88,3,0)*0.475*44/12</f>
        <v>0</v>
      </c>
      <c r="CM198" s="23">
        <f>EXP(-LN(2)/2)*CM197+(1-EXP(-LN(2)/2))/(LN(2)/2)*CG198*CJ198*VLOOKUP('Données projet'!$B$12,Paramètres!$A$1:$I$88,3,0)*0.475*44/12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69.77917670636387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-1.7053025658242404E-13</v>
      </c>
      <c r="CU198" s="18">
        <f>CT198*VLOOKUP('Données projet'!$B$13,Paramètres!$A$1:$I$88,3,0)*VLOOKUP('Données projet'!$B$13,Paramètres!$A$1:$I$88,5,0)</f>
        <v>-1.1173142411280423E-13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270.10151451661864</v>
      </c>
      <c r="CZ198" s="62">
        <f t="shared" si="208"/>
        <v>294.47934482366804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projet'!$B$13,Paramètres!$A$1:$I$88,3,0)*0.475*44/12</f>
        <v>0</v>
      </c>
      <c r="DG198" s="23">
        <f>EXP(-LN(2)/25)*DG197+(1-EXP(-LN(2)/25))/(LN(2)/25)*Calculateur!DB198*Calculateur!DD198*VLOOKUP('Données projet'!$B$13,Paramètres!$A$1:$I$88,3,0)*0.475*44/12</f>
        <v>0</v>
      </c>
      <c r="DH198" s="23">
        <f>EXP(-LN(2)/2)*DH197+(1-EXP(-LN(2)/2))/(LN(2)/2)*DB198*DE198*VLOOKUP('Données projet'!$B$13,Paramètres!$A$1:$I$88,3,0)*0.475*44/12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69.77917670636387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projet'!$B$14,Paramètres!$A$1:$I$88,3,0)*0.475*44/12</f>
        <v>#N/A</v>
      </c>
      <c r="EB198" s="23" t="e">
        <f>EXP(-LN(2)/25)*EB197+(1-EXP(-LN(2)/25))/(LN(2)/25)*Calculateur!DW198*Calculateur!DY198*VLOOKUP('Données projet'!$B$14,Paramètres!$A$1:$I$88,3,0)*0.475*44/12</f>
        <v>#N/A</v>
      </c>
      <c r="EC198" s="23" t="e">
        <f>EXP(-LN(2)/2)*EC197+(1-EXP(-LN(2)/2))/(LN(2)/2)*DW198*DZ198*VLOOKUP('Données projet'!$B$14,Paramètres!$A$1:$I$88,3,0)*0.475*44/12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69.77917670636387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69.77917670636387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69.77917670636387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69.77917670636387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1.34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4.9133333333333331</v>
      </c>
      <c r="H199" s="70">
        <f t="shared" si="192"/>
        <v>237.01333333333332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69.783007496821526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-5.1159076974727213E-13</v>
      </c>
      <c r="O199" s="14">
        <f>N199*VLOOKUP('Données projet'!$B$9,Paramètres!$A$1:$I$88,3,0)*VLOOKUP('Données projet'!$B$9,Paramètres!$A$1:$I$88,5,0)</f>
        <v>-5.1875304052373401E-13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488.16146816015231</v>
      </c>
      <c r="T199" s="62">
        <f t="shared" si="204"/>
        <v>259.37115195552127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0</v>
      </c>
      <c r="AA199" s="23">
        <f>EXP(-LN(2)/25)*AA198+(1-EXP(-LN(2)/25))/(LN(2)/25)*Calculateur!V199*Calculateur!X199*VLOOKUP('Données projet'!$B$9,Paramètres!$A$1:$I$88,3,0)*0.475*44/12</f>
        <v>0</v>
      </c>
      <c r="AB199" s="23">
        <f>EXP(-LN(2)/2)*AB198+(1-EXP(-LN(2)/2))/(LN(2)/2)*V199*Y199*VLOOKUP('Données projet'!$B$9,Paramètres!$A$1:$I$88,3,0)*0.475*44/12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69.783007496821526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-5.1159076974727213E-13</v>
      </c>
      <c r="AJ199" s="14">
        <f>AI199*VLOOKUP('Données projet'!$B$10,Paramètres!$A$1:$I$88,3,0)*VLOOKUP('Données projet'!$B$10,Paramètres!$A$1:$I$88,5,0)</f>
        <v>-4.6288732846733184E-13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441.34749554136755</v>
      </c>
      <c r="AO199" s="62">
        <f t="shared" si="205"/>
        <v>236.49038586666222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0</v>
      </c>
      <c r="AV199" s="23">
        <f>EXP(-LN(2)/25)*AV198+(1-EXP(-LN(2)/25))/(LN(2)/25)*Calculateur!AQ199*Calculateur!AS199*VLOOKUP('Données projet'!$B$10,Paramètres!$A$1:$I$88,3,0)*0.475*44/12</f>
        <v>0</v>
      </c>
      <c r="AW199" s="23">
        <f>EXP(-LN(2)/2)*AW198+(1-EXP(-LN(2)/2))/(LN(2)/2)*AQ199*AT199*VLOOKUP('Données projet'!$B$10,Paramètres!$A$1:$I$88,3,0)*0.475*44/12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69.783007496821526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-5.1159076974727213E-13</v>
      </c>
      <c r="BE199" s="14">
        <f>BD199*VLOOKUP('Données projet'!$B$11,Paramètres!$A$1:$I$88,3,0)*VLOOKUP('Données projet'!$B$11,Paramètres!$A$1:$I$88,5,0)</f>
        <v>-5.5067630455596371E-13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514.86487884889584</v>
      </c>
      <c r="BJ199" s="62">
        <f t="shared" si="206"/>
        <v>272.4206208356191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projet'!$B$11,Paramètres!$A$1:$I$88,3,0)*0.475*44/12</f>
        <v>0</v>
      </c>
      <c r="BQ199" s="23">
        <f>EXP(-LN(2)/25)*BQ198+(1-EXP(-LN(2)/25))/(LN(2)/25)*Calculateur!BL199*Calculateur!BN199*VLOOKUP('Données projet'!$B$11,Paramètres!$A$1:$I$88,3,0)*0.475*44/12</f>
        <v>0</v>
      </c>
      <c r="BR199" s="23">
        <f>EXP(-LN(2)/2)*BR198+(1-EXP(-LN(2)/2))/(LN(2)/2)*BL199*BO199*VLOOKUP('Données projet'!$B$11,Paramètres!$A$1:$I$88,3,0)*0.475*44/12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69.783007496821526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-1.7053025658242404E-13</v>
      </c>
      <c r="BZ199" s="14">
        <f>BY199*VLOOKUP('Données projet'!$B$12,Paramètres!$A$1:$I$88,3,0)*VLOOKUP('Données projet'!$B$12,Paramètres!$A$1:$I$88,5,0)</f>
        <v>-1.1173142411280423E-13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270.10151451661864</v>
      </c>
      <c r="CE199" s="62">
        <f t="shared" si="207"/>
        <v>294.47934482366804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projet'!$B$12,Paramètres!$A$1:$I$88,3,0)*0.475*44/12</f>
        <v>0</v>
      </c>
      <c r="CL199" s="23">
        <f>EXP(-LN(2)/25)*CL198+(1-EXP(-LN(2)/25))/(LN(2)/25)*Calculateur!CG199*Calculateur!CI199*VLOOKUP('Données projet'!$B$12,Paramètres!$A$1:$I$88,3,0)*0.475*44/12</f>
        <v>0</v>
      </c>
      <c r="CM199" s="23">
        <f>EXP(-LN(2)/2)*CM198+(1-EXP(-LN(2)/2))/(LN(2)/2)*CG199*CJ199*VLOOKUP('Données projet'!$B$12,Paramètres!$A$1:$I$88,3,0)*0.475*44/12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69.783007496821526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-1.7053025658242404E-13</v>
      </c>
      <c r="CU199" s="18">
        <f>CT199*VLOOKUP('Données projet'!$B$13,Paramètres!$A$1:$I$88,3,0)*VLOOKUP('Données projet'!$B$13,Paramètres!$A$1:$I$88,5,0)</f>
        <v>-1.1173142411280423E-13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270.10151451661864</v>
      </c>
      <c r="CZ199" s="62">
        <f t="shared" si="208"/>
        <v>294.47934482366804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projet'!$B$13,Paramètres!$A$1:$I$88,3,0)*0.475*44/12</f>
        <v>0</v>
      </c>
      <c r="DG199" s="23">
        <f>EXP(-LN(2)/25)*DG198+(1-EXP(-LN(2)/25))/(LN(2)/25)*Calculateur!DB199*Calculateur!DD199*VLOOKUP('Données projet'!$B$13,Paramètres!$A$1:$I$88,3,0)*0.475*44/12</f>
        <v>0</v>
      </c>
      <c r="DH199" s="23">
        <f>EXP(-LN(2)/2)*DH198+(1-EXP(-LN(2)/2))/(LN(2)/2)*DB199*DE199*VLOOKUP('Données projet'!$B$13,Paramètres!$A$1:$I$88,3,0)*0.475*44/12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69.783007496821526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projet'!$B$14,Paramètres!$A$1:$I$88,3,0)*0.475*44/12</f>
        <v>#N/A</v>
      </c>
      <c r="EB199" s="23" t="e">
        <f>EXP(-LN(2)/25)*EB198+(1-EXP(-LN(2)/25))/(LN(2)/25)*Calculateur!DW199*Calculateur!DY199*VLOOKUP('Données projet'!$B$14,Paramètres!$A$1:$I$88,3,0)*0.475*44/12</f>
        <v>#N/A</v>
      </c>
      <c r="EC199" s="23" t="e">
        <f>EXP(-LN(2)/2)*EC198+(1-EXP(-LN(2)/2))/(LN(2)/2)*DW199*DZ199*VLOOKUP('Données projet'!$B$14,Paramètres!$A$1:$I$88,3,0)*0.475*44/12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69.783007496821526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69.783007496821526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69.783007496821526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69.783007496821526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1.34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4.9133333333333331</v>
      </c>
      <c r="H200" s="70">
        <f t="shared" si="192"/>
        <v>237.01333333333332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69.78677183162911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-5.1159076974727213E-13</v>
      </c>
      <c r="O200" s="14">
        <f>N200*VLOOKUP('Données projet'!$B$9,Paramètres!$A$1:$I$88,3,0)*VLOOKUP('Données projet'!$B$9,Paramètres!$A$1:$I$88,5,0)</f>
        <v>-5.1875304052373401E-13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488.16146816015231</v>
      </c>
      <c r="T200" s="62">
        <f t="shared" si="204"/>
        <v>259.37115195552127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0</v>
      </c>
      <c r="AA200" s="23">
        <f>EXP(-LN(2)/25)*AA199+(1-EXP(-LN(2)/25))/(LN(2)/25)*Calculateur!V200*Calculateur!X200*VLOOKUP('Données projet'!$B$9,Paramètres!$A$1:$I$88,3,0)*0.475*44/12</f>
        <v>0</v>
      </c>
      <c r="AB200" s="23">
        <f>EXP(-LN(2)/2)*AB199+(1-EXP(-LN(2)/2))/(LN(2)/2)*V200*Y200*VLOOKUP('Données projet'!$B$9,Paramètres!$A$1:$I$88,3,0)*0.475*44/12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69.78677183162911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-5.1159076974727213E-13</v>
      </c>
      <c r="AJ200" s="14">
        <f>AI200*VLOOKUP('Données projet'!$B$10,Paramètres!$A$1:$I$88,3,0)*VLOOKUP('Données projet'!$B$10,Paramètres!$A$1:$I$88,5,0)</f>
        <v>-4.6288732846733184E-13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441.34749554136755</v>
      </c>
      <c r="AO200" s="62">
        <f t="shared" si="205"/>
        <v>236.49038586666222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0</v>
      </c>
      <c r="AV200" s="23">
        <f>EXP(-LN(2)/25)*AV199+(1-EXP(-LN(2)/25))/(LN(2)/25)*Calculateur!AQ200*Calculateur!AS200*VLOOKUP('Données projet'!$B$10,Paramètres!$A$1:$I$88,3,0)*0.475*44/12</f>
        <v>0</v>
      </c>
      <c r="AW200" s="23">
        <f>EXP(-LN(2)/2)*AW199+(1-EXP(-LN(2)/2))/(LN(2)/2)*AQ200*AT200*VLOOKUP('Données projet'!$B$10,Paramètres!$A$1:$I$88,3,0)*0.475*44/12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69.78677183162911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-5.1159076974727213E-13</v>
      </c>
      <c r="BE200" s="14">
        <f>BD200*VLOOKUP('Données projet'!$B$11,Paramètres!$A$1:$I$88,3,0)*VLOOKUP('Données projet'!$B$11,Paramètres!$A$1:$I$88,5,0)</f>
        <v>-5.5067630455596371E-13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514.86487884889584</v>
      </c>
      <c r="BJ200" s="62">
        <f t="shared" si="206"/>
        <v>272.4206208356191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projet'!$B$11,Paramètres!$A$1:$I$88,3,0)*0.475*44/12</f>
        <v>0</v>
      </c>
      <c r="BQ200" s="23">
        <f>EXP(-LN(2)/25)*BQ199+(1-EXP(-LN(2)/25))/(LN(2)/25)*Calculateur!BL200*Calculateur!BN200*VLOOKUP('Données projet'!$B$11,Paramètres!$A$1:$I$88,3,0)*0.475*44/12</f>
        <v>0</v>
      </c>
      <c r="BR200" s="23">
        <f>EXP(-LN(2)/2)*BR199+(1-EXP(-LN(2)/2))/(LN(2)/2)*BL200*BO200*VLOOKUP('Données projet'!$B$11,Paramètres!$A$1:$I$88,3,0)*0.475*44/12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69.78677183162911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-1.7053025658242404E-13</v>
      </c>
      <c r="BZ200" s="14">
        <f>BY200*VLOOKUP('Données projet'!$B$12,Paramètres!$A$1:$I$88,3,0)*VLOOKUP('Données projet'!$B$12,Paramètres!$A$1:$I$88,5,0)</f>
        <v>-1.1173142411280423E-13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270.10151451661864</v>
      </c>
      <c r="CE200" s="62">
        <f t="shared" si="207"/>
        <v>294.47934482366804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projet'!$B$12,Paramètres!$A$1:$I$88,3,0)*0.475*44/12</f>
        <v>0</v>
      </c>
      <c r="CL200" s="23">
        <f>EXP(-LN(2)/25)*CL199+(1-EXP(-LN(2)/25))/(LN(2)/25)*Calculateur!CG200*Calculateur!CI200*VLOOKUP('Données projet'!$B$12,Paramètres!$A$1:$I$88,3,0)*0.475*44/12</f>
        <v>0</v>
      </c>
      <c r="CM200" s="23">
        <f>EXP(-LN(2)/2)*CM199+(1-EXP(-LN(2)/2))/(LN(2)/2)*CG200*CJ200*VLOOKUP('Données projet'!$B$12,Paramètres!$A$1:$I$88,3,0)*0.475*44/12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69.78677183162911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-1.7053025658242404E-13</v>
      </c>
      <c r="CU200" s="18">
        <f>CT200*VLOOKUP('Données projet'!$B$13,Paramètres!$A$1:$I$88,3,0)*VLOOKUP('Données projet'!$B$13,Paramètres!$A$1:$I$88,5,0)</f>
        <v>-1.1173142411280423E-13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270.10151451661864</v>
      </c>
      <c r="CZ200" s="62">
        <f t="shared" si="208"/>
        <v>294.47934482366804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projet'!$B$13,Paramètres!$A$1:$I$88,3,0)*0.475*44/12</f>
        <v>0</v>
      </c>
      <c r="DG200" s="23">
        <f>EXP(-LN(2)/25)*DG199+(1-EXP(-LN(2)/25))/(LN(2)/25)*Calculateur!DB200*Calculateur!DD200*VLOOKUP('Données projet'!$B$13,Paramètres!$A$1:$I$88,3,0)*0.475*44/12</f>
        <v>0</v>
      </c>
      <c r="DH200" s="23">
        <f>EXP(-LN(2)/2)*DH199+(1-EXP(-LN(2)/2))/(LN(2)/2)*DB200*DE200*VLOOKUP('Données projet'!$B$13,Paramètres!$A$1:$I$88,3,0)*0.475*44/12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69.78677183162911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projet'!$B$14,Paramètres!$A$1:$I$88,3,0)*0.475*44/12</f>
        <v>#N/A</v>
      </c>
      <c r="EB200" s="23" t="e">
        <f>EXP(-LN(2)/25)*EB199+(1-EXP(-LN(2)/25))/(LN(2)/25)*Calculateur!DW200*Calculateur!DY200*VLOOKUP('Données projet'!$B$14,Paramètres!$A$1:$I$88,3,0)*0.475*44/12</f>
        <v>#N/A</v>
      </c>
      <c r="EC200" s="23" t="e">
        <f>EXP(-LN(2)/2)*EC199+(1-EXP(-LN(2)/2))/(LN(2)/2)*DW200*DZ200*VLOOKUP('Données projet'!$B$14,Paramètres!$A$1:$I$88,3,0)*0.475*44/12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69.78677183162911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69.78677183162911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69.78677183162911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69.78677183162911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1.34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4.9133333333333331</v>
      </c>
      <c r="H201" s="70">
        <f t="shared" si="192"/>
        <v>237.01333333333332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69.790470863643577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-5.1159076974727213E-13</v>
      </c>
      <c r="O201" s="14">
        <f>N201*VLOOKUP('Données projet'!$B$9,Paramètres!$A$1:$I$88,3,0)*VLOOKUP('Données projet'!$B$9,Paramètres!$A$1:$I$88,5,0)</f>
        <v>-5.1875304052373401E-13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488.16146816015231</v>
      </c>
      <c r="T201" s="62">
        <f t="shared" si="204"/>
        <v>259.37115195552127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0</v>
      </c>
      <c r="AA201" s="23">
        <f>EXP(-LN(2)/25)*AA200+(1-EXP(-LN(2)/25))/(LN(2)/25)*Calculateur!V201*Calculateur!X201*VLOOKUP('Données projet'!$B$9,Paramètres!$A$1:$I$88,3,0)*0.475*44/12</f>
        <v>0</v>
      </c>
      <c r="AB201" s="23">
        <f>EXP(-LN(2)/2)*AB200+(1-EXP(-LN(2)/2))/(LN(2)/2)*V201*Y201*VLOOKUP('Données projet'!$B$9,Paramètres!$A$1:$I$88,3,0)*0.475*44/12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69.790470863643577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-5.1159076974727213E-13</v>
      </c>
      <c r="AJ201" s="14">
        <f>AI201*VLOOKUP('Données projet'!$B$10,Paramètres!$A$1:$I$88,3,0)*VLOOKUP('Données projet'!$B$10,Paramètres!$A$1:$I$88,5,0)</f>
        <v>-4.6288732846733184E-13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441.34749554136755</v>
      </c>
      <c r="AO201" s="62">
        <f t="shared" si="205"/>
        <v>236.49038586666222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0</v>
      </c>
      <c r="AV201" s="23">
        <f>EXP(-LN(2)/25)*AV200+(1-EXP(-LN(2)/25))/(LN(2)/25)*Calculateur!AQ201*Calculateur!AS201*VLOOKUP('Données projet'!$B$10,Paramètres!$A$1:$I$88,3,0)*0.475*44/12</f>
        <v>0</v>
      </c>
      <c r="AW201" s="23">
        <f>EXP(-LN(2)/2)*AW200+(1-EXP(-LN(2)/2))/(LN(2)/2)*AQ201*AT201*VLOOKUP('Données projet'!$B$10,Paramètres!$A$1:$I$88,3,0)*0.475*44/12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69.790470863643577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-5.1159076974727213E-13</v>
      </c>
      <c r="BE201" s="14">
        <f>BD201*VLOOKUP('Données projet'!$B$11,Paramètres!$A$1:$I$88,3,0)*VLOOKUP('Données projet'!$B$11,Paramètres!$A$1:$I$88,5,0)</f>
        <v>-5.5067630455596371E-13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514.86487884889584</v>
      </c>
      <c r="BJ201" s="62">
        <f t="shared" si="206"/>
        <v>272.4206208356191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projet'!$B$11,Paramètres!$A$1:$I$88,3,0)*0.475*44/12</f>
        <v>0</v>
      </c>
      <c r="BQ201" s="23">
        <f>EXP(-LN(2)/25)*BQ200+(1-EXP(-LN(2)/25))/(LN(2)/25)*Calculateur!BL201*Calculateur!BN201*VLOOKUP('Données projet'!$B$11,Paramètres!$A$1:$I$88,3,0)*0.475*44/12</f>
        <v>0</v>
      </c>
      <c r="BR201" s="23">
        <f>EXP(-LN(2)/2)*BR200+(1-EXP(-LN(2)/2))/(LN(2)/2)*BL201*BO201*VLOOKUP('Données projet'!$B$11,Paramètres!$A$1:$I$88,3,0)*0.475*44/12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69.790470863643577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-1.7053025658242404E-13</v>
      </c>
      <c r="BZ201" s="14">
        <f>BY201*VLOOKUP('Données projet'!$B$12,Paramètres!$A$1:$I$88,3,0)*VLOOKUP('Données projet'!$B$12,Paramètres!$A$1:$I$88,5,0)</f>
        <v>-1.1173142411280423E-13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270.10151451661864</v>
      </c>
      <c r="CE201" s="62">
        <f t="shared" si="207"/>
        <v>294.47934482366804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projet'!$B$12,Paramètres!$A$1:$I$88,3,0)*0.475*44/12</f>
        <v>0</v>
      </c>
      <c r="CL201" s="23">
        <f>EXP(-LN(2)/25)*CL200+(1-EXP(-LN(2)/25))/(LN(2)/25)*Calculateur!CG201*Calculateur!CI201*VLOOKUP('Données projet'!$B$12,Paramètres!$A$1:$I$88,3,0)*0.475*44/12</f>
        <v>0</v>
      </c>
      <c r="CM201" s="23">
        <f>EXP(-LN(2)/2)*CM200+(1-EXP(-LN(2)/2))/(LN(2)/2)*CG201*CJ201*VLOOKUP('Données projet'!$B$12,Paramètres!$A$1:$I$88,3,0)*0.475*44/12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69.790470863643577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-1.7053025658242404E-13</v>
      </c>
      <c r="CU201" s="18">
        <f>CT201*VLOOKUP('Données projet'!$B$13,Paramètres!$A$1:$I$88,3,0)*VLOOKUP('Données projet'!$B$13,Paramètres!$A$1:$I$88,5,0)</f>
        <v>-1.1173142411280423E-13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270.10151451661864</v>
      </c>
      <c r="CZ201" s="62">
        <f t="shared" si="208"/>
        <v>294.47934482366804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projet'!$B$13,Paramètres!$A$1:$I$88,3,0)*0.475*44/12</f>
        <v>0</v>
      </c>
      <c r="DG201" s="23">
        <f>EXP(-LN(2)/25)*DG200+(1-EXP(-LN(2)/25))/(LN(2)/25)*Calculateur!DB201*Calculateur!DD201*VLOOKUP('Données projet'!$B$13,Paramètres!$A$1:$I$88,3,0)*0.475*44/12</f>
        <v>0</v>
      </c>
      <c r="DH201" s="23">
        <f>EXP(-LN(2)/2)*DH200+(1-EXP(-LN(2)/2))/(LN(2)/2)*DB201*DE201*VLOOKUP('Données projet'!$B$13,Paramètres!$A$1:$I$88,3,0)*0.475*44/12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69.790470863643577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projet'!$B$14,Paramètres!$A$1:$I$88,3,0)*0.475*44/12</f>
        <v>#N/A</v>
      </c>
      <c r="EB201" s="23" t="e">
        <f>EXP(-LN(2)/25)*EB200+(1-EXP(-LN(2)/25))/(LN(2)/25)*Calculateur!DW201*Calculateur!DY201*VLOOKUP('Données projet'!$B$14,Paramètres!$A$1:$I$88,3,0)*0.475*44/12</f>
        <v>#N/A</v>
      </c>
      <c r="EC201" s="23" t="e">
        <f>EXP(-LN(2)/2)*EC200+(1-EXP(-LN(2)/2))/(LN(2)/2)*DW201*DZ201*VLOOKUP('Données projet'!$B$14,Paramètres!$A$1:$I$88,3,0)*0.475*44/12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69.790470863643577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69.790470863643577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69.790470863643577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69.790470863643577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1.34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4.9133333333333331</v>
      </c>
      <c r="H202" s="70">
        <f t="shared" si="192"/>
        <v>237.01333333333332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69.794105725722389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-5.1159076974727213E-13</v>
      </c>
      <c r="O202" s="14">
        <f>N202*VLOOKUP('Données projet'!$B$9,Paramètres!$A$1:$I$88,3,0)*VLOOKUP('Données projet'!$B$9,Paramètres!$A$1:$I$88,5,0)</f>
        <v>-5.1875304052373401E-13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488.16146816015231</v>
      </c>
      <c r="T202" s="62">
        <f t="shared" si="204"/>
        <v>259.37115195552127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0</v>
      </c>
      <c r="AA202" s="23">
        <f>EXP(-LN(2)/25)*AA201+(1-EXP(-LN(2)/25))/(LN(2)/25)*Calculateur!V202*Calculateur!X202*VLOOKUP('Données projet'!$B$9,Paramètres!$A$1:$I$88,3,0)*0.475*44/12</f>
        <v>0</v>
      </c>
      <c r="AB202" s="23">
        <f>EXP(-LN(2)/2)*AB201+(1-EXP(-LN(2)/2))/(LN(2)/2)*V202*Y202*VLOOKUP('Données projet'!$B$9,Paramètres!$A$1:$I$88,3,0)*0.475*44/12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69.794105725722389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-5.1159076974727213E-13</v>
      </c>
      <c r="AJ202" s="14">
        <f>AI202*VLOOKUP('Données projet'!$B$10,Paramètres!$A$1:$I$88,3,0)*VLOOKUP('Données projet'!$B$10,Paramètres!$A$1:$I$88,5,0)</f>
        <v>-4.6288732846733184E-13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441.34749554136755</v>
      </c>
      <c r="AO202" s="62">
        <f t="shared" si="205"/>
        <v>236.49038586666222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0</v>
      </c>
      <c r="AV202" s="23">
        <f>EXP(-LN(2)/25)*AV201+(1-EXP(-LN(2)/25))/(LN(2)/25)*Calculateur!AQ202*Calculateur!AS202*VLOOKUP('Données projet'!$B$10,Paramètres!$A$1:$I$88,3,0)*0.475*44/12</f>
        <v>0</v>
      </c>
      <c r="AW202" s="23">
        <f>EXP(-LN(2)/2)*AW201+(1-EXP(-LN(2)/2))/(LN(2)/2)*AQ202*AT202*VLOOKUP('Données projet'!$B$10,Paramètres!$A$1:$I$88,3,0)*0.475*44/12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69.794105725722389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-5.1159076974727213E-13</v>
      </c>
      <c r="BE202" s="14">
        <f>BD202*VLOOKUP('Données projet'!$B$11,Paramètres!$A$1:$I$88,3,0)*VLOOKUP('Données projet'!$B$11,Paramètres!$A$1:$I$88,5,0)</f>
        <v>-5.5067630455596371E-13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514.86487884889584</v>
      </c>
      <c r="BJ202" s="62">
        <f t="shared" si="206"/>
        <v>272.4206208356191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projet'!$B$11,Paramètres!$A$1:$I$88,3,0)*0.475*44/12</f>
        <v>0</v>
      </c>
      <c r="BQ202" s="23">
        <f>EXP(-LN(2)/25)*BQ201+(1-EXP(-LN(2)/25))/(LN(2)/25)*Calculateur!BL202*Calculateur!BN202*VLOOKUP('Données projet'!$B$11,Paramètres!$A$1:$I$88,3,0)*0.475*44/12</f>
        <v>0</v>
      </c>
      <c r="BR202" s="23">
        <f>EXP(-LN(2)/2)*BR201+(1-EXP(-LN(2)/2))/(LN(2)/2)*BL202*BO202*VLOOKUP('Données projet'!$B$11,Paramètres!$A$1:$I$88,3,0)*0.475*44/12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69.794105725722389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-1.7053025658242404E-13</v>
      </c>
      <c r="BZ202" s="14">
        <f>BY202*VLOOKUP('Données projet'!$B$12,Paramètres!$A$1:$I$88,3,0)*VLOOKUP('Données projet'!$B$12,Paramètres!$A$1:$I$88,5,0)</f>
        <v>-1.1173142411280423E-13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270.10151451661864</v>
      </c>
      <c r="CE202" s="62">
        <f t="shared" si="207"/>
        <v>294.47934482366804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projet'!$B$12,Paramètres!$A$1:$I$88,3,0)*0.475*44/12</f>
        <v>0</v>
      </c>
      <c r="CL202" s="23">
        <f>EXP(-LN(2)/25)*CL201+(1-EXP(-LN(2)/25))/(LN(2)/25)*Calculateur!CG202*Calculateur!CI202*VLOOKUP('Données projet'!$B$12,Paramètres!$A$1:$I$88,3,0)*0.475*44/12</f>
        <v>0</v>
      </c>
      <c r="CM202" s="23">
        <f>EXP(-LN(2)/2)*CM201+(1-EXP(-LN(2)/2))/(LN(2)/2)*CG202*CJ202*VLOOKUP('Données projet'!$B$12,Paramètres!$A$1:$I$88,3,0)*0.475*44/12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69.794105725722389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-1.7053025658242404E-13</v>
      </c>
      <c r="CU202" s="18">
        <f>CT202*VLOOKUP('Données projet'!$B$13,Paramètres!$A$1:$I$88,3,0)*VLOOKUP('Données projet'!$B$13,Paramètres!$A$1:$I$88,5,0)</f>
        <v>-1.1173142411280423E-13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270.10151451661864</v>
      </c>
      <c r="CZ202" s="62">
        <f t="shared" si="208"/>
        <v>294.47934482366804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projet'!$B$13,Paramètres!$A$1:$I$88,3,0)*0.475*44/12</f>
        <v>0</v>
      </c>
      <c r="DG202" s="23">
        <f>EXP(-LN(2)/25)*DG201+(1-EXP(-LN(2)/25))/(LN(2)/25)*Calculateur!DB202*Calculateur!DD202*VLOOKUP('Données projet'!$B$13,Paramètres!$A$1:$I$88,3,0)*0.475*44/12</f>
        <v>0</v>
      </c>
      <c r="DH202" s="23">
        <f>EXP(-LN(2)/2)*DH201+(1-EXP(-LN(2)/2))/(LN(2)/2)*DB202*DE202*VLOOKUP('Données projet'!$B$13,Paramètres!$A$1:$I$88,3,0)*0.475*44/12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69.794105725722389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projet'!$B$14,Paramètres!$A$1:$I$88,3,0)*0.475*44/12</f>
        <v>#N/A</v>
      </c>
      <c r="EB202" s="23" t="e">
        <f>EXP(-LN(2)/25)*EB201+(1-EXP(-LN(2)/25))/(LN(2)/25)*Calculateur!DW202*Calculateur!DY202*VLOOKUP('Données projet'!$B$14,Paramètres!$A$1:$I$88,3,0)*0.475*44/12</f>
        <v>#N/A</v>
      </c>
      <c r="EC202" s="23" t="e">
        <f>EXP(-LN(2)/2)*EC201+(1-EXP(-LN(2)/2))/(LN(2)/2)*DW202*DZ202*VLOOKUP('Données projet'!$B$14,Paramètres!$A$1:$I$88,3,0)*0.475*44/12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69.794105725722389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69.794105725722389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69.794105725722389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69.794105725722389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1.34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63.300000000000004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4.9133333333333331</v>
      </c>
      <c r="H203" s="70">
        <f t="shared" si="192"/>
        <v>237.01333333333332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69.797677531070462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-5.1159076974727213E-13</v>
      </c>
      <c r="O203" s="14">
        <f>N203*VLOOKUP('Données projet'!$B$9,Paramètres!$A$1:$I$88,3,0)*VLOOKUP('Données projet'!$B$9,Paramètres!$A$1:$I$88,5,0)</f>
        <v>-5.1875304052373401E-13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488.16146816015231</v>
      </c>
      <c r="T203" s="62">
        <f t="shared" si="204"/>
        <v>259.37115195552127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0</v>
      </c>
      <c r="AA203" s="23">
        <f>EXP(-LN(2)/25)*AA202+(1-EXP(-LN(2)/25))/(LN(2)/25)*Calculateur!V203*Calculateur!X203*VLOOKUP('Données projet'!$B$9,Paramètres!$A$1:$I$88,3,0)*0.475*44/12</f>
        <v>0</v>
      </c>
      <c r="AB203" s="23">
        <f>EXP(-LN(2)/2)*AB202+(1-EXP(-LN(2)/2))/(LN(2)/2)*V203*Y203*VLOOKUP('Données projet'!$B$9,Paramètres!$A$1:$I$88,3,0)*0.475*44/12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69.797677531070462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-5.1159076974727213E-13</v>
      </c>
      <c r="AJ203" s="14">
        <f>AI203*VLOOKUP('Données projet'!$B$10,Paramètres!$A$1:$I$88,3,0)*VLOOKUP('Données projet'!$B$10,Paramètres!$A$1:$I$88,5,0)</f>
        <v>-4.6288732846733184E-13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441.34749554136755</v>
      </c>
      <c r="AO203" s="62">
        <f t="shared" si="205"/>
        <v>236.49038586666222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0</v>
      </c>
      <c r="AV203" s="23">
        <f>EXP(-LN(2)/25)*AV202+(1-EXP(-LN(2)/25))/(LN(2)/25)*Calculateur!AQ203*Calculateur!AS203*VLOOKUP('Données projet'!$B$10,Paramètres!$A$1:$I$88,3,0)*0.475*44/12</f>
        <v>0</v>
      </c>
      <c r="AW203" s="23">
        <f>EXP(-LN(2)/2)*AW202+(1-EXP(-LN(2)/2))/(LN(2)/2)*AQ203*AT203*VLOOKUP('Données projet'!$B$10,Paramètres!$A$1:$I$88,3,0)*0.475*44/12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69.797677531070462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-5.1159076974727213E-13</v>
      </c>
      <c r="BE203" s="14">
        <f>BD203*VLOOKUP('Données projet'!$B$11,Paramètres!$A$1:$I$88,3,0)*VLOOKUP('Données projet'!$B$11,Paramètres!$A$1:$I$88,5,0)</f>
        <v>-5.5067630455596371E-13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514.86487884889584</v>
      </c>
      <c r="BJ203" s="62">
        <f t="shared" si="206"/>
        <v>272.4206208356191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projet'!$B$11,Paramètres!$A$1:$I$88,3,0)*0.475*44/12</f>
        <v>0</v>
      </c>
      <c r="BQ203" s="23">
        <f>EXP(-LN(2)/25)*BQ202+(1-EXP(-LN(2)/25))/(LN(2)/25)*Calculateur!BL203*Calculateur!BN203*VLOOKUP('Données projet'!$B$11,Paramètres!$A$1:$I$88,3,0)*0.475*44/12</f>
        <v>0</v>
      </c>
      <c r="BR203" s="23">
        <f>EXP(-LN(2)/2)*BR202+(1-EXP(-LN(2)/2))/(LN(2)/2)*BL203*BO203*VLOOKUP('Données projet'!$B$11,Paramètres!$A$1:$I$88,3,0)*0.475*44/12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69.797677531070462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-1.7053025658242404E-13</v>
      </c>
      <c r="BZ203" s="14">
        <f>BY203*VLOOKUP('Données projet'!$B$12,Paramètres!$A$1:$I$88,3,0)*VLOOKUP('Données projet'!$B$12,Paramètres!$A$1:$I$88,5,0)</f>
        <v>-1.1173142411280423E-13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270.10151451661864</v>
      </c>
      <c r="CE203" s="62">
        <f t="shared" si="207"/>
        <v>294.47934482366804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projet'!$B$12,Paramètres!$A$1:$I$88,3,0)*0.475*44/12</f>
        <v>0</v>
      </c>
      <c r="CL203" s="23">
        <f>EXP(-LN(2)/25)*CL202+(1-EXP(-LN(2)/25))/(LN(2)/25)*Calculateur!CG203*Calculateur!CI203*VLOOKUP('Données projet'!$B$12,Paramètres!$A$1:$I$88,3,0)*0.475*44/12</f>
        <v>0</v>
      </c>
      <c r="CM203" s="23">
        <f>EXP(-LN(2)/2)*CM202+(1-EXP(-LN(2)/2))/(LN(2)/2)*CG203*CJ203*VLOOKUP('Données projet'!$B$12,Paramètres!$A$1:$I$88,3,0)*0.475*44/12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69.797677531070462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-1.7053025658242404E-13</v>
      </c>
      <c r="CU203" s="18">
        <f>CT203*VLOOKUP('Données projet'!$B$13,Paramètres!$A$1:$I$88,3,0)*VLOOKUP('Données projet'!$B$13,Paramètres!$A$1:$I$88,5,0)</f>
        <v>-1.1173142411280423E-13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270.10151451661864</v>
      </c>
      <c r="CZ203" s="62">
        <f t="shared" si="208"/>
        <v>294.47934482366804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projet'!$B$13,Paramètres!$A$1:$I$88,3,0)*0.475*44/12</f>
        <v>0</v>
      </c>
      <c r="DG203" s="23">
        <f>EXP(-LN(2)/25)*DG202+(1-EXP(-LN(2)/25))/(LN(2)/25)*Calculateur!DB203*Calculateur!DD203*VLOOKUP('Données projet'!$B$13,Paramètres!$A$1:$I$88,3,0)*0.475*44/12</f>
        <v>0</v>
      </c>
      <c r="DH203" s="23">
        <f>EXP(-LN(2)/2)*DH202+(1-EXP(-LN(2)/2))/(LN(2)/2)*DB203*DE203*VLOOKUP('Données projet'!$B$13,Paramètres!$A$1:$I$88,3,0)*0.475*44/12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69.797677531070462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projet'!$B$14,Paramètres!$A$1:$I$88,3,0)*0.475*44/12</f>
        <v>#N/A</v>
      </c>
      <c r="EB203" s="23" t="e">
        <f>EXP(-LN(2)/25)*EB202+(1-EXP(-LN(2)/25))/(LN(2)/25)*Calculateur!DW203*Calculateur!DY203*VLOOKUP('Données projet'!$B$14,Paramètres!$A$1:$I$88,3,0)*0.475*44/12</f>
        <v>#N/A</v>
      </c>
      <c r="EC203" s="23" t="e">
        <f>EXP(-LN(2)/2)*EC202+(1-EXP(-LN(2)/2))/(LN(2)/2)*DW203*DZ203*VLOOKUP('Données projet'!$B$14,Paramètres!$A$1:$I$88,3,0)*0.475*44/12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69.797677531070462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69.797677531070462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69.797677531070462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69.797677531070462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294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294</v>
      </c>
      <c r="BA204" s="87" t="s">
        <v>294</v>
      </c>
      <c r="BV204" s="87" t="s">
        <v>294</v>
      </c>
      <c r="CQ204" s="87" t="s">
        <v>294</v>
      </c>
      <c r="DL204" s="87" t="s">
        <v>294</v>
      </c>
      <c r="EG204" s="87" t="s">
        <v>294</v>
      </c>
      <c r="FB204" s="87" t="s">
        <v>294</v>
      </c>
      <c r="FW204" s="87" t="s">
        <v>294</v>
      </c>
      <c r="GR204" s="87" t="s">
        <v>294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1.2054868146447177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1.2054868146447177</v>
      </c>
      <c r="BA205" s="88">
        <f>EXP(LN('Données projet'!B88)/'Données projet'!A88)</f>
        <v>1.2054868146447177</v>
      </c>
      <c r="BV205" s="88">
        <f>EXP(LN('Données projet'!B114)/'Données projet'!A114)</f>
        <v>1.2721747796233518</v>
      </c>
      <c r="CQ205" s="88">
        <f>EXP(LN('Données projet'!B140)/'Données projet'!A140)</f>
        <v>1.2721747796233518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ijpqe0Ylsjs9EpvAY4m52gXTBEEy40gXYONLP605lBROE4I+gEWLO8HbzDEOY09qTOgOqydyeGgVqRPK8zZ3g==" saltValue="1tsCNl6Hms155TjQS5tvm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workbookViewId="0">
      <selection activeCell="E10" sqref="E10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0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1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0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2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2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1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0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1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131" t="s">
        <v>148</v>
      </c>
      <c r="B87" s="139"/>
      <c r="C87" s="133">
        <v>0.42</v>
      </c>
      <c r="D87" s="133" t="s">
        <v>161</v>
      </c>
      <c r="E87" s="133">
        <v>1.3</v>
      </c>
      <c r="F87" s="134" t="s">
        <v>274</v>
      </c>
      <c r="G87" s="140"/>
      <c r="H87" s="139"/>
      <c r="I87" s="141"/>
    </row>
    <row r="88" spans="1:14" ht="15" thickBot="1" x14ac:dyDescent="0.35">
      <c r="A88" s="142" t="s">
        <v>149</v>
      </c>
      <c r="B88" s="143"/>
      <c r="C88" s="144">
        <v>0.56999999999999995</v>
      </c>
      <c r="D88" s="145" t="s">
        <v>161</v>
      </c>
      <c r="E88" s="144">
        <v>1.56</v>
      </c>
      <c r="F88" s="144" t="s">
        <v>274</v>
      </c>
      <c r="G88" s="143"/>
      <c r="H88" s="143"/>
      <c r="I88" s="146"/>
    </row>
    <row r="92" spans="1:14" x14ac:dyDescent="0.3">
      <c r="A92" s="131" t="s">
        <v>208</v>
      </c>
    </row>
    <row r="93" spans="1:14" x14ac:dyDescent="0.3">
      <c r="A93" s="131" t="s">
        <v>209</v>
      </c>
    </row>
    <row r="94" spans="1:14" x14ac:dyDescent="0.3">
      <c r="A94" s="131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A10" workbookViewId="0">
      <selection activeCell="J22" sqref="J22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1" t="s">
        <v>271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3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pubescent</v>
      </c>
      <c r="B6" s="155">
        <f>'Données projet'!D9</f>
        <v>0.84670999999999996</v>
      </c>
      <c r="C6" s="156">
        <f ca="1">IF(OR('Données projet'!B9="",'Données projet'!C9="",'Données projet'!C9=0%),0,Calculateur!S3)</f>
        <v>488.16146816015231</v>
      </c>
      <c r="D6" s="156">
        <f>IF(OR('Données projet'!B9="",'Données projet'!C9="",'Données projet'!C9=0%),0,Calculateur!T3)</f>
        <v>259.37115195552127</v>
      </c>
      <c r="E6" s="156">
        <f ca="1">MIN(C6,D6)</f>
        <v>259.37115195552127</v>
      </c>
      <c r="F6" s="156">
        <f ca="1">E6*B6</f>
        <v>219.6121480722594</v>
      </c>
      <c r="G6" s="156">
        <f ca="1">F6*(100%-'Données projet'!$C$24)*(100%-'Données projet'!$C$25)*(100%-'Données projet'!$C$26)*(100%-'Données projet'!$C$27)</f>
        <v>187.7683866017818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projet'!$B$9,Paramètres!$A$1:$I$88,9,0)*B6)</f>
        <v>1.6934199999999999</v>
      </c>
      <c r="K6" s="160">
        <f>J6*(100%-'Données projet'!$C$24)*(100%-'Données projet'!$C$25)*(100%-'Données projet'!$C$26)*(100%-'Données projet'!$C$27)</f>
        <v>1.4478740999999999</v>
      </c>
      <c r="L6" s="161">
        <f ca="1">G6+I6+K6</f>
        <v>189.21626070178181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sessile</v>
      </c>
      <c r="B7" s="163">
        <f>'Données projet'!D10</f>
        <v>0.49940000000000001</v>
      </c>
      <c r="C7" s="156">
        <f ca="1">IF(OR('Données projet'!B10="",'Données projet'!C10="",'Données projet'!C10=0%),0,Calculateur!AN3)</f>
        <v>441.34749554136755</v>
      </c>
      <c r="D7" s="156">
        <f>IF(OR('Données projet'!B10="",'Données projet'!C10="",'Données projet'!C10=0%),0,Calculateur!AO3)</f>
        <v>236.49038586666222</v>
      </c>
      <c r="E7" s="156">
        <f t="shared" ref="E7:E15" ca="1" si="0">MIN(C7,D7)</f>
        <v>236.49038586666222</v>
      </c>
      <c r="F7" s="156">
        <f t="shared" ref="F7:F15" ca="1" si="1">E7*B7</f>
        <v>118.10329870181111</v>
      </c>
      <c r="G7" s="156">
        <f ca="1">F7*(100%-'Données projet'!$C$24)*(100%-'Données projet'!$C$25)*(100%-'Données projet'!$C$26)*(100%-'Données projet'!$C$27)</f>
        <v>100.97832039004849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projet'!$B$10,Paramètres!$A$1:$I$88,9,0)*B7)</f>
        <v>0.99880000000000002</v>
      </c>
      <c r="K7" s="160">
        <f>J7*(100%-'Données projet'!$C$24)*(100%-'Données projet'!$C$25)*(100%-'Données projet'!$C$26)*(100%-'Données projet'!$C$27)</f>
        <v>0.85397400000000001</v>
      </c>
      <c r="L7" s="161">
        <f t="shared" ref="L7:L15" ca="1" si="2">G7+I7+K7</f>
        <v>101.83229439004849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Cormier</v>
      </c>
      <c r="B8" s="163">
        <f>'Données projet'!D11</f>
        <v>0.15436000000000002</v>
      </c>
      <c r="C8" s="156">
        <f ca="1">IF(OR('Données projet'!B11="",'Données projet'!C11="",'Données projet'!C11=0%),0,Calculateur!BI3)</f>
        <v>514.86487884889584</v>
      </c>
      <c r="D8" s="156">
        <f>IF(OR('Données projet'!B11="",'Données projet'!C11="",'Données projet'!C11=0%),0,Calculateur!BJ3)</f>
        <v>272.4206208356191</v>
      </c>
      <c r="E8" s="156">
        <f t="shared" ca="1" si="0"/>
        <v>272.4206208356191</v>
      </c>
      <c r="F8" s="156">
        <f t="shared" ca="1" si="1"/>
        <v>42.050847032186169</v>
      </c>
      <c r="G8" s="156">
        <f ca="1">F8*(100%-'Données projet'!$C$24)*(100%-'Données projet'!$C$25)*(100%-'Données projet'!$C$26)*(100%-'Données projet'!$C$27)</f>
        <v>35.953474212519176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projet'!$B$11,Paramètres!$A$1:$I$88,9,0)*B8)</f>
        <v>0.30872000000000005</v>
      </c>
      <c r="K8" s="160">
        <f>J8*(100%-'Données projet'!$C$24)*(100%-'Données projet'!$C$25)*(100%-'Données projet'!$C$26)*(100%-'Données projet'!$C$27)</f>
        <v>0.26395560000000001</v>
      </c>
      <c r="L8" s="161">
        <f t="shared" ca="1" si="2"/>
        <v>36.217429812519178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Aulne glutineux</v>
      </c>
      <c r="B9" s="163">
        <f>'Données projet'!D12</f>
        <v>0.46081000000000005</v>
      </c>
      <c r="C9" s="156">
        <f ca="1">IF(OR('Données projet'!B12="",'Données projet'!C12="",'Données projet'!C12=0%),0,Calculateur!CD3)</f>
        <v>270.10151451661864</v>
      </c>
      <c r="D9" s="156">
        <f>IF(OR('Données projet'!B12="",'Données projet'!C12="",'Données projet'!C12=0%),0,Calculateur!CE3)</f>
        <v>294.47934482366804</v>
      </c>
      <c r="E9" s="156">
        <f t="shared" ca="1" si="0"/>
        <v>270.10151451661864</v>
      </c>
      <c r="F9" s="156">
        <f t="shared" ca="1" si="1"/>
        <v>124.46547890440304</v>
      </c>
      <c r="G9" s="156">
        <f ca="1">F9*(100%-'Données projet'!$C$24)*(100%-'Données projet'!$C$25)*(100%-'Données projet'!$C$26)*(100%-'Données projet'!$C$27)</f>
        <v>106.4179844632646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projet'!$B$12,Paramètres!$A$1:$I$88,9,0)*B9)</f>
        <v>11.405047500000002</v>
      </c>
      <c r="K9" s="160">
        <f>J9*(100%-'Données projet'!$C$24)*(100%-'Données projet'!$C$25)*(100%-'Données projet'!$C$26)*(100%-'Données projet'!$C$27)</f>
        <v>9.7513156125000009</v>
      </c>
      <c r="L9" s="161">
        <f t="shared" ca="1" si="2"/>
        <v>116.1693000757646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>Aulne à feuilles en cœur</v>
      </c>
      <c r="B10" s="163">
        <f>'Données projet'!D13</f>
        <v>0.15436000000000002</v>
      </c>
      <c r="C10" s="156">
        <f ca="1">IF(OR('Données projet'!B13="",'Données projet'!C13="",'Données projet'!C13=0%),0,Calculateur!CY3)</f>
        <v>270.10151451661864</v>
      </c>
      <c r="D10" s="156">
        <f>IF(OR('Données projet'!B13="",'Données projet'!C13="",'Données projet'!C13=0%),0,Calculateur!CZ3)</f>
        <v>294.47934482366804</v>
      </c>
      <c r="E10" s="156">
        <f t="shared" ca="1" si="0"/>
        <v>270.10151451661864</v>
      </c>
      <c r="F10" s="156">
        <f t="shared" ca="1" si="1"/>
        <v>41.692869780785259</v>
      </c>
      <c r="G10" s="156">
        <f ca="1">F10*(100%-'Données projet'!$C$24)*(100%-'Données projet'!$C$25)*(100%-'Données projet'!$C$26)*(100%-'Données projet'!$C$27)</f>
        <v>35.647403662571399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projet'!$B$13,Paramètres!$A$1:$I$88,9,0)*B10)</f>
        <v>3.8204100000000007</v>
      </c>
      <c r="K10" s="160">
        <f>J10*(100%-'Données projet'!$C$24)*(100%-'Données projet'!$C$25)*(100%-'Données projet'!$C$26)*(100%-'Données projet'!$C$27)</f>
        <v>3.2664505500000005</v>
      </c>
      <c r="L10" s="161">
        <f t="shared" ca="1" si="2"/>
        <v>38.913854212571401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projet'!$B$14,Paramètres!$A$1:$I$88,9,0)*B11)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projet'!$B$15,Paramètres!$A$1:$I$88,9,0)*B12)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projet'!$B$16,Paramètres!$A$1:$I$88,9,0)*B13)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projet'!$B$17,Paramètres!$A$1:$I$88,9,0)*B14)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projet'!$B$18,Paramètres!$A$1:$I$88,9,0)*B15)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545.92464249144496</v>
      </c>
      <c r="G16" s="175">
        <f t="shared" ca="1" si="3"/>
        <v>466.76556933018543</v>
      </c>
      <c r="H16" s="176">
        <f t="shared" si="3"/>
        <v>0</v>
      </c>
      <c r="I16" s="176">
        <f t="shared" si="3"/>
        <v>0</v>
      </c>
      <c r="J16" s="177">
        <f t="shared" si="3"/>
        <v>18.226397500000004</v>
      </c>
      <c r="K16" s="177">
        <f t="shared" si="3"/>
        <v>15.583569862500001</v>
      </c>
      <c r="L16" s="178">
        <f t="shared" ca="1" si="3"/>
        <v>482.34913919268541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13" t="s">
        <v>246</v>
      </c>
      <c r="G17" s="314"/>
      <c r="H17" s="314"/>
      <c r="I17" s="314"/>
      <c r="J17" s="314"/>
      <c r="K17" s="314"/>
      <c r="L17" s="314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15"/>
      <c r="G18" s="315"/>
      <c r="H18" s="315"/>
      <c r="I18" s="315"/>
      <c r="J18" s="315"/>
      <c r="K18" s="315"/>
      <c r="L18" s="315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pubescent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Cormier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Aulne glutineux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>Aulne à feuilles en cœur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lC9C/XHAr7uhq9UB/+5lGwCOtGNX6mpYUa9QfBsZAPKgWiW8PhyxW4px6LELycl6bAXquLbVNGeNjZI52f1EpA==" saltValue="wbvPzkOtGyEAPIHFcu2Ew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H1" zoomScaleNormal="100" workbookViewId="0">
      <selection activeCell="T25" sqref="T25:V2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1" t="s">
        <v>272</v>
      </c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3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33" t="s">
        <v>316</v>
      </c>
      <c r="I4" s="333"/>
      <c r="K4" s="330" t="s">
        <v>253</v>
      </c>
      <c r="L4" s="331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2" t="s">
        <v>311</v>
      </c>
      <c r="S7" s="323"/>
      <c r="T7" s="323"/>
      <c r="U7" s="323"/>
      <c r="V7" s="324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312</v>
      </c>
      <c r="C9" s="25"/>
      <c r="D9" s="25"/>
      <c r="E9" s="25"/>
      <c r="F9" s="261"/>
      <c r="G9" s="260" t="s">
        <v>315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318</v>
      </c>
      <c r="C10" s="25"/>
      <c r="D10" s="25"/>
      <c r="E10" s="25"/>
      <c r="F10" s="261"/>
      <c r="G10" s="260" t="s">
        <v>317</v>
      </c>
      <c r="J10" s="214"/>
      <c r="K10" s="225"/>
      <c r="O10" s="25"/>
      <c r="P10" s="25"/>
      <c r="Q10" s="265"/>
      <c r="R10" s="25"/>
      <c r="S10" s="185" t="str">
        <f>B14</f>
        <v>Chêne pubescent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-1592.766593401358</v>
      </c>
      <c r="U10" s="190">
        <f>'Données projet'!D9</f>
        <v>0.84670999999999996</v>
      </c>
      <c r="V10" s="189">
        <f>U10*T10</f>
        <v>-1348.6114022988638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313</v>
      </c>
      <c r="B11" s="25"/>
      <c r="C11" s="25"/>
      <c r="D11" s="25"/>
      <c r="E11" s="25"/>
      <c r="F11" s="261"/>
      <c r="G11" s="260" t="s">
        <v>314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-1619.385041135592</v>
      </c>
      <c r="U11" s="190">
        <f>'Données projet'!D10</f>
        <v>0.49940000000000001</v>
      </c>
      <c r="V11" s="189">
        <f t="shared" ref="V11" si="0">U11*T11</f>
        <v>-808.72088954311471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Cormier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-1592.766593401358</v>
      </c>
      <c r="U12" s="190">
        <f>'Données projet'!D11</f>
        <v>0.15436000000000002</v>
      </c>
      <c r="V12" s="189">
        <f t="shared" ref="V12:V19" si="1">U12*T12</f>
        <v>-245.85945135743367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Aulne glutineux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-1372.2517903371088</v>
      </c>
      <c r="U13" s="190">
        <f>'Données projet'!D12</f>
        <v>0.46081000000000005</v>
      </c>
      <c r="V13" s="189">
        <f t="shared" si="1"/>
        <v>-632.34734750524319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pubescent</v>
      </c>
      <c r="C14" s="5"/>
      <c r="D14" s="5"/>
      <c r="E14" s="5"/>
      <c r="F14" s="261"/>
      <c r="G14" s="221"/>
      <c r="H14" s="185" t="s">
        <v>178</v>
      </c>
      <c r="I14" s="185" t="s">
        <v>291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Aulne à feuilles en cœur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-1372.2517903371088</v>
      </c>
      <c r="U14" s="190">
        <f>'Données projet'!D13</f>
        <v>0.15436000000000002</v>
      </c>
      <c r="V14" s="189">
        <f t="shared" si="1"/>
        <v>-211.82078635643614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34" t="s">
        <v>319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287</v>
      </c>
      <c r="F16" s="261"/>
      <c r="G16" s="334"/>
      <c r="H16" s="203"/>
      <c r="I16" s="204"/>
      <c r="J16" s="216"/>
      <c r="K16" s="225"/>
      <c r="L16" s="330" t="s">
        <v>254</v>
      </c>
      <c r="M16" s="331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2200</v>
      </c>
      <c r="F17" s="261"/>
      <c r="G17" s="334"/>
      <c r="J17" s="216"/>
      <c r="K17" s="225"/>
      <c r="L17" s="288" t="s">
        <v>290</v>
      </c>
      <c r="M17" s="290"/>
      <c r="N17" s="187">
        <f>VLOOKUP(N16,Calculateur!$A$2:$H$153,3,0)/VLOOKUP('Scénario référence'!$G$15,Paramètres!A1:I88,3,0)/VLOOKUP('Scénario référence'!$G$15,Paramètres!A1:I88,5,0)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34"/>
      <c r="J18" s="216"/>
      <c r="K18" s="225"/>
      <c r="L18" s="288" t="s">
        <v>255</v>
      </c>
      <c r="M18" s="290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34"/>
      <c r="H19" s="232" t="s">
        <v>178</v>
      </c>
      <c r="I19" s="232" t="s">
        <v>288</v>
      </c>
      <c r="J19" s="260"/>
      <c r="K19" s="183"/>
      <c r="L19" s="330" t="s">
        <v>289</v>
      </c>
      <c r="M19" s="331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34"/>
      <c r="H20" s="203">
        <v>0</v>
      </c>
      <c r="I20" s="204">
        <v>470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430+154</f>
        <v>584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f>154+660</f>
        <v>814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3</v>
      </c>
      <c r="I23" s="204">
        <f>154</f>
        <v>154</v>
      </c>
      <c r="K23" s="225"/>
      <c r="L23" s="332" t="s">
        <v>260</v>
      </c>
      <c r="M23" s="332"/>
      <c r="N23" s="332"/>
      <c r="O23" s="25"/>
      <c r="P23" s="25"/>
      <c r="Q23" s="265"/>
      <c r="R23" s="25"/>
      <c r="S23" s="185" t="s">
        <v>264</v>
      </c>
      <c r="T23" s="32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-7581.2564346394201</v>
      </c>
      <c r="U23" s="327"/>
      <c r="V23" s="327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25</v>
      </c>
      <c r="B24" s="193">
        <f>'Données projet'!D37</f>
        <v>8</v>
      </c>
      <c r="C24" s="206">
        <v>10</v>
      </c>
      <c r="D24" s="194">
        <f t="shared" ref="D24:D42" si="2">B24*C24</f>
        <v>80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28">
        <f ca="1">'Scénario référence'!$B$8*$M$30*'Données projet'!$C$5+('Scénario référence'!B9+'Scénario référence'!B10+'Scénario référence'!F8+'Scénario référence'!F9)*$N$19/(1+M4)^N16*'Données projet'!$C$5</f>
        <v>15366.999895701636</v>
      </c>
      <c r="U24" s="328"/>
      <c r="V24" s="328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300</v>
      </c>
      <c r="Q25" s="265"/>
      <c r="R25" s="25"/>
      <c r="S25" s="198" t="s">
        <v>266</v>
      </c>
      <c r="T25" s="329">
        <f ca="1">T23-T24</f>
        <v>-22948.256330341057</v>
      </c>
      <c r="U25" s="329"/>
      <c r="V25" s="329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35</v>
      </c>
      <c r="B26" s="193">
        <f>'Données projet'!D39</f>
        <v>42</v>
      </c>
      <c r="C26" s="206">
        <v>10</v>
      </c>
      <c r="D26" s="194">
        <f t="shared" si="2"/>
        <v>420</v>
      </c>
      <c r="E26" s="206"/>
      <c r="F26" s="264"/>
      <c r="G26" s="259"/>
      <c r="H26" s="203"/>
      <c r="I26" s="204"/>
      <c r="K26" s="225"/>
      <c r="L26" s="316" t="s">
        <v>258</v>
      </c>
      <c r="M26" s="317"/>
      <c r="N26" s="317"/>
      <c r="O26" s="317"/>
      <c r="P26" s="318"/>
      <c r="Q26" s="265"/>
      <c r="R26" s="25"/>
      <c r="S26" s="198" t="s">
        <v>265</v>
      </c>
      <c r="T26" s="326" t="str">
        <f ca="1">IF(T25&lt;0,"Votre projet est additionnel","Votre projet n'est pas additionnel")</f>
        <v>Votre projet est additionnel</v>
      </c>
      <c r="U26" s="326"/>
      <c r="V26" s="326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19"/>
      <c r="M27" s="320"/>
      <c r="N27" s="320"/>
      <c r="O27" s="320"/>
      <c r="P27" s="321"/>
      <c r="Q27" s="265"/>
      <c r="R27" s="25"/>
      <c r="S27" s="325" t="s">
        <v>267</v>
      </c>
      <c r="T27" s="325"/>
      <c r="U27" s="325"/>
      <c r="V27" s="32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45</v>
      </c>
      <c r="B28" s="193">
        <f>'Données projet'!D41</f>
        <v>42</v>
      </c>
      <c r="C28" s="206">
        <v>10</v>
      </c>
      <c r="D28" s="194">
        <f t="shared" si="2"/>
        <v>420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55</v>
      </c>
      <c r="B30" s="193">
        <f>'Données projet'!D43</f>
        <v>42</v>
      </c>
      <c r="C30" s="206">
        <v>20</v>
      </c>
      <c r="D30" s="194">
        <f t="shared" si="2"/>
        <v>840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6769.6034782826591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65</v>
      </c>
      <c r="B32" s="193">
        <f>'Données projet'!D45</f>
        <v>42</v>
      </c>
      <c r="C32" s="206">
        <v>30</v>
      </c>
      <c r="D32" s="194">
        <f t="shared" si="2"/>
        <v>1260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70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300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75</v>
      </c>
      <c r="B34" s="193">
        <f>'Données projet'!D47</f>
        <v>42</v>
      </c>
      <c r="C34" s="206">
        <v>40</v>
      </c>
      <c r="D34" s="194">
        <f t="shared" si="2"/>
        <v>1680</v>
      </c>
      <c r="E34" s="206"/>
      <c r="F34" s="264"/>
      <c r="G34" s="218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287.08133971291869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85</v>
      </c>
      <c r="B35" s="193">
        <f>'Données projet'!D48</f>
        <v>42</v>
      </c>
      <c r="C35" s="206">
        <v>50</v>
      </c>
      <c r="D35" s="194">
        <f t="shared" si="2"/>
        <v>2100</v>
      </c>
      <c r="E35" s="206"/>
      <c r="F35" s="264"/>
      <c r="G35" s="218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274.7189853712141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95</v>
      </c>
      <c r="B36" s="193">
        <f>'Données projet'!D49</f>
        <v>42</v>
      </c>
      <c r="C36" s="206">
        <v>50</v>
      </c>
      <c r="D36" s="194">
        <f t="shared" si="2"/>
        <v>2100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262.88898121647281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105</v>
      </c>
      <c r="B37" s="193">
        <f>'Données projet'!D50</f>
        <v>41</v>
      </c>
      <c r="C37" s="206">
        <v>50</v>
      </c>
      <c r="D37" s="194">
        <f t="shared" si="2"/>
        <v>2050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251.56840307796446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115</v>
      </c>
      <c r="B38" s="193">
        <f>'Données projet'!D51</f>
        <v>37</v>
      </c>
      <c r="C38" s="206">
        <v>70</v>
      </c>
      <c r="D38" s="194">
        <f t="shared" si="2"/>
        <v>2590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240.73531395020524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125</v>
      </c>
      <c r="B39" s="193">
        <f>'Données projet'!D52</f>
        <v>33</v>
      </c>
      <c r="C39" s="206">
        <v>100</v>
      </c>
      <c r="D39" s="194">
        <f t="shared" si="2"/>
        <v>3300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230.36872148345003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135</v>
      </c>
      <c r="B40" s="193">
        <f>'Données projet'!D53</f>
        <v>29</v>
      </c>
      <c r="C40" s="206">
        <v>120</v>
      </c>
      <c r="D40" s="194">
        <f t="shared" si="2"/>
        <v>3480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220.44853730473687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145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210.95553809065734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150</v>
      </c>
      <c r="B42" s="193">
        <f>'Données projet'!D55</f>
        <v>306</v>
      </c>
      <c r="C42" s="206">
        <v>200</v>
      </c>
      <c r="D42" s="194">
        <f t="shared" si="2"/>
        <v>61200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201.87132831641853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193.178304609013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184.85962163541913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176.89915945973127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169.28149230596293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287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161.99185866599325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2200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155.01613269473037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148.34079683706261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141.95291563355275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135.8401106541175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129.99053651111723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124.39285790537537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20</v>
      </c>
      <c r="B54" s="193">
        <f>'Données projet'!D62</f>
        <v>0</v>
      </c>
      <c r="C54" s="206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119.03622766064626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25</v>
      </c>
      <c r="B55" s="193">
        <f>'Données projet'!D63</f>
        <v>8</v>
      </c>
      <c r="C55" s="206">
        <v>10</v>
      </c>
      <c r="D55" s="191">
        <f t="shared" ref="D55:D73" si="4">B55*C55</f>
        <v>80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113.91026570396777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30</v>
      </c>
      <c r="B56" s="193">
        <f>'Données projet'!D64</f>
        <v>0</v>
      </c>
      <c r="C56" s="206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109.00503895116532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35</v>
      </c>
      <c r="B57" s="193">
        <f>'Données projet'!D65</f>
        <v>42</v>
      </c>
      <c r="C57" s="206">
        <v>10</v>
      </c>
      <c r="D57" s="191">
        <f t="shared" si="4"/>
        <v>420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104.31104205853143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40</v>
      </c>
      <c r="B58" s="193">
        <f>'Données projet'!D66</f>
        <v>0</v>
      </c>
      <c r="C58" s="206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99.819179003379361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45</v>
      </c>
      <c r="B59" s="193">
        <f>'Données projet'!D67</f>
        <v>42</v>
      </c>
      <c r="C59" s="206">
        <v>10</v>
      </c>
      <c r="D59" s="191">
        <f t="shared" si="4"/>
        <v>420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95.520745457779313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50</v>
      </c>
      <c r="B60" s="193">
        <f>'Données projet'!D68</f>
        <v>0</v>
      </c>
      <c r="C60" s="206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91.40741192131992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55</v>
      </c>
      <c r="B61" s="193">
        <f>'Données projet'!D69</f>
        <v>42</v>
      </c>
      <c r="C61" s="206">
        <v>20</v>
      </c>
      <c r="D61" s="191">
        <f t="shared" si="4"/>
        <v>840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87.471207580210475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60</v>
      </c>
      <c r="B62" s="193">
        <f>'Données projet'!D70</f>
        <v>0</v>
      </c>
      <c r="C62" s="206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83.704504861445415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65</v>
      </c>
      <c r="B63" s="193">
        <f>'Données projet'!D71</f>
        <v>42</v>
      </c>
      <c r="C63" s="206">
        <v>30</v>
      </c>
      <c r="D63" s="191">
        <f t="shared" si="4"/>
        <v>1260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80.100004652100907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70</v>
      </c>
      <c r="B64" s="193">
        <f>'Données projet'!D72</f>
        <v>0</v>
      </c>
      <c r="C64" s="206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76.650722155120462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75</v>
      </c>
      <c r="B65" s="193">
        <f>'Données projet'!D73</f>
        <v>42</v>
      </c>
      <c r="C65" s="206">
        <v>40</v>
      </c>
      <c r="D65" s="191">
        <f t="shared" si="4"/>
        <v>1680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73.349973354182296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85</v>
      </c>
      <c r="B66" s="193">
        <f>'Données projet'!D74</f>
        <v>42</v>
      </c>
      <c r="C66" s="206">
        <v>50</v>
      </c>
      <c r="D66" s="191">
        <f t="shared" si="4"/>
        <v>2100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70.191362061418488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95</v>
      </c>
      <c r="B67" s="193">
        <f>'Données projet'!D75</f>
        <v>42</v>
      </c>
      <c r="C67" s="206">
        <v>50</v>
      </c>
      <c r="D67" s="191">
        <f t="shared" si="4"/>
        <v>2100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67.168767522888501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105</v>
      </c>
      <c r="B68" s="193">
        <f>'Données projet'!D76</f>
        <v>41</v>
      </c>
      <c r="C68" s="206">
        <v>50</v>
      </c>
      <c r="D68" s="191">
        <f t="shared" si="4"/>
        <v>2050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64.276332557788038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115</v>
      </c>
      <c r="B69" s="193">
        <f>'Données projet'!D77</f>
        <v>37</v>
      </c>
      <c r="C69" s="206">
        <v>70</v>
      </c>
      <c r="D69" s="191">
        <f t="shared" si="4"/>
        <v>2590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61.508452208409622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125</v>
      </c>
      <c r="B70" s="193">
        <f>'Données projet'!D78</f>
        <v>33</v>
      </c>
      <c r="C70" s="206">
        <v>100</v>
      </c>
      <c r="D70" s="191">
        <f t="shared" si="4"/>
        <v>3300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58.859762878860884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135</v>
      </c>
      <c r="B71" s="193">
        <f>'Données projet'!D79</f>
        <v>29</v>
      </c>
      <c r="C71" s="206">
        <v>120</v>
      </c>
      <c r="D71" s="191">
        <f t="shared" si="4"/>
        <v>3480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56.32513194149368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145</v>
      </c>
      <c r="B72" s="193">
        <f>'Données projet'!D80</f>
        <v>0</v>
      </c>
      <c r="C72" s="206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53.899647790903046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150</v>
      </c>
      <c r="B73" s="193">
        <f>'Données projet'!D81</f>
        <v>306</v>
      </c>
      <c r="C73" s="206">
        <v>200</v>
      </c>
      <c r="D73" s="191">
        <f t="shared" si="4"/>
        <v>61200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51.578610326223021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49.357521843275627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47.232078318924053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Cormier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45.198161070740717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43.251828775828443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287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41.389309833328653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>
        <v>2200</v>
      </c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39.606995055816903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37.901430675422873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36.269311651122379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34.707475264231938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33.212894989695648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31.782674631287698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20</v>
      </c>
      <c r="B85" s="193">
        <f>'Données projet'!D88</f>
        <v>0</v>
      </c>
      <c r="C85" s="206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30.414042709366225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25</v>
      </c>
      <c r="B86" s="193">
        <f>'Données projet'!D89</f>
        <v>8</v>
      </c>
      <c r="C86" s="206">
        <v>10</v>
      </c>
      <c r="D86" s="191">
        <f t="shared" ref="D86:D104" si="6">B86*C86</f>
        <v>80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29.104347090302607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30</v>
      </c>
      <c r="B87" s="193">
        <f>'Données projet'!D90</f>
        <v>0</v>
      </c>
      <c r="C87" s="206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27.851049847179539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35</v>
      </c>
      <c r="B88" s="193">
        <f>'Données projet'!D91</f>
        <v>42</v>
      </c>
      <c r="C88" s="206">
        <v>10</v>
      </c>
      <c r="D88" s="191">
        <f t="shared" si="6"/>
        <v>420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26.6517223417986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40</v>
      </c>
      <c r="B89" s="193">
        <f>'Données projet'!D92</f>
        <v>0</v>
      </c>
      <c r="C89" s="206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25.504040518467566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45</v>
      </c>
      <c r="B90" s="193">
        <f>'Données projet'!D93</f>
        <v>42</v>
      </c>
      <c r="C90" s="206">
        <v>10</v>
      </c>
      <c r="D90" s="191">
        <f t="shared" si="6"/>
        <v>420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24.405780400447433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50</v>
      </c>
      <c r="B91" s="193">
        <f>'Données projet'!D94</f>
        <v>0</v>
      </c>
      <c r="C91" s="206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23.354813780332478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55</v>
      </c>
      <c r="B92" s="193">
        <f>'Données projet'!D95</f>
        <v>42</v>
      </c>
      <c r="C92" s="206">
        <v>20</v>
      </c>
      <c r="D92" s="191">
        <f t="shared" si="6"/>
        <v>840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22.349104096011942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60</v>
      </c>
      <c r="B93" s="193">
        <f>'Données projet'!D96</f>
        <v>0</v>
      </c>
      <c r="C93" s="206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21.386702484221956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65</v>
      </c>
      <c r="B94" s="193">
        <f>'Données projet'!D97</f>
        <v>42</v>
      </c>
      <c r="C94" s="206">
        <v>30</v>
      </c>
      <c r="D94" s="191">
        <f t="shared" si="6"/>
        <v>1260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20.465744004040147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70</v>
      </c>
      <c r="B95" s="193">
        <f>'Données projet'!D98</f>
        <v>0</v>
      </c>
      <c r="C95" s="206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19.584444023004931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75</v>
      </c>
      <c r="B96" s="193">
        <f>'Données projet'!D99</f>
        <v>42</v>
      </c>
      <c r="C96" s="206">
        <v>40</v>
      </c>
      <c r="D96" s="191">
        <f t="shared" si="6"/>
        <v>1680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18.741094758856391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85</v>
      </c>
      <c r="B97" s="193">
        <f>'Données projet'!D100</f>
        <v>42</v>
      </c>
      <c r="C97" s="206">
        <v>50</v>
      </c>
      <c r="D97" s="191">
        <f t="shared" si="6"/>
        <v>2100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17.934061970197515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95</v>
      </c>
      <c r="B98" s="193">
        <f>'Données projet'!D101</f>
        <v>42</v>
      </c>
      <c r="C98" s="206">
        <v>50</v>
      </c>
      <c r="D98" s="191">
        <f t="shared" si="6"/>
        <v>2100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17.16178178966269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105</v>
      </c>
      <c r="B99" s="193">
        <f>'Données projet'!D102</f>
        <v>41</v>
      </c>
      <c r="C99" s="206">
        <v>50</v>
      </c>
      <c r="D99" s="191">
        <f t="shared" si="6"/>
        <v>2050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16.422757693457125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115</v>
      </c>
      <c r="B100" s="193">
        <f>'Données projet'!D103</f>
        <v>37</v>
      </c>
      <c r="C100" s="206">
        <v>70</v>
      </c>
      <c r="D100" s="191">
        <f t="shared" si="6"/>
        <v>2590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15.715557601394378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125</v>
      </c>
      <c r="B101" s="193">
        <f>'Données projet'!D104</f>
        <v>33</v>
      </c>
      <c r="C101" s="206">
        <v>100</v>
      </c>
      <c r="D101" s="191">
        <f t="shared" si="6"/>
        <v>3300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15.038811101812804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135</v>
      </c>
      <c r="B102" s="193">
        <f>'Données projet'!D105</f>
        <v>29</v>
      </c>
      <c r="C102" s="206">
        <v>120</v>
      </c>
      <c r="D102" s="191">
        <f t="shared" si="6"/>
        <v>3480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14.391206795993115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145</v>
      </c>
      <c r="B103" s="193">
        <f>'Données projet'!D106</f>
        <v>0</v>
      </c>
      <c r="C103" s="206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13.771489756931214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150</v>
      </c>
      <c r="B104" s="193">
        <f>'Données projet'!D107</f>
        <v>306</v>
      </c>
      <c r="C104" s="206">
        <v>200</v>
      </c>
      <c r="D104" s="191">
        <f t="shared" si="6"/>
        <v>61200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13.178459097541833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12.610965643580704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12.067909706775794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Aulne glutineux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11.548238953852435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11.050946367322904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287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10.575068294088906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>
        <v>2200</v>
      </c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10.119682578075508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9.683906773278002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9.266896433758852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8.8678434772812018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str">
        <f>IF(O113+1&lt;=MIN('Données projet'!$E$9:$E$18),O113+1,"STOP")</f>
        <v>STOP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15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20</v>
      </c>
      <c r="B117" s="193">
        <f>'Données projet'!D115</f>
        <v>43</v>
      </c>
      <c r="C117" s="204">
        <v>10</v>
      </c>
      <c r="D117" s="191">
        <f t="shared" ref="D117:D135" si="8">B117*C117</f>
        <v>430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25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30</v>
      </c>
      <c r="B119" s="193">
        <f>'Données projet'!D117</f>
        <v>56</v>
      </c>
      <c r="C119" s="204">
        <v>10</v>
      </c>
      <c r="D119" s="191">
        <f t="shared" si="8"/>
        <v>560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35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40</v>
      </c>
      <c r="B121" s="193">
        <f>'Données projet'!D119</f>
        <v>56</v>
      </c>
      <c r="C121" s="204">
        <v>10</v>
      </c>
      <c r="D121" s="191">
        <f t="shared" si="8"/>
        <v>560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45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50</v>
      </c>
      <c r="B123" s="193">
        <f>'Données projet'!D121</f>
        <v>39</v>
      </c>
      <c r="C123" s="204">
        <v>20</v>
      </c>
      <c r="D123" s="191">
        <f t="shared" si="8"/>
        <v>780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55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60</v>
      </c>
      <c r="B125" s="193">
        <f>'Données projet'!D123</f>
        <v>25</v>
      </c>
      <c r="C125" s="204">
        <v>20</v>
      </c>
      <c r="D125" s="191">
        <f t="shared" si="8"/>
        <v>500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65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70</v>
      </c>
      <c r="B127" s="193">
        <f>'Données projet'!D125</f>
        <v>21</v>
      </c>
      <c r="C127" s="204">
        <v>30</v>
      </c>
      <c r="D127" s="191">
        <f t="shared" si="8"/>
        <v>630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75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80</v>
      </c>
      <c r="B129" s="193">
        <f>'Données projet'!D127</f>
        <v>285</v>
      </c>
      <c r="C129" s="204">
        <v>30</v>
      </c>
      <c r="D129" s="191">
        <f t="shared" si="8"/>
        <v>8550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>Aulne à feuilles en cœur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287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>
        <v>2200</v>
      </c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15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20</v>
      </c>
      <c r="B148" s="187">
        <f>'Données projet'!D141</f>
        <v>43</v>
      </c>
      <c r="C148" s="204">
        <v>10</v>
      </c>
      <c r="D148" s="194">
        <f t="shared" ref="D148:D166" si="10">B148*C148</f>
        <v>430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25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30</v>
      </c>
      <c r="B150" s="187">
        <f>'Données projet'!D143</f>
        <v>56</v>
      </c>
      <c r="C150" s="204">
        <v>10</v>
      </c>
      <c r="D150" s="194">
        <f t="shared" si="10"/>
        <v>560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35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40</v>
      </c>
      <c r="B152" s="187">
        <f>'Données projet'!D145</f>
        <v>56</v>
      </c>
      <c r="C152" s="204">
        <v>10</v>
      </c>
      <c r="D152" s="194">
        <f t="shared" si="10"/>
        <v>560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45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50</v>
      </c>
      <c r="B154" s="187">
        <f>'Données projet'!D147</f>
        <v>39</v>
      </c>
      <c r="C154" s="204">
        <v>20</v>
      </c>
      <c r="D154" s="194">
        <f t="shared" si="10"/>
        <v>780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55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60</v>
      </c>
      <c r="B156" s="187">
        <f>'Données projet'!D149</f>
        <v>25</v>
      </c>
      <c r="C156" s="204">
        <v>20</v>
      </c>
      <c r="D156" s="194">
        <f t="shared" si="10"/>
        <v>500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65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70</v>
      </c>
      <c r="B158" s="187">
        <f>'Données projet'!D151</f>
        <v>21</v>
      </c>
      <c r="C158" s="204">
        <v>30</v>
      </c>
      <c r="D158" s="194">
        <f t="shared" si="10"/>
        <v>630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75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80</v>
      </c>
      <c r="B160" s="187">
        <f>'Données projet'!D153</f>
        <v>285</v>
      </c>
      <c r="C160" s="204">
        <v>30</v>
      </c>
      <c r="D160" s="194">
        <f t="shared" si="10"/>
        <v>8550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287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287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287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287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287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okQo/kRoK/jfjuAaoMyM0XgB43xLErDOlD6fNnDn0anV8vgxgJ3BLEeIxbFf97SrUUnRqs6xEX05XlNiXHoWag==" saltValue="+h6Xbsy8Ch1n1hTXPTafZw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Lucie RUPIL</cp:lastModifiedBy>
  <dcterms:created xsi:type="dcterms:W3CDTF">2021-02-01T08:22:39Z</dcterms:created>
  <dcterms:modified xsi:type="dcterms:W3CDTF">2021-11-15T15:34:41Z</dcterms:modified>
</cp:coreProperties>
</file>